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o365vreg-my.sharepoint.com/personal/fanny_schoevaerts_vreg_be/Documents/Desktop/NB van 28 juni 2021/"/>
    </mc:Choice>
  </mc:AlternateContent>
  <xr:revisionPtr revIDLastSave="0" documentId="8_{3AE455AE-5364-44CD-A583-9460A18A87DB}" xr6:coauthVersionLast="45" xr6:coauthVersionMax="45" xr10:uidLastSave="{00000000-0000-0000-0000-000000000000}"/>
  <bookViews>
    <workbookView xWindow="-110" yWindow="-110" windowWidth="19420" windowHeight="10420" tabRatio="781" activeTab="3" xr2:uid="{00000000-000D-0000-FFFF-FFFF00000000}"/>
  </bookViews>
  <sheets>
    <sheet name="TITELBLAD" sheetId="1" r:id="rId1"/>
    <sheet name="--&gt; EXO" sheetId="31" r:id="rId2"/>
    <sheet name="T1" sheetId="2" r:id="rId3"/>
    <sheet name="T2 - Overzicht" sheetId="4" r:id="rId4"/>
    <sheet name="T3" sheetId="5" r:id="rId5"/>
    <sheet name="T4A" sheetId="7" r:id="rId6"/>
    <sheet name="T4B" sheetId="19" r:id="rId7"/>
    <sheet name="T5A" sheetId="8" r:id="rId8"/>
    <sheet name="T5B" sheetId="26" r:id="rId9"/>
    <sheet name="T5C" sheetId="13" r:id="rId10"/>
    <sheet name="T5D" sheetId="15" r:id="rId11"/>
    <sheet name="T5E" sheetId="16" r:id="rId12"/>
    <sheet name="T5F" sheetId="28" r:id="rId13"/>
    <sheet name="T6A" sheetId="22" r:id="rId14"/>
    <sheet name="T6B" sheetId="29" r:id="rId15"/>
    <sheet name="T7" sheetId="25" r:id="rId16"/>
    <sheet name="T8" sheetId="30" r:id="rId17"/>
    <sheet name="--&gt; ENDO" sheetId="32" r:id="rId18"/>
    <sheet name="T9 - Overzicht" sheetId="33" r:id="rId19"/>
    <sheet name="T10" sheetId="34" r:id="rId20"/>
    <sheet name="T11" sheetId="42" r:id="rId21"/>
    <sheet name="T12" sheetId="35" r:id="rId22"/>
    <sheet name="T13A" sheetId="36" r:id="rId23"/>
    <sheet name="T13B" sheetId="37" r:id="rId24"/>
    <sheet name="T13C" sheetId="38" r:id="rId25"/>
    <sheet name="T13D" sheetId="39" r:id="rId26"/>
    <sheet name="T14" sheetId="40" r:id="rId27"/>
    <sheet name="Werkblad" sheetId="43" r:id="rId28"/>
  </sheets>
  <externalReferences>
    <externalReference r:id="rId29"/>
    <externalReference r:id="rId30"/>
    <externalReference r:id="rId31"/>
    <externalReference r:id="rId32"/>
    <externalReference r:id="rId33"/>
  </externalReferences>
  <definedNames>
    <definedName name="_ftn2" localSheetId="0">TITELBLAD!#REF!</definedName>
    <definedName name="_ftn3" localSheetId="0">TITELBLAD!#REF!</definedName>
    <definedName name="_ftnref2" localSheetId="0">TITELBLAD!#REF!</definedName>
    <definedName name="_ftnref3" localSheetId="0">TITELBLAD!#REF!</definedName>
    <definedName name="a" localSheetId="22">#REF!</definedName>
    <definedName name="a" localSheetId="23">#REF!</definedName>
    <definedName name="a" localSheetId="24">#REF!</definedName>
    <definedName name="a" localSheetId="25">#REF!</definedName>
    <definedName name="a" localSheetId="26">#REF!</definedName>
    <definedName name="a">#REF!</definedName>
    <definedName name="_xlnm.Print_Area" localSheetId="2">'T1'!$B$1:$R$81</definedName>
    <definedName name="_xlnm.Print_Area" localSheetId="19">'T10'!$A$1:$K$17</definedName>
    <definedName name="_xlnm.Print_Area" localSheetId="20">'T11'!$A$1:$K$16</definedName>
    <definedName name="_xlnm.Print_Area" localSheetId="21">'T12'!$A$1:$N$23</definedName>
    <definedName name="_xlnm.Print_Area" localSheetId="22">T13A!$A$1:$I$66</definedName>
    <definedName name="_xlnm.Print_Area" localSheetId="23">T13B!$A$1:$I$66</definedName>
    <definedName name="_xlnm.Print_Area" localSheetId="24">T13C!$A$1:$P$14</definedName>
    <definedName name="_xlnm.Print_Area" localSheetId="25">T13D!$A$1:$P$14</definedName>
    <definedName name="_xlnm.Print_Area" localSheetId="3">'T2 - Overzicht'!$A$1:$F$29</definedName>
    <definedName name="_xlnm.Print_Area" localSheetId="4">'T3'!$A$1:$O$225</definedName>
    <definedName name="_xlnm.Print_Area" localSheetId="5">T4A!$A$1:$Q$69</definedName>
    <definedName name="_xlnm.Print_Area" localSheetId="6">T4B!$A$1:$R$821</definedName>
    <definedName name="_xlnm.Print_Area" localSheetId="7">T5A!$A$1:$Q$105</definedName>
    <definedName name="_xlnm.Print_Area" localSheetId="8">T5B!$A$1:$R$718</definedName>
    <definedName name="_xlnm.Print_Area" localSheetId="9">T5C!$A$1:$Q$40</definedName>
    <definedName name="_xlnm.Print_Area" localSheetId="10">T5D!$A$1:$O$27</definedName>
    <definedName name="_xlnm.Print_Area" localSheetId="11">T5E!$A$1:$Q$37</definedName>
    <definedName name="_xlnm.Print_Area" localSheetId="12">T5F!$A$1:$J$28</definedName>
    <definedName name="_xlnm.Print_Area" localSheetId="13">T6A!$A$1:$O$128</definedName>
    <definedName name="_xlnm.Print_Area" localSheetId="14">T6B!$A$1:$P$647</definedName>
    <definedName name="_xlnm.Print_Area" localSheetId="15">'T7'!$A$1:$O$61</definedName>
    <definedName name="_xlnm.Print_Area" localSheetId="16">'T8'!$A$1:$K$49</definedName>
    <definedName name="_xlnm.Print_Area" localSheetId="0">TITELBLAD!$A$1:$Q$39</definedName>
    <definedName name="_xlnm.Print_Titles" localSheetId="5">T4A!$2:$2</definedName>
    <definedName name="_xlnm.Print_Titles" localSheetId="7">T5A!$2:$2</definedName>
    <definedName name="_xlnm.Print_Titles" localSheetId="13">T6A!$2:$2</definedName>
    <definedName name="_xlnm.Print_Titles" localSheetId="15">'T7'!$2:$2</definedName>
    <definedName name="_xlnm.Print_Titles" localSheetId="16">'T8'!$2:$2</definedName>
    <definedName name="Aftakklem_LS" localSheetId="5">'[1]BASISPRIJZEN MATERIAAL'!$I$188</definedName>
    <definedName name="Aftakklem_LS" localSheetId="7">'[1]BASISPRIJZEN MATERIAAL'!$I$188</definedName>
    <definedName name="Aftakklem_LS" localSheetId="10">'[2]BASISPRIJZEN MATERIAAL'!$I$188</definedName>
    <definedName name="Aftakklem_LS" localSheetId="13">'[1]BASISPRIJZEN MATERIAAL'!$I$188</definedName>
    <definedName name="Aftakklem_LS" localSheetId="15">'[1]BASISPRIJZEN MATERIAAL'!$I$188</definedName>
    <definedName name="Aftakklem_LS" localSheetId="16">'[1]BASISPRIJZEN MATERIAAL'!$I$188</definedName>
    <definedName name="Aftakklem_LS" localSheetId="0">'[3]BASISPRIJZEN MATERIAAL'!$I$188</definedName>
    <definedName name="Aftakklem_LS">'[1]BASISPRIJZEN MATERIAAL'!$I$188</definedName>
    <definedName name="Codes" localSheetId="5">'[4]Codes des IM'!$B$2:$D$23</definedName>
    <definedName name="Codes" localSheetId="7">'[4]Codes des IM'!$B$2:$D$23</definedName>
    <definedName name="Codes" localSheetId="10">'[5]Codes des IM'!$B$2:$D$23</definedName>
    <definedName name="Codes" localSheetId="13">'[4]Codes des IM'!$B$2:$D$23</definedName>
    <definedName name="Codes" localSheetId="15">'[4]Codes des IM'!$B$2:$D$23</definedName>
    <definedName name="Codes" localSheetId="16">'[4]Codes des IM'!$B$2:$D$23</definedName>
    <definedName name="Codes" localSheetId="0">'[5]Codes des IM'!$B$2:$D$23</definedName>
    <definedName name="Codes">'[4]Codes des IM'!$B$2:$D$23</definedName>
    <definedName name="Forfaitair_feeder">75000</definedName>
    <definedName name="Hangslot" localSheetId="5">'[1]BASISPRIJZEN MATERIAAL'!$I$138</definedName>
    <definedName name="Hangslot" localSheetId="7">'[1]BASISPRIJZEN MATERIAAL'!$I$138</definedName>
    <definedName name="Hangslot" localSheetId="10">'[2]BASISPRIJZEN MATERIAAL'!$I$138</definedName>
    <definedName name="Hangslot" localSheetId="13">'[1]BASISPRIJZEN MATERIAAL'!$I$138</definedName>
    <definedName name="Hangslot" localSheetId="15">'[1]BASISPRIJZEN MATERIAAL'!$I$138</definedName>
    <definedName name="Hangslot" localSheetId="16">'[1]BASISPRIJZEN MATERIAAL'!$I$138</definedName>
    <definedName name="Hangslot" localSheetId="0">'[3]BASISPRIJZEN MATERIAAL'!$I$138</definedName>
    <definedName name="Hangslot">'[1]BASISPRIJZEN MATERIAAL'!$I$138</definedName>
    <definedName name="Kabelschoen_HS" localSheetId="5">'[1]BASISPRIJZEN MATERIAAL'!$I$201</definedName>
    <definedName name="Kabelschoen_HS" localSheetId="7">'[1]BASISPRIJZEN MATERIAAL'!$I$201</definedName>
    <definedName name="Kabelschoen_HS" localSheetId="10">'[2]BASISPRIJZEN MATERIAAL'!$I$201</definedName>
    <definedName name="Kabelschoen_HS" localSheetId="13">'[1]BASISPRIJZEN MATERIAAL'!$I$201</definedName>
    <definedName name="Kabelschoen_HS" localSheetId="15">'[1]BASISPRIJZEN MATERIAAL'!$I$201</definedName>
    <definedName name="Kabelschoen_HS" localSheetId="16">'[1]BASISPRIJZEN MATERIAAL'!$I$201</definedName>
    <definedName name="Kabelschoen_HS" localSheetId="0">'[3]BASISPRIJZEN MATERIAAL'!$I$201</definedName>
    <definedName name="Kabelschoen_HS">'[1]BASISPRIJZEN MATERIAAL'!$I$201</definedName>
    <definedName name="Kabelschoen_LS" localSheetId="5">'[1]BASISPRIJZEN MATERIAAL'!$I$198</definedName>
    <definedName name="Kabelschoen_LS" localSheetId="7">'[1]BASISPRIJZEN MATERIAAL'!$I$198</definedName>
    <definedName name="Kabelschoen_LS" localSheetId="10">'[2]BASISPRIJZEN MATERIAAL'!$I$198</definedName>
    <definedName name="Kabelschoen_LS" localSheetId="13">'[1]BASISPRIJZEN MATERIAAL'!$I$198</definedName>
    <definedName name="Kabelschoen_LS" localSheetId="15">'[1]BASISPRIJZEN MATERIAAL'!$I$198</definedName>
    <definedName name="Kabelschoen_LS" localSheetId="16">'[1]BASISPRIJZEN MATERIAAL'!$I$198</definedName>
    <definedName name="Kabelschoen_LS" localSheetId="0">'[3]BASISPRIJZEN MATERIAAL'!$I$198</definedName>
    <definedName name="Kabelschoen_LS">'[1]BASISPRIJZEN MATERIAAL'!$I$198</definedName>
    <definedName name="Kit_kunststof_AL" localSheetId="5">'[1]BASISPRIJZEN MATERIAAL'!$I$190</definedName>
    <definedName name="Kit_kunststof_AL" localSheetId="7">'[1]BASISPRIJZEN MATERIAAL'!$I$190</definedName>
    <definedName name="Kit_kunststof_AL" localSheetId="10">'[2]BASISPRIJZEN MATERIAAL'!$I$190</definedName>
    <definedName name="Kit_kunststof_AL" localSheetId="13">'[1]BASISPRIJZEN MATERIAAL'!$I$190</definedName>
    <definedName name="Kit_kunststof_AL" localSheetId="15">'[1]BASISPRIJZEN MATERIAAL'!$I$190</definedName>
    <definedName name="Kit_kunststof_AL" localSheetId="16">'[1]BASISPRIJZEN MATERIAAL'!$I$190</definedName>
    <definedName name="Kit_kunststof_AL" localSheetId="0">'[3]BASISPRIJZEN MATERIAAL'!$I$190</definedName>
    <definedName name="Kit_kunststof_AL">'[1]BASISPRIJZEN MATERIAAL'!$I$190</definedName>
    <definedName name="Kit_kunststof_papierlood" localSheetId="5">'[1]BASISPRIJZEN MATERIAAL'!$I$191</definedName>
    <definedName name="Kit_kunststof_papierlood" localSheetId="7">'[1]BASISPRIJZEN MATERIAAL'!$I$191</definedName>
    <definedName name="Kit_kunststof_papierlood" localSheetId="10">'[2]BASISPRIJZEN MATERIAAL'!$I$191</definedName>
    <definedName name="Kit_kunststof_papierlood" localSheetId="13">'[1]BASISPRIJZEN MATERIAAL'!$I$191</definedName>
    <definedName name="Kit_kunststof_papierlood" localSheetId="15">'[1]BASISPRIJZEN MATERIAAL'!$I$191</definedName>
    <definedName name="Kit_kunststof_papierlood" localSheetId="16">'[1]BASISPRIJZEN MATERIAAL'!$I$191</definedName>
    <definedName name="Kit_kunststof_papierlood" localSheetId="0">'[3]BASISPRIJZEN MATERIAAL'!$I$191</definedName>
    <definedName name="Kit_kunststof_papierlood">'[1]BASISPRIJZEN MATERIAAL'!$I$191</definedName>
    <definedName name="Kit_papierlood" localSheetId="5">'[1]BASISPRIJZEN MATERIAAL'!$I$189</definedName>
    <definedName name="Kit_papierlood" localSheetId="7">'[1]BASISPRIJZEN MATERIAAL'!$I$189</definedName>
    <definedName name="Kit_papierlood" localSheetId="10">'[2]BASISPRIJZEN MATERIAAL'!$I$189</definedName>
    <definedName name="Kit_papierlood" localSheetId="13">'[1]BASISPRIJZEN MATERIAAL'!$I$189</definedName>
    <definedName name="Kit_papierlood" localSheetId="15">'[1]BASISPRIJZEN MATERIAAL'!$I$189</definedName>
    <definedName name="Kit_papierlood" localSheetId="16">'[1]BASISPRIJZEN MATERIAAL'!$I$189</definedName>
    <definedName name="Kit_papierlood" localSheetId="0">'[3]BASISPRIJZEN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5">'[1]BASISPRIJZEN MATERIAAL'!$I$160</definedName>
    <definedName name="Plaat_postnummer_telefoon" localSheetId="7">'[1]BASISPRIJZEN MATERIAAL'!$I$160</definedName>
    <definedName name="Plaat_postnummer_telefoon" localSheetId="10">'[2]BASISPRIJZEN MATERIAAL'!$I$160</definedName>
    <definedName name="Plaat_postnummer_telefoon" localSheetId="13">'[1]BASISPRIJZEN MATERIAAL'!$I$160</definedName>
    <definedName name="Plaat_postnummer_telefoon" localSheetId="15">'[1]BASISPRIJZEN MATERIAAL'!$I$160</definedName>
    <definedName name="Plaat_postnummer_telefoon" localSheetId="16">'[1]BASISPRIJZEN MATERIAAL'!$I$160</definedName>
    <definedName name="Plaat_postnummer_telefoon" localSheetId="0">'[3]BASISPRIJZEN MATERIAAL'!$I$160</definedName>
    <definedName name="Plaat_postnummer_telefoon">'[1]BASISPRIJZEN MATERIAAL'!$I$160</definedName>
    <definedName name="SAPBEXrevision" localSheetId="11" hidden="1">23</definedName>
    <definedName name="SAPBEXrevision" localSheetId="12" hidden="1">23</definedName>
    <definedName name="SAPBEXrevision" hidden="1">10</definedName>
    <definedName name="SAPBEXsysID" hidden="1">"BP1"</definedName>
    <definedName name="SAPBEXwbID" localSheetId="11" hidden="1">"3OXN00JDSWKKLN5ZRDB3JJU3L"</definedName>
    <definedName name="SAPBEXwbID" localSheetId="12" hidden="1">"3OXN00JDSWKKLN5ZRDB3JJU3L"</definedName>
    <definedName name="SAPBEXwbID" hidden="1">"4751QXOCD67AJ09JC6QHJDZY6"</definedName>
    <definedName name="Sleutelkastje" localSheetId="5">'[1]BASISPRIJZEN MATERIAAL'!$I$159</definedName>
    <definedName name="Sleutelkastje" localSheetId="7">'[1]BASISPRIJZEN MATERIAAL'!$I$159</definedName>
    <definedName name="Sleutelkastje" localSheetId="10">'[2]BASISPRIJZEN MATERIAAL'!$I$159</definedName>
    <definedName name="Sleutelkastje" localSheetId="13">'[1]BASISPRIJZEN MATERIAAL'!$I$159</definedName>
    <definedName name="Sleutelkastje" localSheetId="15">'[1]BASISPRIJZEN MATERIAAL'!$I$159</definedName>
    <definedName name="Sleutelkastje" localSheetId="16">'[1]BASISPRIJZEN MATERIAAL'!$I$159</definedName>
    <definedName name="Sleutelkastje" localSheetId="0">'[3]BASISPRIJZEN MATERIAAL'!$I$159</definedName>
    <definedName name="Sleutelkastje">'[1]BASISPRIJZEN MATERIAAL'!$I$159</definedName>
    <definedName name="Slot_voor_sleutelkastje" localSheetId="5">'[1]BASISPRIJZEN MATERIAAL'!$I$158</definedName>
    <definedName name="Slot_voor_sleutelkastje" localSheetId="7">'[1]BASISPRIJZEN MATERIAAL'!$I$158</definedName>
    <definedName name="Slot_voor_sleutelkastje" localSheetId="10">'[2]BASISPRIJZEN MATERIAAL'!$I$158</definedName>
    <definedName name="Slot_voor_sleutelkastje" localSheetId="13">'[1]BASISPRIJZEN MATERIAAL'!$I$158</definedName>
    <definedName name="Slot_voor_sleutelkastje" localSheetId="15">'[1]BASISPRIJZEN MATERIAAL'!$I$158</definedName>
    <definedName name="Slot_voor_sleutelkastje" localSheetId="16">'[1]BASISPRIJZEN MATERIAAL'!$I$158</definedName>
    <definedName name="Slot_voor_sleutelkastje" localSheetId="0">'[3]BASISPRIJZEN MATERIAAL'!$I$158</definedName>
    <definedName name="Slot_voor_sleutelkastje">'[1]BASISPRIJZEN MATERIAAL'!$I$158</definedName>
    <definedName name="Terminal_kunststof" localSheetId="5">'[1]BASISPRIJZEN MATERIAAL'!$I$195</definedName>
    <definedName name="Terminal_kunststof" localSheetId="7">'[1]BASISPRIJZEN MATERIAAL'!$I$195</definedName>
    <definedName name="Terminal_kunststof" localSheetId="10">'[2]BASISPRIJZEN MATERIAAL'!$I$195</definedName>
    <definedName name="Terminal_kunststof" localSheetId="13">'[1]BASISPRIJZEN MATERIAAL'!$I$195</definedName>
    <definedName name="Terminal_kunststof" localSheetId="15">'[1]BASISPRIJZEN MATERIAAL'!$I$195</definedName>
    <definedName name="Terminal_kunststof" localSheetId="16">'[1]BASISPRIJZEN MATERIAAL'!$I$195</definedName>
    <definedName name="Terminal_kunststof" localSheetId="0">'[3]BASISPRIJZEN MATERIAAL'!$I$195</definedName>
    <definedName name="Terminal_kunststof">'[1]BASISPRIJZEN MATERIAAL'!$I$195</definedName>
    <definedName name="Terminal_LS" localSheetId="5">'[1]BASISPRIJZEN MATERIAAL'!$I$200</definedName>
    <definedName name="Terminal_LS" localSheetId="7">'[1]BASISPRIJZEN MATERIAAL'!$I$200</definedName>
    <definedName name="Terminal_LS" localSheetId="10">'[2]BASISPRIJZEN MATERIAAL'!$I$200</definedName>
    <definedName name="Terminal_LS" localSheetId="13">'[1]BASISPRIJZEN MATERIAAL'!$I$200</definedName>
    <definedName name="Terminal_LS" localSheetId="15">'[1]BASISPRIJZEN MATERIAAL'!$I$200</definedName>
    <definedName name="Terminal_LS" localSheetId="16">'[1]BASISPRIJZEN MATERIAAL'!$I$200</definedName>
    <definedName name="Terminal_LS" localSheetId="0">'[3]BASISPRIJZEN MATERIAAL'!$I$200</definedName>
    <definedName name="Terminal_LS">'[1]BASISPRIJZEN MATERIAAL'!$I$200</definedName>
    <definedName name="Traduction1" localSheetId="5">'[4]Codes des IM'!$A$28:$D$1853</definedName>
    <definedName name="Traduction1" localSheetId="7">'[4]Codes des IM'!$A$28:$D$1853</definedName>
    <definedName name="Traduction1" localSheetId="10">'[5]Codes des IM'!$A$28:$D$1853</definedName>
    <definedName name="Traduction1" localSheetId="13">'[4]Codes des IM'!$A$28:$D$1853</definedName>
    <definedName name="Traduction1" localSheetId="15">'[4]Codes des IM'!$A$28:$D$1853</definedName>
    <definedName name="Traduction1" localSheetId="16">'[4]Codes des IM'!$A$28:$D$1853</definedName>
    <definedName name="Traduction1" localSheetId="0">'[5]Codes des IM'!$A$28:$D$1853</definedName>
    <definedName name="Traduction1">'[4]Codes des IM'!$A$28:$D$1853</definedName>
    <definedName name="Verbinder_kunststof_M4" localSheetId="5">'[1]BASISPRIJZEN MATERIAAL'!$I$192</definedName>
    <definedName name="Verbinder_kunststof_M4" localSheetId="7">'[1]BASISPRIJZEN MATERIAAL'!$I$192</definedName>
    <definedName name="Verbinder_kunststof_M4" localSheetId="10">'[2]BASISPRIJZEN MATERIAAL'!$I$192</definedName>
    <definedName name="Verbinder_kunststof_M4" localSheetId="13">'[1]BASISPRIJZEN MATERIAAL'!$I$192</definedName>
    <definedName name="Verbinder_kunststof_M4" localSheetId="15">'[1]BASISPRIJZEN MATERIAAL'!$I$192</definedName>
    <definedName name="Verbinder_kunststof_M4" localSheetId="16">'[1]BASISPRIJZEN MATERIAAL'!$I$192</definedName>
    <definedName name="Verbinder_kunststof_M4" localSheetId="0">'[3]BASISPRIJZEN MATERIAAL'!$I$192</definedName>
    <definedName name="Verbinder_kunststof_M4">'[1]BASISPRIJZEN MATERIAAL'!$I$192</definedName>
    <definedName name="Verbinder_kunststof_papierlood_M3" localSheetId="5">'[1]BASISPRIJZEN MATERIAAL'!$I$192</definedName>
    <definedName name="Verbinder_kunststof_papierlood_M3" localSheetId="7">'[1]BASISPRIJZEN MATERIAAL'!$I$192</definedName>
    <definedName name="Verbinder_kunststof_papierlood_M3" localSheetId="10">'[2]BASISPRIJZEN MATERIAAL'!$I$192</definedName>
    <definedName name="Verbinder_kunststof_papierlood_M3" localSheetId="13">'[1]BASISPRIJZEN MATERIAAL'!$I$192</definedName>
    <definedName name="Verbinder_kunststof_papierlood_M3" localSheetId="15">'[1]BASISPRIJZEN MATERIAAL'!$I$192</definedName>
    <definedName name="Verbinder_kunststof_papierlood_M3" localSheetId="16">'[1]BASISPRIJZEN MATERIAAL'!$I$192</definedName>
    <definedName name="Verbinder_kunststof_papierlood_M3" localSheetId="0">'[3]BASISPRIJZEN MATERIAAL'!$I$192</definedName>
    <definedName name="Verbinder_kunststof_papierlood_M3">'[1]BASISPRIJZEN MATERIAAL'!$I$192</definedName>
    <definedName name="Verbinder_papierlood_M3" localSheetId="5">'[1]BASISPRIJZEN MATERIAAL'!$I$192</definedName>
    <definedName name="Verbinder_papierlood_M3" localSheetId="7">'[1]BASISPRIJZEN MATERIAAL'!$I$192</definedName>
    <definedName name="Verbinder_papierlood_M3" localSheetId="10">'[2]BASISPRIJZEN MATERIAAL'!$I$192</definedName>
    <definedName name="Verbinder_papierlood_M3" localSheetId="13">'[1]BASISPRIJZEN MATERIAAL'!$I$192</definedName>
    <definedName name="Verbinder_papierlood_M3" localSheetId="15">'[1]BASISPRIJZEN MATERIAAL'!$I$192</definedName>
    <definedName name="Verbinder_papierlood_M3" localSheetId="16">'[1]BASISPRIJZEN MATERIAAL'!$I$192</definedName>
    <definedName name="Verbinder_papierlood_M3" localSheetId="0">'[3]BASISPRIJZEN MATERIAAL'!$I$192</definedName>
    <definedName name="Verbinder_papierlood_M3">'[1]BASISPRIJZEN MATERIAAL'!$I$192</definedName>
    <definedName name="Wikkeldoos_LS" localSheetId="5">'[1]BASISPRIJZEN MATERIAAL'!$I$199</definedName>
    <definedName name="Wikkeldoos_LS" localSheetId="7">'[1]BASISPRIJZEN MATERIAAL'!$I$199</definedName>
    <definedName name="Wikkeldoos_LS" localSheetId="10">'[2]BASISPRIJZEN MATERIAAL'!$I$199</definedName>
    <definedName name="Wikkeldoos_LS" localSheetId="13">'[1]BASISPRIJZEN MATERIAAL'!$I$199</definedName>
    <definedName name="Wikkeldoos_LS" localSheetId="15">'[1]BASISPRIJZEN MATERIAAL'!$I$199</definedName>
    <definedName name="Wikkeldoos_LS" localSheetId="16">'[1]BASISPRIJZEN MATERIAAL'!$I$199</definedName>
    <definedName name="Wikkeldoos_LS" localSheetId="0">'[3]BASISPRIJZEN MATERIAAL'!$I$199</definedName>
    <definedName name="Wikkeldoos_LS">'[1]BASISPRIJZEN MATERIAAL'!$I$199</definedName>
    <definedName name="Z_C8C7977F_B6BF_432B_A1A7_559450D521AF_.wvu.PrintArea" localSheetId="5" hidden="1">T4A!$A$1:$Q$69</definedName>
    <definedName name="Z_C8C7977F_B6BF_432B_A1A7_559450D521AF_.wvu.PrintArea" localSheetId="7" hidden="1">T5A!$A$1:$Q$105</definedName>
    <definedName name="Z_C8C7977F_B6BF_432B_A1A7_559450D521AF_.wvu.PrintArea" localSheetId="13" hidden="1">T6A!$A$1:$O$128</definedName>
    <definedName name="Z_C8C7977F_B6BF_432B_A1A7_559450D521AF_.wvu.PrintArea" localSheetId="15" hidden="1">'T7'!$A$1:$O$61</definedName>
    <definedName name="Z_C8C7977F_B6BF_432B_A1A7_559450D521AF_.wvu.PrintArea" localSheetId="16" hidden="1">'T8'!$A$1:$K$49</definedName>
    <definedName name="Z_C8C7977F_B6BF_432B_A1A7_559450D521AF_.wvu.PrintArea" localSheetId="0" hidden="1">TITELBLAD!$A$1:$Q$39</definedName>
    <definedName name="Z_C8C7977F_B6BF_432B_A1A7_559450D521AF_.wvu.PrintTitles" localSheetId="5" hidden="1">T4A!$2:$2</definedName>
    <definedName name="Z_C8C7977F_B6BF_432B_A1A7_559450D521AF_.wvu.PrintTitles" localSheetId="7" hidden="1">T5A!$2:$2</definedName>
    <definedName name="Z_C8C7977F_B6BF_432B_A1A7_559450D521AF_.wvu.PrintTitles" localSheetId="13" hidden="1">T6A!$2:$2</definedName>
    <definedName name="Z_C8C7977F_B6BF_432B_A1A7_559450D521AF_.wvu.PrintTitles" localSheetId="15" hidden="1">'T7'!$2:$2</definedName>
    <definedName name="Z_C8C7977F_B6BF_432B_A1A7_559450D521AF_.wvu.PrintTitles" localSheetId="16" hidden="1">'T8'!$2:$2</definedName>
  </definedNames>
  <calcPr calcId="191029"/>
  <customWorkbookViews>
    <customWorkbookView name="Marc Michiels - Persoonlijke weergave" guid="{C8C7977F-B6BF-432B-A1A7-559450D521AF}" mergeInterval="0" personalView="1" maximized="1" windowWidth="1280" windowHeight="798" tabRatio="791"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2" i="2" l="1"/>
  <c r="P62" i="2"/>
  <c r="O62" i="2"/>
  <c r="N62" i="2"/>
  <c r="M62" i="2"/>
  <c r="L62" i="2"/>
  <c r="K62" i="2"/>
  <c r="J62" i="2"/>
  <c r="I62" i="2"/>
  <c r="H62" i="2"/>
  <c r="G62" i="2"/>
  <c r="R64" i="2"/>
  <c r="R63" i="2"/>
  <c r="Q45" i="2"/>
  <c r="Q74" i="2" s="1"/>
  <c r="P45" i="2"/>
  <c r="P74" i="2" s="1"/>
  <c r="O45" i="2"/>
  <c r="N45" i="2"/>
  <c r="M45" i="2"/>
  <c r="M74" i="2" s="1"/>
  <c r="L45" i="2"/>
  <c r="L74" i="2" s="1"/>
  <c r="K45" i="2"/>
  <c r="K78" i="2" s="1"/>
  <c r="J45" i="2"/>
  <c r="I45" i="2"/>
  <c r="I74" i="2" s="1"/>
  <c r="H45" i="2"/>
  <c r="H74" i="2" s="1"/>
  <c r="G45" i="2"/>
  <c r="R60" i="2"/>
  <c r="Q22" i="2"/>
  <c r="P22" i="2"/>
  <c r="O22" i="2"/>
  <c r="N22" i="2"/>
  <c r="M22" i="2"/>
  <c r="L22" i="2"/>
  <c r="K22" i="2"/>
  <c r="J22" i="2"/>
  <c r="I22" i="2"/>
  <c r="H22" i="2"/>
  <c r="G22" i="2"/>
  <c r="R24" i="2"/>
  <c r="R23" i="2"/>
  <c r="Q12" i="2"/>
  <c r="P12" i="2"/>
  <c r="O12" i="2"/>
  <c r="N12" i="2"/>
  <c r="M12" i="2"/>
  <c r="M35" i="2" s="1"/>
  <c r="L12" i="2"/>
  <c r="K12" i="2"/>
  <c r="J12" i="2"/>
  <c r="I12" i="2"/>
  <c r="I35" i="2" s="1"/>
  <c r="H12" i="2"/>
  <c r="G12" i="2"/>
  <c r="R20" i="2"/>
  <c r="Q35" i="2" l="1"/>
  <c r="G35" i="2"/>
  <c r="K35" i="2"/>
  <c r="O35" i="2"/>
  <c r="J78" i="2"/>
  <c r="N78" i="2"/>
  <c r="R62" i="2"/>
  <c r="M77" i="2"/>
  <c r="J77" i="2"/>
  <c r="N77" i="2"/>
  <c r="Q77" i="2"/>
  <c r="H35" i="2"/>
  <c r="L35" i="2"/>
  <c r="P35" i="2"/>
  <c r="G78" i="2"/>
  <c r="K74" i="2"/>
  <c r="O74" i="2"/>
  <c r="I77" i="2"/>
  <c r="O78" i="2"/>
  <c r="N74" i="2"/>
  <c r="G74" i="2"/>
  <c r="G77" i="2"/>
  <c r="H78" i="2"/>
  <c r="L78" i="2"/>
  <c r="P78" i="2"/>
  <c r="J74" i="2"/>
  <c r="K77" i="2"/>
  <c r="O77" i="2"/>
  <c r="I78" i="2"/>
  <c r="M78" i="2"/>
  <c r="Q78" i="2"/>
  <c r="J35" i="2"/>
  <c r="N35" i="2"/>
  <c r="R22" i="2"/>
  <c r="H77" i="2"/>
  <c r="L77" i="2"/>
  <c r="P77" i="2"/>
  <c r="F75" i="39" l="1"/>
  <c r="F42" i="39"/>
  <c r="F75" i="38"/>
  <c r="F42" i="38"/>
  <c r="F117" i="37"/>
  <c r="F63" i="37"/>
  <c r="F117" i="36"/>
  <c r="F63" i="36"/>
  <c r="A57" i="1" l="1"/>
  <c r="D12" i="42"/>
  <c r="C12" i="42"/>
  <c r="D13" i="42"/>
  <c r="C13" i="42"/>
  <c r="B2" i="42"/>
  <c r="D14" i="42" l="1"/>
  <c r="C21" i="33" s="1"/>
  <c r="C14" i="42"/>
  <c r="B21" i="33" s="1"/>
  <c r="I29" i="8"/>
  <c r="R19" i="19"/>
  <c r="E16" i="22" l="1"/>
  <c r="D16" i="22"/>
  <c r="E15" i="22"/>
  <c r="D15" i="22"/>
  <c r="E14" i="22"/>
  <c r="D14" i="22"/>
  <c r="E12" i="22"/>
  <c r="D12" i="22"/>
  <c r="E11" i="22"/>
  <c r="D11" i="22"/>
  <c r="E9" i="22"/>
  <c r="D9" i="22"/>
  <c r="C16" i="22"/>
  <c r="C15" i="22"/>
  <c r="C14" i="22"/>
  <c r="C12" i="22"/>
  <c r="C11" i="22"/>
  <c r="C9" i="22"/>
  <c r="E87" i="5" l="1"/>
  <c r="D87" i="5"/>
  <c r="E81" i="5"/>
  <c r="D81" i="5"/>
  <c r="E75" i="5"/>
  <c r="D75" i="5"/>
  <c r="E69" i="5"/>
  <c r="D69" i="5"/>
  <c r="E38" i="5"/>
  <c r="D38" i="5"/>
  <c r="E177" i="5" l="1"/>
  <c r="D177" i="5"/>
  <c r="E20" i="35" l="1"/>
  <c r="D20" i="35"/>
  <c r="A50" i="22"/>
  <c r="E21" i="4"/>
  <c r="D16" i="4"/>
  <c r="H572" i="29" l="1"/>
  <c r="H562" i="29"/>
  <c r="H553" i="29"/>
  <c r="H516" i="29"/>
  <c r="H509" i="29"/>
  <c r="H499" i="29"/>
  <c r="H490" i="29"/>
  <c r="H451" i="29"/>
  <c r="H442" i="29"/>
  <c r="H403" i="29"/>
  <c r="H394" i="29"/>
  <c r="H356" i="29"/>
  <c r="H349" i="29"/>
  <c r="H339" i="29"/>
  <c r="H330" i="29"/>
  <c r="H293" i="29"/>
  <c r="H287" i="29"/>
  <c r="H269" i="29"/>
  <c r="H262" i="29"/>
  <c r="H252" i="29"/>
  <c r="H243" i="29"/>
  <c r="H635" i="29"/>
  <c r="H628" i="29"/>
  <c r="H618" i="29"/>
  <c r="H609" i="29"/>
  <c r="H298" i="26" l="1"/>
  <c r="H288" i="26"/>
  <c r="H707" i="26"/>
  <c r="H700" i="26"/>
  <c r="H689" i="26"/>
  <c r="H679" i="26"/>
  <c r="H633" i="26"/>
  <c r="H626" i="26"/>
  <c r="H615" i="26"/>
  <c r="H605" i="26"/>
  <c r="H558" i="26"/>
  <c r="H551" i="26"/>
  <c r="H540" i="26"/>
  <c r="H530" i="26"/>
  <c r="H474" i="26"/>
  <c r="H463" i="26"/>
  <c r="H453" i="26"/>
  <c r="H406" i="26"/>
  <c r="H399" i="26"/>
  <c r="H388" i="26"/>
  <c r="H378" i="26"/>
  <c r="H333" i="26"/>
  <c r="H316" i="26"/>
  <c r="H309" i="26"/>
  <c r="H902" i="19"/>
  <c r="H885" i="19"/>
  <c r="H878" i="19"/>
  <c r="H867" i="19"/>
  <c r="H857" i="19"/>
  <c r="H810" i="19"/>
  <c r="H803" i="19"/>
  <c r="H792" i="19"/>
  <c r="H782" i="19"/>
  <c r="H736" i="19"/>
  <c r="H729" i="19"/>
  <c r="H718" i="19"/>
  <c r="H708" i="19"/>
  <c r="H661" i="19"/>
  <c r="H654" i="19"/>
  <c r="H643" i="19"/>
  <c r="H633" i="19"/>
  <c r="H587" i="19"/>
  <c r="H576" i="19"/>
  <c r="H566" i="19"/>
  <c r="H521" i="19"/>
  <c r="H510" i="19"/>
  <c r="H500" i="19"/>
  <c r="H453" i="19"/>
  <c r="H446" i="19"/>
  <c r="H435" i="19"/>
  <c r="H425" i="19"/>
  <c r="H380" i="19"/>
  <c r="H363" i="19"/>
  <c r="H356" i="19"/>
  <c r="H345" i="19"/>
  <c r="H335" i="19"/>
  <c r="G60" i="30"/>
  <c r="G54" i="30"/>
  <c r="G24" i="25" l="1"/>
  <c r="H25" i="25"/>
  <c r="G26" i="7"/>
  <c r="H27" i="7"/>
  <c r="I28" i="7"/>
  <c r="J29" i="7"/>
  <c r="K30" i="7"/>
  <c r="G594" i="29"/>
  <c r="I293" i="29"/>
  <c r="G293" i="29"/>
  <c r="I287" i="29"/>
  <c r="G287" i="29"/>
  <c r="B131" i="29"/>
  <c r="B41" i="29"/>
  <c r="J17" i="28" l="1"/>
  <c r="H17" i="28"/>
  <c r="E17" i="28"/>
  <c r="A1" i="28"/>
  <c r="Q17" i="16"/>
  <c r="O17" i="16"/>
  <c r="E17" i="16"/>
  <c r="A1" i="16"/>
  <c r="I26" i="15"/>
  <c r="H26" i="15"/>
  <c r="G26" i="15"/>
  <c r="F26" i="15"/>
  <c r="E26" i="15"/>
  <c r="O16" i="15"/>
  <c r="M16" i="15"/>
  <c r="E16" i="15"/>
  <c r="A1" i="15"/>
  <c r="J38" i="13"/>
  <c r="I38" i="13"/>
  <c r="H38" i="13"/>
  <c r="G38" i="13"/>
  <c r="F38" i="13"/>
  <c r="K29" i="13"/>
  <c r="K23" i="13"/>
  <c r="K20" i="13"/>
  <c r="K17" i="13"/>
  <c r="P15" i="13"/>
  <c r="N15" i="13"/>
  <c r="F15" i="13"/>
  <c r="A1" i="13"/>
  <c r="C29" i="8"/>
  <c r="G15" i="26" s="1"/>
  <c r="D29" i="8"/>
  <c r="H15" i="26" s="1"/>
  <c r="E29" i="8"/>
  <c r="I15" i="26" s="1"/>
  <c r="F29" i="8"/>
  <c r="J15" i="26" s="1"/>
  <c r="I474" i="26"/>
  <c r="G474" i="26"/>
  <c r="I463" i="26"/>
  <c r="G463" i="26"/>
  <c r="I453" i="26"/>
  <c r="G453" i="26"/>
  <c r="M444" i="26"/>
  <c r="L444" i="26"/>
  <c r="I444" i="26"/>
  <c r="H444" i="26"/>
  <c r="G444" i="26"/>
  <c r="M436" i="26"/>
  <c r="L436" i="26"/>
  <c r="I436" i="26"/>
  <c r="H436" i="26"/>
  <c r="G436" i="26"/>
  <c r="M429" i="26"/>
  <c r="L429" i="26"/>
  <c r="I429" i="26"/>
  <c r="H429" i="26"/>
  <c r="G429" i="26"/>
  <c r="K424" i="26"/>
  <c r="I424" i="26"/>
  <c r="H424" i="26"/>
  <c r="G424" i="26"/>
  <c r="I333" i="26"/>
  <c r="G333" i="26"/>
  <c r="B151" i="26"/>
  <c r="B43" i="26"/>
  <c r="N29" i="13" l="1"/>
  <c r="P29" i="13" s="1"/>
  <c r="N23" i="13"/>
  <c r="P23" i="13" s="1"/>
  <c r="N20" i="13"/>
  <c r="P20" i="13" s="1"/>
  <c r="N17" i="13"/>
  <c r="C22" i="7"/>
  <c r="D23" i="7"/>
  <c r="E24" i="7"/>
  <c r="F25" i="7"/>
  <c r="I902" i="19"/>
  <c r="G902" i="19"/>
  <c r="I885" i="19"/>
  <c r="G885" i="19"/>
  <c r="I878" i="19"/>
  <c r="G878" i="19"/>
  <c r="I867" i="19"/>
  <c r="G867" i="19"/>
  <c r="I857" i="19"/>
  <c r="G857" i="19"/>
  <c r="M848" i="19"/>
  <c r="L848" i="19"/>
  <c r="K848" i="19"/>
  <c r="J848" i="19"/>
  <c r="I848" i="19"/>
  <c r="H848" i="19"/>
  <c r="G848" i="19"/>
  <c r="M840" i="19"/>
  <c r="L840" i="19"/>
  <c r="K840" i="19"/>
  <c r="J840" i="19"/>
  <c r="I840" i="19"/>
  <c r="H840" i="19"/>
  <c r="G840" i="19"/>
  <c r="M833" i="19"/>
  <c r="L833" i="19"/>
  <c r="K833" i="19"/>
  <c r="J833" i="19"/>
  <c r="I833" i="19"/>
  <c r="H833" i="19"/>
  <c r="G833" i="19"/>
  <c r="K828" i="19"/>
  <c r="J828" i="19"/>
  <c r="I828" i="19"/>
  <c r="H828" i="19"/>
  <c r="G828" i="19"/>
  <c r="I380" i="19"/>
  <c r="G380" i="19"/>
  <c r="O271" i="19"/>
  <c r="O272" i="19" s="1"/>
  <c r="P272" i="19"/>
  <c r="N270" i="19"/>
  <c r="N271" i="19" s="1"/>
  <c r="G903" i="19" s="1"/>
  <c r="G904" i="19" s="1"/>
  <c r="B263" i="19"/>
  <c r="M258" i="19"/>
  <c r="M259" i="19" s="1"/>
  <c r="G880" i="19" s="1"/>
  <c r="L257" i="19"/>
  <c r="L258" i="19" s="1"/>
  <c r="G873" i="19" s="1"/>
  <c r="K256" i="19"/>
  <c r="K257" i="19" s="1"/>
  <c r="G862" i="19" s="1"/>
  <c r="J255" i="19"/>
  <c r="J256" i="19" s="1"/>
  <c r="G852" i="19" s="1"/>
  <c r="I254" i="19"/>
  <c r="I255" i="19" s="1"/>
  <c r="G843" i="19" s="1"/>
  <c r="H253" i="19"/>
  <c r="H254" i="19" s="1"/>
  <c r="G835" i="19" s="1"/>
  <c r="G252" i="19"/>
  <c r="G253" i="19" s="1"/>
  <c r="G829" i="19" s="1"/>
  <c r="I829" i="19" s="1"/>
  <c r="J829" i="19" s="1"/>
  <c r="K829" i="19" s="1"/>
  <c r="B252" i="19"/>
  <c r="P250" i="19"/>
  <c r="O249" i="19"/>
  <c r="N248" i="19"/>
  <c r="M247" i="19"/>
  <c r="L246" i="19"/>
  <c r="K245" i="19"/>
  <c r="K246" i="19" s="1"/>
  <c r="J244" i="19"/>
  <c r="J245" i="19" s="1"/>
  <c r="I243" i="19"/>
  <c r="I244" i="19" s="1"/>
  <c r="H242" i="19"/>
  <c r="H243" i="19" s="1"/>
  <c r="O250" i="19"/>
  <c r="N249" i="19"/>
  <c r="M248" i="19"/>
  <c r="L247" i="19"/>
  <c r="G241" i="19"/>
  <c r="P184" i="19"/>
  <c r="O183" i="19"/>
  <c r="O184" i="19" s="1"/>
  <c r="N182" i="19"/>
  <c r="B175" i="19"/>
  <c r="R123" i="19"/>
  <c r="R122" i="19"/>
  <c r="B122" i="19"/>
  <c r="R23" i="19"/>
  <c r="B133" i="19"/>
  <c r="B45" i="19"/>
  <c r="R24" i="19"/>
  <c r="R21" i="19"/>
  <c r="R18" i="19"/>
  <c r="R16" i="19"/>
  <c r="R22" i="19"/>
  <c r="G124" i="19" l="1"/>
  <c r="H903" i="19"/>
  <c r="P17" i="13"/>
  <c r="H872" i="19"/>
  <c r="K129" i="19" s="1"/>
  <c r="H862" i="19"/>
  <c r="H886" i="19"/>
  <c r="M131" i="19" s="1"/>
  <c r="H880" i="19"/>
  <c r="H879" i="19"/>
  <c r="L130" i="19" s="1"/>
  <c r="H873" i="19"/>
  <c r="H834" i="19"/>
  <c r="H835" i="19"/>
  <c r="I835" i="19" s="1"/>
  <c r="G834" i="19"/>
  <c r="R252" i="19"/>
  <c r="R253" i="19"/>
  <c r="N183" i="19"/>
  <c r="R271" i="19"/>
  <c r="H836" i="19" l="1"/>
  <c r="I873" i="19"/>
  <c r="G879" i="19" s="1"/>
  <c r="L129" i="19"/>
  <c r="I862" i="19"/>
  <c r="G872" i="19" s="1"/>
  <c r="I872" i="19" s="1"/>
  <c r="K128" i="19"/>
  <c r="H904" i="19"/>
  <c r="C911" i="19" s="1"/>
  <c r="N142" i="19"/>
  <c r="H887" i="19"/>
  <c r="C895" i="19" s="1"/>
  <c r="I880" i="19"/>
  <c r="G886" i="19" s="1"/>
  <c r="G887" i="19" s="1"/>
  <c r="M130" i="19"/>
  <c r="I903" i="19"/>
  <c r="I904" i="19" s="1"/>
  <c r="H881" i="19"/>
  <c r="C894" i="19" s="1"/>
  <c r="I834" i="19"/>
  <c r="G836" i="19"/>
  <c r="G381" i="19"/>
  <c r="H381" i="19" s="1"/>
  <c r="H382" i="19" s="1"/>
  <c r="R183" i="19"/>
  <c r="R142" i="19" l="1"/>
  <c r="N272" i="19"/>
  <c r="R272" i="19" s="1"/>
  <c r="C389" i="19"/>
  <c r="N54" i="19"/>
  <c r="I886" i="19"/>
  <c r="I887" i="19" s="1"/>
  <c r="G382" i="19"/>
  <c r="G881" i="19"/>
  <c r="I879" i="19"/>
  <c r="I881" i="19" s="1"/>
  <c r="I836" i="19"/>
  <c r="J836" i="19" s="1"/>
  <c r="K834" i="19" s="1"/>
  <c r="I381" i="19"/>
  <c r="I382" i="19" s="1"/>
  <c r="R54" i="19" l="1"/>
  <c r="N184" i="19"/>
  <c r="R184" i="19" s="1"/>
  <c r="L834" i="19"/>
  <c r="G125" i="19" s="1"/>
  <c r="M834" i="19"/>
  <c r="K835" i="19"/>
  <c r="G841" i="19" l="1"/>
  <c r="L835" i="19"/>
  <c r="H125" i="19" s="1"/>
  <c r="M835" i="19"/>
  <c r="G842" i="19" s="1"/>
  <c r="K836" i="19"/>
  <c r="R182" i="19"/>
  <c r="M836" i="19" l="1"/>
  <c r="G844" i="19"/>
  <c r="R270" i="19"/>
  <c r="H842" i="19" l="1"/>
  <c r="I842" i="19" s="1"/>
  <c r="H843" i="19"/>
  <c r="I843" i="19" s="1"/>
  <c r="H841" i="19"/>
  <c r="H844" i="19" l="1"/>
  <c r="I841" i="19"/>
  <c r="I844" i="19" l="1"/>
  <c r="J844" i="19" s="1"/>
  <c r="K841" i="19"/>
  <c r="L841" i="19" l="1"/>
  <c r="G126" i="19" s="1"/>
  <c r="K842" i="19"/>
  <c r="K843" i="19" s="1"/>
  <c r="M841" i="19"/>
  <c r="L843" i="19" l="1"/>
  <c r="I126" i="19" s="1"/>
  <c r="M843" i="19"/>
  <c r="G851" i="19" s="1"/>
  <c r="L842" i="19"/>
  <c r="H126" i="19" s="1"/>
  <c r="M842" i="19"/>
  <c r="G850" i="19" s="1"/>
  <c r="K844" i="19"/>
  <c r="G849" i="19"/>
  <c r="M844" i="19" l="1"/>
  <c r="G853" i="19"/>
  <c r="H851" i="19" l="1"/>
  <c r="I851" i="19" s="1"/>
  <c r="H849" i="19"/>
  <c r="H852" i="19"/>
  <c r="I852" i="19" s="1"/>
  <c r="H850" i="19"/>
  <c r="I850" i="19" s="1"/>
  <c r="H853" i="19" l="1"/>
  <c r="I849" i="19"/>
  <c r="I853" i="19" l="1"/>
  <c r="J853" i="19" s="1"/>
  <c r="K849" i="19" s="1"/>
  <c r="L849" i="19" l="1"/>
  <c r="G127" i="19" s="1"/>
  <c r="M849" i="19"/>
  <c r="K850" i="19"/>
  <c r="L850" i="19" l="1"/>
  <c r="H127" i="19" s="1"/>
  <c r="M850" i="19"/>
  <c r="G859" i="19" s="1"/>
  <c r="G858" i="19"/>
  <c r="K851" i="19"/>
  <c r="K852" i="19" l="1"/>
  <c r="L852" i="19" s="1"/>
  <c r="J127" i="19" s="1"/>
  <c r="H858" i="19"/>
  <c r="G128" i="19" s="1"/>
  <c r="H868" i="19"/>
  <c r="G129" i="19" s="1"/>
  <c r="H869" i="19"/>
  <c r="H129" i="19" s="1"/>
  <c r="H859" i="19"/>
  <c r="L851" i="19"/>
  <c r="I127" i="19" s="1"/>
  <c r="M851" i="19"/>
  <c r="I859" i="19" l="1"/>
  <c r="G869" i="19" s="1"/>
  <c r="I869" i="19" s="1"/>
  <c r="H128" i="19"/>
  <c r="K853" i="19"/>
  <c r="M852" i="19"/>
  <c r="G861" i="19" s="1"/>
  <c r="H861" i="19" s="1"/>
  <c r="G860" i="19"/>
  <c r="I858" i="19"/>
  <c r="I861" i="19" l="1"/>
  <c r="G871" i="19" s="1"/>
  <c r="J128" i="19"/>
  <c r="M853" i="19"/>
  <c r="H871" i="19"/>
  <c r="J129" i="19" s="1"/>
  <c r="G863" i="19"/>
  <c r="H870" i="19"/>
  <c r="H860" i="19"/>
  <c r="I128" i="19" s="1"/>
  <c r="G868" i="19"/>
  <c r="I871" i="19" l="1"/>
  <c r="H874" i="19"/>
  <c r="C893" i="19" s="1"/>
  <c r="I129" i="19"/>
  <c r="I860" i="19"/>
  <c r="H863" i="19"/>
  <c r="C892" i="19" s="1"/>
  <c r="I868" i="19"/>
  <c r="G870" i="19" l="1"/>
  <c r="I863" i="19"/>
  <c r="I870" i="19" l="1"/>
  <c r="I874" i="19" s="1"/>
  <c r="G874" i="19"/>
  <c r="A26" i="5" l="1"/>
  <c r="E53" i="5" l="1"/>
  <c r="E56" i="5"/>
  <c r="D56" i="5"/>
  <c r="D53" i="5"/>
  <c r="E52" i="5" l="1"/>
  <c r="D52" i="5"/>
  <c r="B1" i="2"/>
  <c r="A63" i="1"/>
  <c r="A62" i="1"/>
  <c r="A61" i="1"/>
  <c r="A60" i="1"/>
  <c r="A59" i="1"/>
  <c r="A58" i="1"/>
  <c r="A56" i="1"/>
  <c r="A55" i="1"/>
  <c r="A51" i="1"/>
  <c r="A50" i="1"/>
  <c r="A49" i="1"/>
  <c r="A48" i="1"/>
  <c r="A46" i="1"/>
  <c r="A45" i="1"/>
  <c r="A44" i="1"/>
  <c r="A43" i="1"/>
  <c r="A42" i="1"/>
  <c r="A41" i="1"/>
  <c r="A40" i="1"/>
  <c r="A39" i="1"/>
  <c r="A38" i="1"/>
  <c r="K2" i="40"/>
  <c r="K1" i="40"/>
  <c r="H75" i="39"/>
  <c r="G75" i="39"/>
  <c r="D4" i="39" s="1"/>
  <c r="D75" i="39"/>
  <c r="C75" i="39"/>
  <c r="E73" i="39"/>
  <c r="I73" i="39" s="1"/>
  <c r="E72" i="39"/>
  <c r="I72" i="39" s="1"/>
  <c r="E71" i="39"/>
  <c r="I71" i="39" s="1"/>
  <c r="E70" i="39"/>
  <c r="I70" i="39" s="1"/>
  <c r="E69" i="39"/>
  <c r="I69" i="39" s="1"/>
  <c r="E68" i="39"/>
  <c r="I68" i="39" s="1"/>
  <c r="E67" i="39"/>
  <c r="I67" i="39" s="1"/>
  <c r="E66" i="39"/>
  <c r="I66" i="39" s="1"/>
  <c r="E65" i="39"/>
  <c r="I65" i="39" s="1"/>
  <c r="E64" i="39"/>
  <c r="I64" i="39" s="1"/>
  <c r="E63" i="39"/>
  <c r="I63" i="39" s="1"/>
  <c r="E62" i="39"/>
  <c r="I62" i="39" s="1"/>
  <c r="E61" i="39"/>
  <c r="I61" i="39" s="1"/>
  <c r="E60" i="39"/>
  <c r="I60" i="39" s="1"/>
  <c r="E59" i="39"/>
  <c r="I59" i="39" s="1"/>
  <c r="E58" i="39"/>
  <c r="I58" i="39" s="1"/>
  <c r="E57" i="39"/>
  <c r="I57" i="39" s="1"/>
  <c r="E56" i="39"/>
  <c r="I56" i="39" s="1"/>
  <c r="E55" i="39"/>
  <c r="I55" i="39" s="1"/>
  <c r="E54" i="39"/>
  <c r="I54" i="39" s="1"/>
  <c r="E53" i="39"/>
  <c r="I53" i="39" s="1"/>
  <c r="E52" i="39"/>
  <c r="I52" i="39" s="1"/>
  <c r="E51" i="39"/>
  <c r="I51" i="39" s="1"/>
  <c r="E50" i="39"/>
  <c r="I50" i="39" s="1"/>
  <c r="H42" i="39"/>
  <c r="G42" i="39"/>
  <c r="C4" i="39" s="1"/>
  <c r="D42" i="39"/>
  <c r="C42" i="39"/>
  <c r="E40" i="39"/>
  <c r="I40" i="39" s="1"/>
  <c r="E39" i="39"/>
  <c r="I39" i="39" s="1"/>
  <c r="E38" i="39"/>
  <c r="I38" i="39" s="1"/>
  <c r="E37" i="39"/>
  <c r="I37" i="39" s="1"/>
  <c r="E36" i="39"/>
  <c r="I36" i="39" s="1"/>
  <c r="E35" i="39"/>
  <c r="I35" i="39" s="1"/>
  <c r="E34" i="39"/>
  <c r="I34" i="39" s="1"/>
  <c r="E33" i="39"/>
  <c r="I33" i="39" s="1"/>
  <c r="E32" i="39"/>
  <c r="I32" i="39" s="1"/>
  <c r="E31" i="39"/>
  <c r="I31" i="39" s="1"/>
  <c r="E30" i="39"/>
  <c r="I30" i="39" s="1"/>
  <c r="E29" i="39"/>
  <c r="I29" i="39" s="1"/>
  <c r="E28" i="39"/>
  <c r="I28" i="39" s="1"/>
  <c r="E27" i="39"/>
  <c r="I27" i="39" s="1"/>
  <c r="E26" i="39"/>
  <c r="I26" i="39" s="1"/>
  <c r="E25" i="39"/>
  <c r="I25" i="39" s="1"/>
  <c r="E24" i="39"/>
  <c r="I24" i="39" s="1"/>
  <c r="E23" i="39"/>
  <c r="I23" i="39" s="1"/>
  <c r="E22" i="39"/>
  <c r="I22" i="39" s="1"/>
  <c r="E21" i="39"/>
  <c r="I21" i="39" s="1"/>
  <c r="E20" i="39"/>
  <c r="I20" i="39" s="1"/>
  <c r="E19" i="39"/>
  <c r="I19" i="39" s="1"/>
  <c r="E18" i="39"/>
  <c r="I18" i="39" s="1"/>
  <c r="E17" i="39"/>
  <c r="B4" i="39"/>
  <c r="J1" i="39"/>
  <c r="H75" i="38"/>
  <c r="G75" i="38"/>
  <c r="D4" i="38" s="1"/>
  <c r="D75" i="38"/>
  <c r="C75" i="38"/>
  <c r="E73" i="38"/>
  <c r="I73" i="38" s="1"/>
  <c r="E72" i="38"/>
  <c r="I72" i="38" s="1"/>
  <c r="E71" i="38"/>
  <c r="I71" i="38" s="1"/>
  <c r="E70" i="38"/>
  <c r="I70" i="38" s="1"/>
  <c r="E69" i="38"/>
  <c r="I69" i="38" s="1"/>
  <c r="E68" i="38"/>
  <c r="I68" i="38" s="1"/>
  <c r="E67" i="38"/>
  <c r="I67" i="38" s="1"/>
  <c r="E66" i="38"/>
  <c r="I66" i="38" s="1"/>
  <c r="E65" i="38"/>
  <c r="I65" i="38" s="1"/>
  <c r="E64" i="38"/>
  <c r="I64" i="38" s="1"/>
  <c r="E63" i="38"/>
  <c r="I63" i="38" s="1"/>
  <c r="E62" i="38"/>
  <c r="I62" i="38" s="1"/>
  <c r="E61" i="38"/>
  <c r="I61" i="38" s="1"/>
  <c r="E60" i="38"/>
  <c r="I60" i="38" s="1"/>
  <c r="E59" i="38"/>
  <c r="I59" i="38" s="1"/>
  <c r="E58" i="38"/>
  <c r="I58" i="38" s="1"/>
  <c r="E57" i="38"/>
  <c r="I57" i="38" s="1"/>
  <c r="E56" i="38"/>
  <c r="I56" i="38" s="1"/>
  <c r="E55" i="38"/>
  <c r="I55" i="38" s="1"/>
  <c r="E54" i="38"/>
  <c r="I54" i="38" s="1"/>
  <c r="E53" i="38"/>
  <c r="I53" i="38" s="1"/>
  <c r="E52" i="38"/>
  <c r="I52" i="38" s="1"/>
  <c r="E51" i="38"/>
  <c r="I51" i="38" s="1"/>
  <c r="E50" i="38"/>
  <c r="I50" i="38" s="1"/>
  <c r="E30" i="38"/>
  <c r="I30" i="38" s="1"/>
  <c r="H42" i="38"/>
  <c r="J1" i="38"/>
  <c r="G42" i="38"/>
  <c r="C4" i="38" s="1"/>
  <c r="D42" i="38"/>
  <c r="C42" i="38"/>
  <c r="E40" i="38"/>
  <c r="I40" i="38" s="1"/>
  <c r="E39" i="38"/>
  <c r="I39" i="38" s="1"/>
  <c r="E38" i="38"/>
  <c r="I38" i="38" s="1"/>
  <c r="E37" i="38"/>
  <c r="I37" i="38" s="1"/>
  <c r="E36" i="38"/>
  <c r="I36" i="38" s="1"/>
  <c r="E35" i="38"/>
  <c r="I35" i="38" s="1"/>
  <c r="E34" i="38"/>
  <c r="I34" i="38" s="1"/>
  <c r="E33" i="38"/>
  <c r="I33" i="38" s="1"/>
  <c r="E32" i="38"/>
  <c r="I32" i="38" s="1"/>
  <c r="E31" i="38"/>
  <c r="I31" i="38" s="1"/>
  <c r="E29" i="38"/>
  <c r="I29" i="38" s="1"/>
  <c r="E28" i="38"/>
  <c r="I28" i="38" s="1"/>
  <c r="E27" i="38"/>
  <c r="I27" i="38" s="1"/>
  <c r="E26" i="38"/>
  <c r="I26" i="38" s="1"/>
  <c r="E25" i="38"/>
  <c r="I25" i="38" s="1"/>
  <c r="E24" i="38"/>
  <c r="I24" i="38" s="1"/>
  <c r="E23" i="38"/>
  <c r="I23" i="38" s="1"/>
  <c r="E22" i="38"/>
  <c r="I22" i="38" s="1"/>
  <c r="E21" i="38"/>
  <c r="I21" i="38" s="1"/>
  <c r="E20" i="38"/>
  <c r="I20" i="38" s="1"/>
  <c r="E19" i="38"/>
  <c r="I19" i="38" s="1"/>
  <c r="E18" i="38"/>
  <c r="I18" i="38" s="1"/>
  <c r="E17" i="38"/>
  <c r="I17" i="38" s="1"/>
  <c r="B4" i="38"/>
  <c r="B4" i="37"/>
  <c r="H117" i="36"/>
  <c r="G117" i="36"/>
  <c r="D4" i="36" s="1"/>
  <c r="D117" i="36"/>
  <c r="C117" i="36"/>
  <c r="E115" i="36"/>
  <c r="I115" i="36" s="1"/>
  <c r="E114" i="36"/>
  <c r="I114" i="36" s="1"/>
  <c r="E113" i="36"/>
  <c r="I113" i="36" s="1"/>
  <c r="E112" i="36"/>
  <c r="I112" i="36" s="1"/>
  <c r="E111" i="36"/>
  <c r="I111" i="36" s="1"/>
  <c r="E110" i="36"/>
  <c r="I110" i="36" s="1"/>
  <c r="E109" i="36"/>
  <c r="I109" i="36" s="1"/>
  <c r="E108" i="36"/>
  <c r="I108" i="36" s="1"/>
  <c r="E107" i="36"/>
  <c r="I107" i="36" s="1"/>
  <c r="E106" i="36"/>
  <c r="I106" i="36" s="1"/>
  <c r="E105" i="36"/>
  <c r="I105" i="36" s="1"/>
  <c r="E104" i="36"/>
  <c r="I104" i="36" s="1"/>
  <c r="E103" i="36"/>
  <c r="I103" i="36" s="1"/>
  <c r="E102" i="36"/>
  <c r="I102" i="36" s="1"/>
  <c r="E101" i="36"/>
  <c r="I101" i="36" s="1"/>
  <c r="E100" i="36"/>
  <c r="I100" i="36" s="1"/>
  <c r="E99" i="36"/>
  <c r="I99" i="36" s="1"/>
  <c r="E98" i="36"/>
  <c r="I98" i="36" s="1"/>
  <c r="E97" i="36"/>
  <c r="I97" i="36" s="1"/>
  <c r="E96" i="36"/>
  <c r="I96" i="36" s="1"/>
  <c r="E95" i="36"/>
  <c r="I95" i="36" s="1"/>
  <c r="E94" i="36"/>
  <c r="I94" i="36" s="1"/>
  <c r="E93" i="36"/>
  <c r="I93" i="36" s="1"/>
  <c r="E92" i="36"/>
  <c r="I92" i="36" s="1"/>
  <c r="E91" i="36"/>
  <c r="I91" i="36" s="1"/>
  <c r="E90" i="36"/>
  <c r="I90" i="36" s="1"/>
  <c r="E89" i="36"/>
  <c r="I89" i="36" s="1"/>
  <c r="E88" i="36"/>
  <c r="I88" i="36" s="1"/>
  <c r="E87" i="36"/>
  <c r="I87" i="36" s="1"/>
  <c r="E86" i="36"/>
  <c r="I86" i="36" s="1"/>
  <c r="E85" i="36"/>
  <c r="I85" i="36" s="1"/>
  <c r="E84" i="36"/>
  <c r="I84" i="36" s="1"/>
  <c r="E83" i="36"/>
  <c r="I83" i="36" s="1"/>
  <c r="E82" i="36"/>
  <c r="I82" i="36" s="1"/>
  <c r="E81" i="36"/>
  <c r="I81" i="36" s="1"/>
  <c r="E80" i="36"/>
  <c r="I80" i="36" s="1"/>
  <c r="E79" i="36"/>
  <c r="I79" i="36" s="1"/>
  <c r="E78" i="36"/>
  <c r="I78" i="36" s="1"/>
  <c r="E77" i="36"/>
  <c r="I77" i="36" s="1"/>
  <c r="E76" i="36"/>
  <c r="I76" i="36" s="1"/>
  <c r="E75" i="36"/>
  <c r="I75" i="36" s="1"/>
  <c r="E74" i="36"/>
  <c r="I74" i="36" s="1"/>
  <c r="E73" i="36"/>
  <c r="I73" i="36" s="1"/>
  <c r="E72" i="36"/>
  <c r="I72" i="36" s="1"/>
  <c r="E71" i="36"/>
  <c r="H117" i="37"/>
  <c r="G117" i="37"/>
  <c r="D4" i="37" s="1"/>
  <c r="D117" i="37"/>
  <c r="C117" i="37"/>
  <c r="E115" i="37"/>
  <c r="I115" i="37" s="1"/>
  <c r="E114" i="37"/>
  <c r="I114" i="37" s="1"/>
  <c r="E113" i="37"/>
  <c r="I113" i="37" s="1"/>
  <c r="E112" i="37"/>
  <c r="I112" i="37" s="1"/>
  <c r="E111" i="37"/>
  <c r="I111" i="37" s="1"/>
  <c r="E110" i="37"/>
  <c r="I110" i="37" s="1"/>
  <c r="E109" i="37"/>
  <c r="I109" i="37" s="1"/>
  <c r="E108" i="37"/>
  <c r="I108" i="37" s="1"/>
  <c r="E107" i="37"/>
  <c r="I107" i="37" s="1"/>
  <c r="E106" i="37"/>
  <c r="I106" i="37" s="1"/>
  <c r="E105" i="37"/>
  <c r="I105" i="37" s="1"/>
  <c r="E104" i="37"/>
  <c r="I104" i="37" s="1"/>
  <c r="E103" i="37"/>
  <c r="I103" i="37" s="1"/>
  <c r="E102" i="37"/>
  <c r="I102" i="37" s="1"/>
  <c r="E101" i="37"/>
  <c r="I101" i="37" s="1"/>
  <c r="E100" i="37"/>
  <c r="I100" i="37" s="1"/>
  <c r="E99" i="37"/>
  <c r="I99" i="37" s="1"/>
  <c r="E98" i="37"/>
  <c r="I98" i="37" s="1"/>
  <c r="E97" i="37"/>
  <c r="I97" i="37" s="1"/>
  <c r="E96" i="37"/>
  <c r="I96" i="37" s="1"/>
  <c r="E95" i="37"/>
  <c r="I95" i="37" s="1"/>
  <c r="E94" i="37"/>
  <c r="I94" i="37" s="1"/>
  <c r="E93" i="37"/>
  <c r="I93" i="37" s="1"/>
  <c r="E92" i="37"/>
  <c r="I92" i="37" s="1"/>
  <c r="E91" i="37"/>
  <c r="I91" i="37" s="1"/>
  <c r="E90" i="37"/>
  <c r="I90" i="37" s="1"/>
  <c r="E89" i="37"/>
  <c r="I89" i="37" s="1"/>
  <c r="E88" i="37"/>
  <c r="I88" i="37" s="1"/>
  <c r="E87" i="37"/>
  <c r="I87" i="37" s="1"/>
  <c r="E86" i="37"/>
  <c r="I86" i="37" s="1"/>
  <c r="E85" i="37"/>
  <c r="I85" i="37" s="1"/>
  <c r="E84" i="37"/>
  <c r="I84" i="37" s="1"/>
  <c r="E83" i="37"/>
  <c r="I83" i="37" s="1"/>
  <c r="E82" i="37"/>
  <c r="I82" i="37" s="1"/>
  <c r="E81" i="37"/>
  <c r="I81" i="37" s="1"/>
  <c r="E80" i="37"/>
  <c r="I80" i="37" s="1"/>
  <c r="E79" i="37"/>
  <c r="I79" i="37" s="1"/>
  <c r="E78" i="37"/>
  <c r="I78" i="37" s="1"/>
  <c r="E77" i="37"/>
  <c r="I77" i="37" s="1"/>
  <c r="E76" i="37"/>
  <c r="I76" i="37" s="1"/>
  <c r="E75" i="37"/>
  <c r="I75" i="37" s="1"/>
  <c r="E74" i="37"/>
  <c r="I74" i="37" s="1"/>
  <c r="E73" i="37"/>
  <c r="I73" i="37" s="1"/>
  <c r="E72" i="37"/>
  <c r="I72" i="37" s="1"/>
  <c r="E71" i="37"/>
  <c r="I71" i="37" s="1"/>
  <c r="H63" i="37"/>
  <c r="G63" i="37"/>
  <c r="C4" i="37" s="1"/>
  <c r="D63" i="37"/>
  <c r="C63" i="37"/>
  <c r="E61" i="37"/>
  <c r="I61" i="37" s="1"/>
  <c r="E60" i="37"/>
  <c r="I60" i="37" s="1"/>
  <c r="E59" i="37"/>
  <c r="I59" i="37" s="1"/>
  <c r="E58" i="37"/>
  <c r="I58" i="37" s="1"/>
  <c r="E57" i="37"/>
  <c r="I57" i="37" s="1"/>
  <c r="E56" i="37"/>
  <c r="I56" i="37" s="1"/>
  <c r="E55" i="37"/>
  <c r="I55" i="37" s="1"/>
  <c r="E54" i="37"/>
  <c r="I54" i="37" s="1"/>
  <c r="E53" i="37"/>
  <c r="I53" i="37" s="1"/>
  <c r="E52" i="37"/>
  <c r="I52" i="37" s="1"/>
  <c r="E51" i="37"/>
  <c r="I51" i="37" s="1"/>
  <c r="E50" i="37"/>
  <c r="I50" i="37" s="1"/>
  <c r="E49" i="37"/>
  <c r="I49" i="37" s="1"/>
  <c r="E48" i="37"/>
  <c r="I48" i="37" s="1"/>
  <c r="E47" i="37"/>
  <c r="I47" i="37" s="1"/>
  <c r="E46" i="37"/>
  <c r="I46" i="37" s="1"/>
  <c r="E45" i="37"/>
  <c r="I45" i="37" s="1"/>
  <c r="E44" i="37"/>
  <c r="I44" i="37" s="1"/>
  <c r="E43" i="37"/>
  <c r="I43" i="37" s="1"/>
  <c r="E42" i="37"/>
  <c r="I42" i="37" s="1"/>
  <c r="E41" i="37"/>
  <c r="I41" i="37" s="1"/>
  <c r="E40" i="37"/>
  <c r="I40" i="37" s="1"/>
  <c r="E39" i="37"/>
  <c r="I39" i="37" s="1"/>
  <c r="E38" i="37"/>
  <c r="I38" i="37" s="1"/>
  <c r="E37" i="37"/>
  <c r="I37" i="37" s="1"/>
  <c r="E36" i="37"/>
  <c r="I36" i="37" s="1"/>
  <c r="E35" i="37"/>
  <c r="I35" i="37" s="1"/>
  <c r="E34" i="37"/>
  <c r="I34" i="37" s="1"/>
  <c r="E33" i="37"/>
  <c r="I33" i="37" s="1"/>
  <c r="E32" i="37"/>
  <c r="I32" i="37" s="1"/>
  <c r="E31" i="37"/>
  <c r="I31" i="37" s="1"/>
  <c r="E30" i="37"/>
  <c r="I30" i="37" s="1"/>
  <c r="E29" i="37"/>
  <c r="I29" i="37" s="1"/>
  <c r="E28" i="37"/>
  <c r="I28" i="37" s="1"/>
  <c r="E27" i="37"/>
  <c r="I27" i="37" s="1"/>
  <c r="E26" i="37"/>
  <c r="I26" i="37" s="1"/>
  <c r="E25" i="37"/>
  <c r="I25" i="37" s="1"/>
  <c r="E24" i="37"/>
  <c r="I24" i="37" s="1"/>
  <c r="E23" i="37"/>
  <c r="I23" i="37" s="1"/>
  <c r="E22" i="37"/>
  <c r="I22" i="37" s="1"/>
  <c r="E21" i="37"/>
  <c r="I21" i="37" s="1"/>
  <c r="E20" i="37"/>
  <c r="I20" i="37" s="1"/>
  <c r="E19" i="37"/>
  <c r="I19" i="37" s="1"/>
  <c r="E18" i="37"/>
  <c r="I18" i="37" s="1"/>
  <c r="E17" i="37"/>
  <c r="I17" i="37" s="1"/>
  <c r="K1" i="37"/>
  <c r="K1" i="36"/>
  <c r="E60" i="36"/>
  <c r="I60" i="36" s="1"/>
  <c r="E53" i="36"/>
  <c r="I53" i="36" s="1"/>
  <c r="G63" i="36"/>
  <c r="C4" i="36" s="1"/>
  <c r="B4" i="36"/>
  <c r="H63" i="36"/>
  <c r="D63" i="36"/>
  <c r="C63" i="36"/>
  <c r="E61" i="36"/>
  <c r="I61" i="36" s="1"/>
  <c r="E59" i="36"/>
  <c r="I59" i="36" s="1"/>
  <c r="E58" i="36"/>
  <c r="I58" i="36" s="1"/>
  <c r="E57" i="36"/>
  <c r="I57" i="36" s="1"/>
  <c r="E56" i="36"/>
  <c r="I56" i="36" s="1"/>
  <c r="E55" i="36"/>
  <c r="I55" i="36" s="1"/>
  <c r="E54" i="36"/>
  <c r="I54" i="36" s="1"/>
  <c r="E52" i="36"/>
  <c r="I52" i="36" s="1"/>
  <c r="E51" i="36"/>
  <c r="I51" i="36" s="1"/>
  <c r="E50" i="36"/>
  <c r="I50" i="36" s="1"/>
  <c r="E49" i="36"/>
  <c r="I49" i="36" s="1"/>
  <c r="E48" i="36"/>
  <c r="I48" i="36" s="1"/>
  <c r="E47" i="36"/>
  <c r="I47" i="36" s="1"/>
  <c r="E46" i="36"/>
  <c r="I46" i="36" s="1"/>
  <c r="E45" i="36"/>
  <c r="I45" i="36" s="1"/>
  <c r="E44" i="36"/>
  <c r="I44" i="36" s="1"/>
  <c r="E43" i="36"/>
  <c r="I43" i="36" s="1"/>
  <c r="E42" i="36"/>
  <c r="I42" i="36" s="1"/>
  <c r="E41" i="36"/>
  <c r="I41" i="36" s="1"/>
  <c r="E40" i="36"/>
  <c r="I40" i="36" s="1"/>
  <c r="E39" i="36"/>
  <c r="I39" i="36" s="1"/>
  <c r="E38" i="36"/>
  <c r="I38" i="36" s="1"/>
  <c r="E37" i="36"/>
  <c r="I37" i="36" s="1"/>
  <c r="E36" i="36"/>
  <c r="I36" i="36" s="1"/>
  <c r="E35" i="36"/>
  <c r="I35" i="36" s="1"/>
  <c r="E34" i="36"/>
  <c r="I34" i="36" s="1"/>
  <c r="E33" i="36"/>
  <c r="I33" i="36" s="1"/>
  <c r="E32" i="36"/>
  <c r="I32" i="36" s="1"/>
  <c r="E31" i="36"/>
  <c r="I31" i="36" s="1"/>
  <c r="E30" i="36"/>
  <c r="I30" i="36" s="1"/>
  <c r="E29" i="36"/>
  <c r="I29" i="36" s="1"/>
  <c r="E28" i="36"/>
  <c r="I28" i="36" s="1"/>
  <c r="E27" i="36"/>
  <c r="I27" i="36" s="1"/>
  <c r="E26" i="36"/>
  <c r="I26" i="36" s="1"/>
  <c r="E25" i="36"/>
  <c r="I25" i="36" s="1"/>
  <c r="E24" i="36"/>
  <c r="I24" i="36" s="1"/>
  <c r="E23" i="36"/>
  <c r="I23" i="36" s="1"/>
  <c r="E22" i="36"/>
  <c r="I22" i="36" s="1"/>
  <c r="E21" i="36"/>
  <c r="I21" i="36" s="1"/>
  <c r="E20" i="36"/>
  <c r="I20" i="36" s="1"/>
  <c r="E19" i="36"/>
  <c r="I19" i="36" s="1"/>
  <c r="E18" i="36"/>
  <c r="I18" i="36" s="1"/>
  <c r="E17" i="36"/>
  <c r="I17" i="36" s="1"/>
  <c r="F69" i="36" l="1"/>
  <c r="F15" i="36"/>
  <c r="F48" i="39"/>
  <c r="F15" i="39"/>
  <c r="F48" i="38"/>
  <c r="F15" i="38"/>
  <c r="F69" i="37"/>
  <c r="F15" i="37"/>
  <c r="E32" i="40"/>
  <c r="D32" i="40"/>
  <c r="G48" i="39"/>
  <c r="H15" i="39"/>
  <c r="H48" i="39"/>
  <c r="H48" i="38"/>
  <c r="H15" i="38"/>
  <c r="I15" i="37"/>
  <c r="H69" i="37"/>
  <c r="H15" i="37"/>
  <c r="H69" i="36"/>
  <c r="H15" i="36"/>
  <c r="E117" i="36"/>
  <c r="E42" i="39"/>
  <c r="I75" i="39"/>
  <c r="B11" i="40"/>
  <c r="B32" i="40"/>
  <c r="E7" i="40"/>
  <c r="I48" i="38"/>
  <c r="G15" i="38"/>
  <c r="D48" i="38"/>
  <c r="E69" i="36"/>
  <c r="A14" i="38"/>
  <c r="I48" i="39"/>
  <c r="E15" i="39"/>
  <c r="E48" i="38"/>
  <c r="G15" i="39"/>
  <c r="A47" i="38"/>
  <c r="G48" i="38"/>
  <c r="D48" i="39"/>
  <c r="I15" i="39"/>
  <c r="C48" i="38"/>
  <c r="A14" i="39"/>
  <c r="C48" i="39"/>
  <c r="D15" i="39"/>
  <c r="C15" i="39"/>
  <c r="E48" i="39"/>
  <c r="B26" i="40"/>
  <c r="E19" i="40"/>
  <c r="D18" i="40"/>
  <c r="E18" i="40"/>
  <c r="D19" i="40"/>
  <c r="D14" i="40"/>
  <c r="E14" i="40"/>
  <c r="B7" i="40"/>
  <c r="D15" i="40"/>
  <c r="E15" i="40"/>
  <c r="D4" i="40"/>
  <c r="E4" i="40"/>
  <c r="B22" i="40"/>
  <c r="E75" i="39"/>
  <c r="I17" i="39"/>
  <c r="I42" i="39" s="1"/>
  <c r="A47" i="39"/>
  <c r="I75" i="38"/>
  <c r="E75" i="38"/>
  <c r="I42" i="38"/>
  <c r="C15" i="38"/>
  <c r="E15" i="38"/>
  <c r="I15" i="38"/>
  <c r="D15" i="38"/>
  <c r="E42" i="38"/>
  <c r="E69" i="37"/>
  <c r="A68" i="37"/>
  <c r="G69" i="37"/>
  <c r="C69" i="37"/>
  <c r="A14" i="37"/>
  <c r="D69" i="37"/>
  <c r="I69" i="37"/>
  <c r="A68" i="36"/>
  <c r="G69" i="36"/>
  <c r="C69" i="36"/>
  <c r="A14" i="36"/>
  <c r="D69" i="36"/>
  <c r="I69" i="36"/>
  <c r="I71" i="36"/>
  <c r="I117" i="36" s="1"/>
  <c r="I117" i="37"/>
  <c r="E117" i="37"/>
  <c r="E8" i="40" s="1"/>
  <c r="C15" i="37"/>
  <c r="E15" i="37"/>
  <c r="I63" i="37"/>
  <c r="E63" i="37"/>
  <c r="D8" i="40" s="1"/>
  <c r="G15" i="37"/>
  <c r="D15" i="37"/>
  <c r="I63" i="36"/>
  <c r="G15" i="36"/>
  <c r="D15" i="36"/>
  <c r="E15" i="36"/>
  <c r="E63" i="36"/>
  <c r="D7" i="40" s="1"/>
  <c r="C15" i="36"/>
  <c r="I15" i="36"/>
  <c r="E12" i="35"/>
  <c r="D12" i="35"/>
  <c r="E11" i="35"/>
  <c r="D11" i="35"/>
  <c r="E10" i="35"/>
  <c r="D10" i="35"/>
  <c r="C2" i="35"/>
  <c r="B2" i="35"/>
  <c r="B2" i="34"/>
  <c r="C4" i="33"/>
  <c r="A13" i="33"/>
  <c r="A10" i="33"/>
  <c r="C6" i="33"/>
  <c r="B6" i="33"/>
  <c r="C3" i="33"/>
  <c r="E19" i="35"/>
  <c r="E21" i="35" s="1"/>
  <c r="C22" i="33" s="1"/>
  <c r="D19" i="35"/>
  <c r="D21" i="35" s="1"/>
  <c r="B22" i="33" s="1"/>
  <c r="C7" i="42" l="1"/>
  <c r="D7" i="42"/>
  <c r="D8" i="34"/>
  <c r="D8" i="42"/>
  <c r="C8" i="42"/>
  <c r="D9" i="42"/>
  <c r="C9" i="42"/>
  <c r="C7" i="34"/>
  <c r="B28" i="40"/>
  <c r="D7" i="34"/>
  <c r="C9" i="34"/>
  <c r="C12" i="34" s="1"/>
  <c r="C33" i="33"/>
  <c r="B33" i="33"/>
  <c r="C8" i="34"/>
  <c r="D23" i="40"/>
  <c r="D11" i="40"/>
  <c r="E22" i="40"/>
  <c r="E11" i="40"/>
  <c r="E23" i="40"/>
  <c r="D22" i="40"/>
  <c r="D9" i="34"/>
  <c r="B19" i="33"/>
  <c r="B32" i="33" s="1"/>
  <c r="C19" i="33"/>
  <c r="C32" i="33" l="1"/>
  <c r="E10" i="30" s="1"/>
  <c r="I10" i="25"/>
  <c r="D12" i="34"/>
  <c r="C13" i="34"/>
  <c r="D13" i="34"/>
  <c r="D26" i="40"/>
  <c r="D29" i="40" s="1"/>
  <c r="D34" i="40" s="1"/>
  <c r="B34" i="33" s="1"/>
  <c r="B36" i="33" s="1"/>
  <c r="E26" i="40"/>
  <c r="E29" i="40" s="1"/>
  <c r="E34" i="40" s="1"/>
  <c r="C34" i="33" s="1"/>
  <c r="C36" i="33" s="1"/>
  <c r="D15" i="34" l="1"/>
  <c r="C20" i="33" s="1"/>
  <c r="C24" i="33" s="1"/>
  <c r="C15" i="34"/>
  <c r="B20" i="33" s="1"/>
  <c r="B24" i="33" s="1"/>
  <c r="C38" i="33"/>
  <c r="F10" i="30" s="1"/>
  <c r="L24" i="16"/>
  <c r="C20" i="30"/>
  <c r="D21" i="30"/>
  <c r="F23" i="25"/>
  <c r="C26" i="33" l="1"/>
  <c r="J10" i="25" s="1"/>
  <c r="O24" i="16"/>
  <c r="Q24" i="16" s="1"/>
  <c r="F121" i="22"/>
  <c r="G122" i="22"/>
  <c r="H123" i="22"/>
  <c r="I124" i="22"/>
  <c r="G97" i="8"/>
  <c r="H98" i="8"/>
  <c r="I99" i="8"/>
  <c r="J100" i="8"/>
  <c r="K101" i="8"/>
  <c r="L102" i="8"/>
  <c r="F96" i="8"/>
  <c r="H63" i="7"/>
  <c r="R1" i="5"/>
  <c r="B63" i="5" s="1"/>
  <c r="B69" i="5" s="1"/>
  <c r="B75" i="5" s="1"/>
  <c r="B81" i="5" s="1"/>
  <c r="B87" i="5" s="1"/>
  <c r="B62" i="5" l="1"/>
  <c r="F62" i="30"/>
  <c r="G62" i="30" s="1"/>
  <c r="D33" i="30" s="1"/>
  <c r="F55" i="30"/>
  <c r="G55" i="30" s="1"/>
  <c r="C32" i="30" s="1"/>
  <c r="H60" i="30"/>
  <c r="F60" i="30"/>
  <c r="H54" i="30"/>
  <c r="F54" i="30"/>
  <c r="F46" i="30"/>
  <c r="E45" i="30"/>
  <c r="D44" i="30"/>
  <c r="C43" i="30"/>
  <c r="H43" i="30" s="1"/>
  <c r="F34" i="30"/>
  <c r="E34" i="30"/>
  <c r="F23" i="30"/>
  <c r="E22" i="30"/>
  <c r="E23" i="30" s="1"/>
  <c r="D23" i="30"/>
  <c r="H20" i="30"/>
  <c r="C20" i="25"/>
  <c r="L20" i="25" s="1"/>
  <c r="D21" i="25"/>
  <c r="L21" i="25" s="1"/>
  <c r="F103" i="25"/>
  <c r="G103" i="25" s="1"/>
  <c r="H41" i="25" s="1"/>
  <c r="F96" i="25"/>
  <c r="G96" i="25" s="1"/>
  <c r="F89" i="25"/>
  <c r="G89" i="25" s="1"/>
  <c r="H89" i="25" s="1"/>
  <c r="F95" i="25" s="1"/>
  <c r="H101" i="25"/>
  <c r="G101" i="25"/>
  <c r="F101" i="25"/>
  <c r="H94" i="25"/>
  <c r="G94" i="25"/>
  <c r="F94" i="25"/>
  <c r="H85" i="25"/>
  <c r="G85" i="25"/>
  <c r="F85" i="25"/>
  <c r="H77" i="25"/>
  <c r="G77" i="25"/>
  <c r="F77" i="25"/>
  <c r="J58" i="25"/>
  <c r="I57" i="25"/>
  <c r="H56" i="25"/>
  <c r="G55" i="25"/>
  <c r="F54" i="25"/>
  <c r="I42" i="25"/>
  <c r="L35" i="25"/>
  <c r="J27" i="25"/>
  <c r="I26" i="25"/>
  <c r="L26" i="25" s="1"/>
  <c r="L25" i="25"/>
  <c r="G27" i="25"/>
  <c r="F27" i="25"/>
  <c r="E22" i="25"/>
  <c r="L22" i="25" s="1"/>
  <c r="F24" i="30" l="1"/>
  <c r="H96" i="25"/>
  <c r="F102" i="25" s="1"/>
  <c r="G40" i="25"/>
  <c r="H103" i="25"/>
  <c r="H42" i="25"/>
  <c r="F39" i="25"/>
  <c r="G56" i="30"/>
  <c r="B70" i="30" s="1"/>
  <c r="H55" i="30"/>
  <c r="F61" i="30" s="1"/>
  <c r="G61" i="30"/>
  <c r="H62" i="30"/>
  <c r="E46" i="30"/>
  <c r="H22" i="30"/>
  <c r="D45" i="30"/>
  <c r="D46" i="30" s="1"/>
  <c r="E24" i="30"/>
  <c r="C44" i="30"/>
  <c r="D34" i="30"/>
  <c r="D24" i="30" s="1"/>
  <c r="H19" i="30"/>
  <c r="H21" i="30"/>
  <c r="C23" i="30"/>
  <c r="L23" i="25"/>
  <c r="N35" i="25"/>
  <c r="H27" i="25"/>
  <c r="F80" i="25"/>
  <c r="G80" i="25" s="1"/>
  <c r="G56" i="25"/>
  <c r="H57" i="25"/>
  <c r="D27" i="25"/>
  <c r="I58" i="25"/>
  <c r="F55" i="25"/>
  <c r="F66" i="25"/>
  <c r="L24" i="25"/>
  <c r="E27" i="25"/>
  <c r="I27" i="25"/>
  <c r="I28" i="25" s="1"/>
  <c r="G95" i="25"/>
  <c r="G102" i="25"/>
  <c r="F97" i="25"/>
  <c r="F104" i="25"/>
  <c r="C58" i="22"/>
  <c r="G15" i="29" s="1"/>
  <c r="C60" i="22"/>
  <c r="G17" i="29" s="1"/>
  <c r="G140" i="29" s="1"/>
  <c r="C62" i="22"/>
  <c r="G19" i="29" s="1"/>
  <c r="C63" i="22"/>
  <c r="G20" i="29" s="1"/>
  <c r="G167" i="29" s="1"/>
  <c r="C61" i="22"/>
  <c r="G18" i="29" s="1"/>
  <c r="G149" i="29" s="1"/>
  <c r="P149" i="29" s="1"/>
  <c r="C64" i="22"/>
  <c r="G21" i="29" s="1"/>
  <c r="C65" i="22"/>
  <c r="G22" i="29" s="1"/>
  <c r="G185" i="29" s="1"/>
  <c r="P3" i="22"/>
  <c r="P95" i="29"/>
  <c r="P86" i="29"/>
  <c r="P59" i="29"/>
  <c r="P77" i="29"/>
  <c r="P68" i="29"/>
  <c r="P50" i="29"/>
  <c r="B642" i="29"/>
  <c r="I635" i="29"/>
  <c r="G635" i="29"/>
  <c r="I628" i="29"/>
  <c r="G628" i="29"/>
  <c r="I618" i="29"/>
  <c r="G618" i="29"/>
  <c r="I609" i="29"/>
  <c r="G609" i="29"/>
  <c r="M601" i="29"/>
  <c r="L601" i="29"/>
  <c r="K601" i="29"/>
  <c r="J601" i="29"/>
  <c r="I601" i="29"/>
  <c r="H601" i="29"/>
  <c r="G601" i="29"/>
  <c r="M594" i="29"/>
  <c r="L594" i="29"/>
  <c r="K594" i="29"/>
  <c r="J594" i="29"/>
  <c r="I594" i="29"/>
  <c r="H594" i="29"/>
  <c r="K589" i="29"/>
  <c r="J589" i="29"/>
  <c r="I589" i="29"/>
  <c r="H589" i="29"/>
  <c r="G589" i="29"/>
  <c r="B579" i="29"/>
  <c r="I572" i="29"/>
  <c r="G572" i="29"/>
  <c r="I562" i="29"/>
  <c r="G562" i="29"/>
  <c r="I553" i="29"/>
  <c r="G553" i="29"/>
  <c r="M545" i="29"/>
  <c r="L545" i="29"/>
  <c r="K545" i="29"/>
  <c r="J545" i="29"/>
  <c r="I545" i="29"/>
  <c r="H545" i="29"/>
  <c r="G545" i="29"/>
  <c r="M538" i="29"/>
  <c r="L538" i="29"/>
  <c r="K538" i="29"/>
  <c r="J538" i="29"/>
  <c r="I538" i="29"/>
  <c r="H538" i="29"/>
  <c r="G538" i="29"/>
  <c r="K533" i="29"/>
  <c r="J533" i="29"/>
  <c r="I533" i="29"/>
  <c r="H533" i="29"/>
  <c r="G533" i="29"/>
  <c r="B412" i="29"/>
  <c r="I403" i="29"/>
  <c r="G403" i="29"/>
  <c r="I394" i="29"/>
  <c r="G394" i="29"/>
  <c r="M386" i="29"/>
  <c r="L386" i="29"/>
  <c r="K386" i="29"/>
  <c r="J386" i="29"/>
  <c r="I386" i="29"/>
  <c r="H386" i="29"/>
  <c r="G386" i="29"/>
  <c r="M379" i="29"/>
  <c r="L379" i="29"/>
  <c r="K379" i="29"/>
  <c r="J379" i="29"/>
  <c r="I379" i="29"/>
  <c r="H379" i="29"/>
  <c r="G379" i="29"/>
  <c r="K374" i="29"/>
  <c r="J374" i="29"/>
  <c r="I374" i="29"/>
  <c r="H374" i="29"/>
  <c r="G374" i="29"/>
  <c r="B523" i="29"/>
  <c r="I516" i="29"/>
  <c r="G516" i="29"/>
  <c r="I509" i="29"/>
  <c r="G509" i="29"/>
  <c r="I499" i="29"/>
  <c r="G499" i="29"/>
  <c r="I490" i="29"/>
  <c r="G490" i="29"/>
  <c r="M482" i="29"/>
  <c r="L482" i="29"/>
  <c r="K482" i="29"/>
  <c r="J482" i="29"/>
  <c r="I482" i="29"/>
  <c r="H482" i="29"/>
  <c r="G482" i="29"/>
  <c r="M475" i="29"/>
  <c r="L475" i="29"/>
  <c r="K475" i="29"/>
  <c r="J475" i="29"/>
  <c r="I475" i="29"/>
  <c r="H475" i="29"/>
  <c r="G475" i="29"/>
  <c r="K470" i="29"/>
  <c r="J470" i="29"/>
  <c r="I470" i="29"/>
  <c r="H470" i="29"/>
  <c r="G470" i="29"/>
  <c r="B460" i="29"/>
  <c r="I451" i="29"/>
  <c r="G451" i="29"/>
  <c r="I442" i="29"/>
  <c r="G442" i="29"/>
  <c r="M434" i="29"/>
  <c r="L434" i="29"/>
  <c r="K434" i="29"/>
  <c r="J434" i="29"/>
  <c r="I434" i="29"/>
  <c r="H434" i="29"/>
  <c r="G434" i="29"/>
  <c r="M427" i="29"/>
  <c r="L427" i="29"/>
  <c r="K427" i="29"/>
  <c r="J427" i="29"/>
  <c r="I427" i="29"/>
  <c r="H427" i="29"/>
  <c r="G427" i="29"/>
  <c r="K422" i="29"/>
  <c r="J422" i="29"/>
  <c r="I422" i="29"/>
  <c r="H422" i="29"/>
  <c r="G422" i="29"/>
  <c r="B364" i="29"/>
  <c r="I356" i="29"/>
  <c r="G356" i="29"/>
  <c r="I349" i="29"/>
  <c r="G349" i="29"/>
  <c r="I339" i="29"/>
  <c r="G339" i="29"/>
  <c r="I330" i="29"/>
  <c r="G330" i="29"/>
  <c r="M322" i="29"/>
  <c r="L322" i="29"/>
  <c r="K322" i="29"/>
  <c r="J322" i="29"/>
  <c r="I322" i="29"/>
  <c r="H322" i="29"/>
  <c r="G322" i="29"/>
  <c r="M315" i="29"/>
  <c r="L315" i="29"/>
  <c r="K315" i="29"/>
  <c r="J315" i="29"/>
  <c r="I315" i="29"/>
  <c r="H315" i="29"/>
  <c r="G315" i="29"/>
  <c r="K310" i="29"/>
  <c r="J310" i="29"/>
  <c r="I310" i="29"/>
  <c r="H310" i="29"/>
  <c r="G310" i="29"/>
  <c r="K235" i="29"/>
  <c r="J235" i="29"/>
  <c r="K228" i="29"/>
  <c r="J228" i="29"/>
  <c r="H235" i="29"/>
  <c r="H228" i="29"/>
  <c r="J223" i="29"/>
  <c r="H223" i="29"/>
  <c r="G223" i="29"/>
  <c r="I223" i="29"/>
  <c r="K223" i="29"/>
  <c r="G228" i="29"/>
  <c r="I228" i="29"/>
  <c r="L228" i="29"/>
  <c r="M228" i="29"/>
  <c r="G235" i="29"/>
  <c r="I235" i="29"/>
  <c r="L235" i="29"/>
  <c r="M235" i="29"/>
  <c r="P32" i="29"/>
  <c r="H194" i="29"/>
  <c r="I194" i="29" s="1"/>
  <c r="J194" i="29" s="1"/>
  <c r="K194" i="29" s="1"/>
  <c r="L194" i="29" s="1"/>
  <c r="M194" i="29" s="1"/>
  <c r="N194" i="29" s="1"/>
  <c r="H119" i="29"/>
  <c r="I119" i="29" s="1"/>
  <c r="H105" i="29"/>
  <c r="I105" i="29" s="1"/>
  <c r="J105" i="29" s="1"/>
  <c r="K105" i="29" s="1"/>
  <c r="L105" i="29" s="1"/>
  <c r="M105" i="29" s="1"/>
  <c r="N105" i="29" s="1"/>
  <c r="H29" i="29"/>
  <c r="I29" i="29" s="1"/>
  <c r="J29" i="29" s="1"/>
  <c r="K29" i="29" s="1"/>
  <c r="L29" i="29" s="1"/>
  <c r="M29" i="29" s="1"/>
  <c r="N29" i="29" s="1"/>
  <c r="B149" i="29"/>
  <c r="J125" i="22"/>
  <c r="B277" i="29"/>
  <c r="I269" i="29"/>
  <c r="G269" i="29"/>
  <c r="I262" i="29"/>
  <c r="G262" i="29"/>
  <c r="I252" i="29"/>
  <c r="G252" i="29"/>
  <c r="I243" i="29"/>
  <c r="G243" i="29"/>
  <c r="B196" i="29"/>
  <c r="B59" i="29"/>
  <c r="B7" i="29"/>
  <c r="B4" i="29"/>
  <c r="E2" i="29"/>
  <c r="D2" i="29"/>
  <c r="G209" i="29" s="1"/>
  <c r="B2" i="29"/>
  <c r="J108" i="22"/>
  <c r="J93" i="22"/>
  <c r="J73" i="22"/>
  <c r="I73" i="22"/>
  <c r="B91" i="22" s="1"/>
  <c r="B106" i="22" s="1"/>
  <c r="B124" i="22" s="1"/>
  <c r="H73" i="22"/>
  <c r="H84" i="22" s="1"/>
  <c r="H99" i="22" s="1"/>
  <c r="H117" i="22" s="1"/>
  <c r="G73" i="22"/>
  <c r="B89" i="22" s="1"/>
  <c r="B104" i="22" s="1"/>
  <c r="B122" i="22" s="1"/>
  <c r="F73" i="22"/>
  <c r="B88" i="22" s="1"/>
  <c r="B103" i="22" s="1"/>
  <c r="B121" i="22" s="1"/>
  <c r="E73" i="22"/>
  <c r="D73" i="22"/>
  <c r="J56" i="22"/>
  <c r="I56" i="22"/>
  <c r="H80" i="25" l="1"/>
  <c r="F88" i="25" s="1"/>
  <c r="E38" i="25"/>
  <c r="G88" i="25"/>
  <c r="H28" i="25"/>
  <c r="G158" i="29"/>
  <c r="H102" i="25"/>
  <c r="H104" i="25" s="1"/>
  <c r="G41" i="25"/>
  <c r="H58" i="25"/>
  <c r="G590" i="29"/>
  <c r="I590" i="29" s="1"/>
  <c r="J590" i="29" s="1"/>
  <c r="K590" i="29" s="1"/>
  <c r="G595" i="29" s="1"/>
  <c r="G122" i="29"/>
  <c r="P122" i="29" s="1"/>
  <c r="G176" i="29"/>
  <c r="G534" i="29" s="1"/>
  <c r="G63" i="30"/>
  <c r="B71" i="30" s="1"/>
  <c r="C33" i="30"/>
  <c r="G57" i="25"/>
  <c r="G104" i="25"/>
  <c r="B112" i="25" s="1"/>
  <c r="G97" i="25"/>
  <c r="B111" i="25" s="1"/>
  <c r="F40" i="25"/>
  <c r="F56" i="25"/>
  <c r="I84" i="22"/>
  <c r="I99" i="22" s="1"/>
  <c r="I117" i="22" s="1"/>
  <c r="B90" i="22"/>
  <c r="B105" i="22" s="1"/>
  <c r="B123" i="22" s="1"/>
  <c r="F63" i="30"/>
  <c r="H61" i="30"/>
  <c r="H63" i="30" s="1"/>
  <c r="F56" i="30"/>
  <c r="H56" i="30"/>
  <c r="C45" i="30"/>
  <c r="H45" i="30" s="1"/>
  <c r="H23" i="30"/>
  <c r="H33" i="30"/>
  <c r="J33" i="30" s="1"/>
  <c r="B19" i="30"/>
  <c r="B30" i="30" s="1"/>
  <c r="B43" i="30" s="1"/>
  <c r="D85" i="5" s="1"/>
  <c r="C18" i="30"/>
  <c r="C29" i="30" s="1"/>
  <c r="C42" i="30" s="1"/>
  <c r="D7" i="30"/>
  <c r="H32" i="30"/>
  <c r="J32" i="30" s="1"/>
  <c r="H95" i="25"/>
  <c r="H97" i="25" s="1"/>
  <c r="P140" i="29"/>
  <c r="G423" i="29"/>
  <c r="I423" i="29" s="1"/>
  <c r="J423" i="29" s="1"/>
  <c r="P158" i="29"/>
  <c r="P167" i="29"/>
  <c r="G375" i="29"/>
  <c r="G471" i="29"/>
  <c r="I471" i="29" s="1"/>
  <c r="J471" i="29" s="1"/>
  <c r="G311" i="29"/>
  <c r="I311" i="29" s="1"/>
  <c r="J311" i="29" s="1"/>
  <c r="G24" i="29"/>
  <c r="B77" i="29"/>
  <c r="B86" i="29"/>
  <c r="B185" i="29"/>
  <c r="B140" i="29"/>
  <c r="B107" i="29"/>
  <c r="B95" i="29"/>
  <c r="B32" i="29"/>
  <c r="B167" i="29"/>
  <c r="B68" i="29"/>
  <c r="B50" i="29"/>
  <c r="H13" i="29"/>
  <c r="B132" i="29" s="1"/>
  <c r="B176" i="29"/>
  <c r="B158" i="29"/>
  <c r="B122" i="29"/>
  <c r="J119" i="29"/>
  <c r="K119" i="29" s="1"/>
  <c r="L119" i="29" s="1"/>
  <c r="M119" i="29" s="1"/>
  <c r="N119" i="29" s="1"/>
  <c r="P185" i="29"/>
  <c r="G84" i="22"/>
  <c r="G99" i="22" s="1"/>
  <c r="G117" i="22" s="1"/>
  <c r="H56" i="22"/>
  <c r="G56" i="22"/>
  <c r="J37" i="22"/>
  <c r="I37" i="22"/>
  <c r="H37" i="22"/>
  <c r="G37" i="22"/>
  <c r="F27" i="22"/>
  <c r="E27" i="22"/>
  <c r="D27" i="22"/>
  <c r="J27" i="22"/>
  <c r="I27" i="22"/>
  <c r="H27" i="22"/>
  <c r="G27" i="22"/>
  <c r="J8" i="22"/>
  <c r="F8" i="22"/>
  <c r="H8" i="22"/>
  <c r="G8" i="22"/>
  <c r="I8" i="22"/>
  <c r="F84" i="22"/>
  <c r="F99" i="22" s="1"/>
  <c r="F117" i="22" s="1"/>
  <c r="F56" i="22"/>
  <c r="F37" i="22"/>
  <c r="H88" i="25" l="1"/>
  <c r="E39" i="25"/>
  <c r="E42" i="25" s="1"/>
  <c r="G58" i="25"/>
  <c r="L58" i="25" s="1"/>
  <c r="G96" i="29"/>
  <c r="P96" i="29" s="1"/>
  <c r="G224" i="29"/>
  <c r="I224" i="29" s="1"/>
  <c r="J224" i="29" s="1"/>
  <c r="K224" i="29" s="1"/>
  <c r="G229" i="29" s="1"/>
  <c r="B33" i="29"/>
  <c r="B42" i="29"/>
  <c r="L40" i="25"/>
  <c r="N40" i="25" s="1"/>
  <c r="F42" i="25"/>
  <c r="F28" i="25" s="1"/>
  <c r="F57" i="25"/>
  <c r="L57" i="25" s="1"/>
  <c r="L41" i="25"/>
  <c r="N41" i="25" s="1"/>
  <c r="G42" i="25"/>
  <c r="G28" i="25" s="1"/>
  <c r="C34" i="30"/>
  <c r="C24" i="30" s="1"/>
  <c r="B20" i="30"/>
  <c r="B31" i="30" s="1"/>
  <c r="B44" i="30" s="1"/>
  <c r="E7" i="30"/>
  <c r="D18" i="30"/>
  <c r="D29" i="30" s="1"/>
  <c r="D42" i="30" s="1"/>
  <c r="C46" i="30"/>
  <c r="H46" i="30" s="1"/>
  <c r="K311" i="29"/>
  <c r="G316" i="29" s="1"/>
  <c r="G51" i="29"/>
  <c r="K471" i="29"/>
  <c r="G476" i="29" s="1"/>
  <c r="G78" i="29"/>
  <c r="K423" i="29"/>
  <c r="G428" i="29" s="1"/>
  <c r="G69" i="29"/>
  <c r="B177" i="29"/>
  <c r="B186" i="29"/>
  <c r="B159" i="29"/>
  <c r="B197" i="29"/>
  <c r="B168" i="29"/>
  <c r="B69" i="29"/>
  <c r="B150" i="29"/>
  <c r="I13" i="29"/>
  <c r="B123" i="29"/>
  <c r="B87" i="29"/>
  <c r="B60" i="29"/>
  <c r="B78" i="29"/>
  <c r="B96" i="29"/>
  <c r="B141" i="29"/>
  <c r="B108" i="29"/>
  <c r="B51" i="29"/>
  <c r="P176" i="29"/>
  <c r="H24" i="28"/>
  <c r="J24" i="28" s="1"/>
  <c r="H21" i="28"/>
  <c r="H19" i="28" s="1"/>
  <c r="H27" i="28" s="1"/>
  <c r="E19" i="28"/>
  <c r="E27" i="28" s="1"/>
  <c r="A47" i="1"/>
  <c r="P16" i="28"/>
  <c r="O16" i="28"/>
  <c r="L16" i="28"/>
  <c r="L15" i="28"/>
  <c r="L30" i="16"/>
  <c r="O30" i="16" s="1"/>
  <c r="Q30" i="16" s="1"/>
  <c r="L33" i="16"/>
  <c r="O33" i="16" s="1"/>
  <c r="L27" i="16"/>
  <c r="O27" i="16" s="1"/>
  <c r="L21" i="16"/>
  <c r="K19" i="16"/>
  <c r="K36" i="16" s="1"/>
  <c r="J19" i="16"/>
  <c r="J36" i="16" s="1"/>
  <c r="I19" i="16"/>
  <c r="I36" i="16" s="1"/>
  <c r="H19" i="16"/>
  <c r="H36" i="16" s="1"/>
  <c r="G19" i="16"/>
  <c r="G36" i="16" s="1"/>
  <c r="F19" i="16"/>
  <c r="F36" i="16" s="1"/>
  <c r="Q14" i="15"/>
  <c r="J23" i="15"/>
  <c r="M23" i="15" s="1"/>
  <c r="O23" i="15" s="1"/>
  <c r="J20" i="15"/>
  <c r="M20" i="15" s="1"/>
  <c r="M26" i="15" s="1"/>
  <c r="K26" i="13"/>
  <c r="K32" i="13"/>
  <c r="G29" i="8"/>
  <c r="K15" i="26" s="1"/>
  <c r="H29" i="8"/>
  <c r="L15" i="26" s="1"/>
  <c r="C31" i="8"/>
  <c r="G17" i="26" s="1"/>
  <c r="D31" i="8"/>
  <c r="H17" i="26" s="1"/>
  <c r="E31" i="8"/>
  <c r="I17" i="26" s="1"/>
  <c r="F31" i="8"/>
  <c r="J17" i="26" s="1"/>
  <c r="G31" i="8"/>
  <c r="K17" i="26" s="1"/>
  <c r="H31" i="8"/>
  <c r="L17" i="26" s="1"/>
  <c r="C34" i="8"/>
  <c r="G20" i="26" s="1"/>
  <c r="G195" i="26" s="1"/>
  <c r="D34" i="8"/>
  <c r="H20" i="26" s="1"/>
  <c r="E34" i="8"/>
  <c r="I20" i="26" s="1"/>
  <c r="F34" i="8"/>
  <c r="J20" i="26" s="1"/>
  <c r="G34" i="8"/>
  <c r="K20" i="26" s="1"/>
  <c r="H34" i="8"/>
  <c r="L20" i="26" s="1"/>
  <c r="C32" i="8"/>
  <c r="G18" i="26" s="1"/>
  <c r="D32" i="8"/>
  <c r="H18" i="26" s="1"/>
  <c r="E32" i="8"/>
  <c r="I18" i="26" s="1"/>
  <c r="F32" i="8"/>
  <c r="J18" i="26" s="1"/>
  <c r="G32" i="8"/>
  <c r="K18" i="26" s="1"/>
  <c r="H32" i="8"/>
  <c r="L18" i="26" s="1"/>
  <c r="C35" i="8"/>
  <c r="G21" i="26" s="1"/>
  <c r="D35" i="8"/>
  <c r="H21" i="26" s="1"/>
  <c r="E35" i="8"/>
  <c r="I21" i="26" s="1"/>
  <c r="F35" i="8"/>
  <c r="J21" i="26" s="1"/>
  <c r="G35" i="8"/>
  <c r="K21" i="26" s="1"/>
  <c r="H35" i="8"/>
  <c r="L21" i="26" s="1"/>
  <c r="C36" i="8"/>
  <c r="G22" i="26" s="1"/>
  <c r="D36" i="8"/>
  <c r="H22" i="26" s="1"/>
  <c r="E36" i="8"/>
  <c r="I22" i="26" s="1"/>
  <c r="F36" i="8"/>
  <c r="J22" i="26" s="1"/>
  <c r="G36" i="8"/>
  <c r="K22" i="26" s="1"/>
  <c r="H36" i="8"/>
  <c r="L22" i="26" s="1"/>
  <c r="K201" i="19"/>
  <c r="I521" i="19"/>
  <c r="G521" i="19"/>
  <c r="J21" i="28" l="1"/>
  <c r="J19" i="28" s="1"/>
  <c r="J27" i="28" s="1"/>
  <c r="Q27" i="16"/>
  <c r="Q33" i="16"/>
  <c r="O21" i="16"/>
  <c r="Q21" i="16" s="1"/>
  <c r="O20" i="15"/>
  <c r="O26" i="15" s="1"/>
  <c r="J26" i="15"/>
  <c r="N26" i="13"/>
  <c r="K38" i="13"/>
  <c r="G33" i="29"/>
  <c r="P33" i="29" s="1"/>
  <c r="G186" i="29"/>
  <c r="B43" i="29"/>
  <c r="B133" i="29"/>
  <c r="N32" i="13"/>
  <c r="P32" i="13" s="1"/>
  <c r="F7" i="30"/>
  <c r="E18" i="30"/>
  <c r="E29" i="30" s="1"/>
  <c r="E42" i="30" s="1"/>
  <c r="B21" i="30"/>
  <c r="B32" i="30" s="1"/>
  <c r="B45" i="30" s="1"/>
  <c r="P51" i="29"/>
  <c r="G141" i="29"/>
  <c r="P78" i="29"/>
  <c r="G168" i="29"/>
  <c r="P69" i="29"/>
  <c r="G159" i="29"/>
  <c r="J13" i="29"/>
  <c r="B187" i="29"/>
  <c r="B79" i="29"/>
  <c r="B178" i="29"/>
  <c r="B34" i="29"/>
  <c r="B198" i="29"/>
  <c r="B169" i="29"/>
  <c r="B151" i="29"/>
  <c r="B109" i="29"/>
  <c r="B70" i="29"/>
  <c r="B52" i="29"/>
  <c r="B124" i="29"/>
  <c r="B97" i="29"/>
  <c r="B160" i="29"/>
  <c r="B61" i="29"/>
  <c r="B88" i="29"/>
  <c r="B142" i="29"/>
  <c r="L19" i="16"/>
  <c r="L36" i="16" s="1"/>
  <c r="C93" i="8"/>
  <c r="E95" i="8"/>
  <c r="D94" i="8"/>
  <c r="I707" i="26"/>
  <c r="G707" i="26"/>
  <c r="I700" i="26"/>
  <c r="G700" i="26"/>
  <c r="I689" i="26"/>
  <c r="G689" i="26"/>
  <c r="I679" i="26"/>
  <c r="G679" i="26"/>
  <c r="M670" i="26"/>
  <c r="L670" i="26"/>
  <c r="I670" i="26"/>
  <c r="H670" i="26"/>
  <c r="G670" i="26"/>
  <c r="M662" i="26"/>
  <c r="L662" i="26"/>
  <c r="I662" i="26"/>
  <c r="H662" i="26"/>
  <c r="G662" i="26"/>
  <c r="M655" i="26"/>
  <c r="L655" i="26"/>
  <c r="I655" i="26"/>
  <c r="H655" i="26"/>
  <c r="G655" i="26"/>
  <c r="K650" i="26"/>
  <c r="I650" i="26"/>
  <c r="H650" i="26"/>
  <c r="G650" i="26"/>
  <c r="I633" i="26"/>
  <c r="G633" i="26"/>
  <c r="I626" i="26"/>
  <c r="G626" i="26"/>
  <c r="I615" i="26"/>
  <c r="G615" i="26"/>
  <c r="I605" i="26"/>
  <c r="G605" i="26"/>
  <c r="M596" i="26"/>
  <c r="L596" i="26"/>
  <c r="I596" i="26"/>
  <c r="H596" i="26"/>
  <c r="G596" i="26"/>
  <c r="M588" i="26"/>
  <c r="L588" i="26"/>
  <c r="I588" i="26"/>
  <c r="H588" i="26"/>
  <c r="G588" i="26"/>
  <c r="M581" i="26"/>
  <c r="L581" i="26"/>
  <c r="I581" i="26"/>
  <c r="H581" i="26"/>
  <c r="G581" i="26"/>
  <c r="K576" i="26"/>
  <c r="I576" i="26"/>
  <c r="H576" i="26"/>
  <c r="G576" i="26"/>
  <c r="I558" i="26"/>
  <c r="G558" i="26"/>
  <c r="I551" i="26"/>
  <c r="G551" i="26"/>
  <c r="I540" i="26"/>
  <c r="G540" i="26"/>
  <c r="I530" i="26"/>
  <c r="G530" i="26"/>
  <c r="M521" i="26"/>
  <c r="L521" i="26"/>
  <c r="I521" i="26"/>
  <c r="H521" i="26"/>
  <c r="G521" i="26"/>
  <c r="M513" i="26"/>
  <c r="L513" i="26"/>
  <c r="I513" i="26"/>
  <c r="H513" i="26"/>
  <c r="G513" i="26"/>
  <c r="M506" i="26"/>
  <c r="L506" i="26"/>
  <c r="I506" i="26"/>
  <c r="H506" i="26"/>
  <c r="G506" i="26"/>
  <c r="K501" i="26"/>
  <c r="I501" i="26"/>
  <c r="H501" i="26"/>
  <c r="G501" i="26"/>
  <c r="I406" i="26"/>
  <c r="G406" i="26"/>
  <c r="I399" i="26"/>
  <c r="G399" i="26"/>
  <c r="I388" i="26"/>
  <c r="G388" i="26"/>
  <c r="I378" i="26"/>
  <c r="G378" i="26"/>
  <c r="M369" i="26"/>
  <c r="L369" i="26"/>
  <c r="I369" i="26"/>
  <c r="H369" i="26"/>
  <c r="G369" i="26"/>
  <c r="M361" i="26"/>
  <c r="L361" i="26"/>
  <c r="I361" i="26"/>
  <c r="H361" i="26"/>
  <c r="G361" i="26"/>
  <c r="M354" i="26"/>
  <c r="L354" i="26"/>
  <c r="I354" i="26"/>
  <c r="H354" i="26"/>
  <c r="G354" i="26"/>
  <c r="K349" i="26"/>
  <c r="I349" i="26"/>
  <c r="H349" i="26"/>
  <c r="G349" i="26"/>
  <c r="B323" i="26"/>
  <c r="I316" i="26"/>
  <c r="G316" i="26"/>
  <c r="I309" i="26"/>
  <c r="G309" i="26"/>
  <c r="I298" i="26"/>
  <c r="G298" i="26"/>
  <c r="I288" i="26"/>
  <c r="G288" i="26"/>
  <c r="M279" i="26"/>
  <c r="L279" i="26"/>
  <c r="I279" i="26"/>
  <c r="H279" i="26"/>
  <c r="G279" i="26"/>
  <c r="M271" i="26"/>
  <c r="L271" i="26"/>
  <c r="I271" i="26"/>
  <c r="H271" i="26"/>
  <c r="G271" i="26"/>
  <c r="M264" i="26"/>
  <c r="L264" i="26"/>
  <c r="I264" i="26"/>
  <c r="H264" i="26"/>
  <c r="G264" i="26"/>
  <c r="K259" i="26"/>
  <c r="I259" i="26"/>
  <c r="H259" i="26"/>
  <c r="G259" i="26"/>
  <c r="B230" i="26"/>
  <c r="H228" i="26"/>
  <c r="I228" i="26" s="1"/>
  <c r="J228" i="26" s="1"/>
  <c r="K228" i="26" s="1"/>
  <c r="L228" i="26" s="1"/>
  <c r="M228" i="26" s="1"/>
  <c r="N228" i="26" s="1"/>
  <c r="O228" i="26" s="1"/>
  <c r="P228" i="26" s="1"/>
  <c r="L222" i="26"/>
  <c r="L223" i="26" s="1"/>
  <c r="K221" i="26"/>
  <c r="K222" i="26" s="1"/>
  <c r="J220" i="26"/>
  <c r="J221" i="26" s="1"/>
  <c r="G674" i="26" s="1"/>
  <c r="I219" i="26"/>
  <c r="I220" i="26" s="1"/>
  <c r="G665" i="26" s="1"/>
  <c r="H218" i="26"/>
  <c r="H219" i="26" s="1"/>
  <c r="G217" i="26"/>
  <c r="R217" i="26" s="1"/>
  <c r="B217" i="26"/>
  <c r="L211" i="26"/>
  <c r="L212" i="26" s="1"/>
  <c r="K210" i="26"/>
  <c r="K211" i="26" s="1"/>
  <c r="J209" i="26"/>
  <c r="J210" i="26" s="1"/>
  <c r="G600" i="26" s="1"/>
  <c r="I208" i="26"/>
  <c r="I209" i="26" s="1"/>
  <c r="G591" i="26" s="1"/>
  <c r="H207" i="26"/>
  <c r="H208" i="26" s="1"/>
  <c r="G206" i="26"/>
  <c r="B206" i="26"/>
  <c r="L178" i="26"/>
  <c r="L179" i="26" s="1"/>
  <c r="G469" i="26" s="1"/>
  <c r="K177" i="26"/>
  <c r="K178" i="26" s="1"/>
  <c r="G458" i="26" s="1"/>
  <c r="J176" i="26"/>
  <c r="J177" i="26" s="1"/>
  <c r="G448" i="26" s="1"/>
  <c r="I175" i="26"/>
  <c r="I176" i="26" s="1"/>
  <c r="G439" i="26" s="1"/>
  <c r="H174" i="26"/>
  <c r="H175" i="26" s="1"/>
  <c r="G431" i="26" s="1"/>
  <c r="G173" i="26"/>
  <c r="G174" i="26" s="1"/>
  <c r="G425" i="26" s="1"/>
  <c r="I425" i="26" s="1"/>
  <c r="B173" i="26"/>
  <c r="L200" i="26"/>
  <c r="L201" i="26" s="1"/>
  <c r="G546" i="26" s="1"/>
  <c r="H552" i="26" s="1"/>
  <c r="K199" i="26"/>
  <c r="K200" i="26" s="1"/>
  <c r="G535" i="26" s="1"/>
  <c r="J198" i="26"/>
  <c r="J199" i="26" s="1"/>
  <c r="I197" i="26"/>
  <c r="I198" i="26" s="1"/>
  <c r="H196" i="26"/>
  <c r="H197" i="26" s="1"/>
  <c r="R195" i="26"/>
  <c r="B195" i="26"/>
  <c r="B184" i="26"/>
  <c r="L167" i="26"/>
  <c r="L168" i="26" s="1"/>
  <c r="G394" i="26" s="1"/>
  <c r="H400" i="26" s="1"/>
  <c r="K166" i="26"/>
  <c r="K167" i="26" s="1"/>
  <c r="G383" i="26" s="1"/>
  <c r="H393" i="26" s="1"/>
  <c r="J165" i="26"/>
  <c r="J166" i="26" s="1"/>
  <c r="I164" i="26"/>
  <c r="I165" i="26" s="1"/>
  <c r="H163" i="26"/>
  <c r="H164" i="26" s="1"/>
  <c r="G162" i="26"/>
  <c r="R162" i="26" s="1"/>
  <c r="B162" i="26"/>
  <c r="L145" i="26"/>
  <c r="L146" i="26" s="1"/>
  <c r="G304" i="26" s="1"/>
  <c r="H310" i="26" s="1"/>
  <c r="K144" i="26"/>
  <c r="K145" i="26" s="1"/>
  <c r="G293" i="26" s="1"/>
  <c r="H303" i="26" s="1"/>
  <c r="J143" i="26"/>
  <c r="J144" i="26" s="1"/>
  <c r="I142" i="26"/>
  <c r="I143" i="26" s="1"/>
  <c r="H141" i="26"/>
  <c r="H142" i="26" s="1"/>
  <c r="G140" i="26"/>
  <c r="R140" i="26" s="1"/>
  <c r="B140" i="26"/>
  <c r="H137" i="26"/>
  <c r="I137" i="26" s="1"/>
  <c r="J137" i="26" s="1"/>
  <c r="K137" i="26" s="1"/>
  <c r="B123" i="26"/>
  <c r="H121" i="26"/>
  <c r="I121" i="26" s="1"/>
  <c r="J121" i="26" s="1"/>
  <c r="K121" i="26" s="1"/>
  <c r="L121" i="26" s="1"/>
  <c r="M121" i="26" s="1"/>
  <c r="N121" i="26" s="1"/>
  <c r="O121" i="26" s="1"/>
  <c r="P121" i="26" s="1"/>
  <c r="R110" i="26"/>
  <c r="R109" i="26"/>
  <c r="B109" i="26"/>
  <c r="R99" i="26"/>
  <c r="R98" i="26"/>
  <c r="B98" i="26"/>
  <c r="R66" i="26"/>
  <c r="R65" i="26"/>
  <c r="B65" i="26"/>
  <c r="R88" i="26"/>
  <c r="R87" i="26"/>
  <c r="B87" i="26"/>
  <c r="B76" i="26"/>
  <c r="R55" i="26"/>
  <c r="R54" i="26"/>
  <c r="B54" i="26"/>
  <c r="R33" i="26"/>
  <c r="R32" i="26"/>
  <c r="B32" i="26"/>
  <c r="H29" i="26"/>
  <c r="I29" i="26" s="1"/>
  <c r="J29" i="26" s="1"/>
  <c r="K29" i="26" s="1"/>
  <c r="L29" i="26" s="1"/>
  <c r="M29" i="26" s="1"/>
  <c r="N29" i="26" s="1"/>
  <c r="O29" i="26" s="1"/>
  <c r="P29" i="26" s="1"/>
  <c r="L24" i="26"/>
  <c r="K24" i="26"/>
  <c r="J24" i="26"/>
  <c r="I24" i="26"/>
  <c r="H24" i="26"/>
  <c r="G24" i="26"/>
  <c r="R18" i="26"/>
  <c r="H13" i="26"/>
  <c r="B7" i="26"/>
  <c r="B4" i="26"/>
  <c r="E2" i="26"/>
  <c r="D2" i="26"/>
  <c r="B2" i="26"/>
  <c r="L83" i="8"/>
  <c r="K83" i="8"/>
  <c r="N74" i="8"/>
  <c r="L66" i="8"/>
  <c r="L67" i="8" s="1"/>
  <c r="K44" i="8"/>
  <c r="B64" i="8" s="1"/>
  <c r="B81" i="8" s="1"/>
  <c r="B101" i="8" s="1"/>
  <c r="J44" i="8"/>
  <c r="B63" i="8" s="1"/>
  <c r="B80" i="8" s="1"/>
  <c r="B100" i="8" s="1"/>
  <c r="I44" i="8"/>
  <c r="B62" i="8" s="1"/>
  <c r="B79" i="8" s="1"/>
  <c r="B99" i="8" s="1"/>
  <c r="H44" i="8"/>
  <c r="B61" i="8" s="1"/>
  <c r="B78" i="8" s="1"/>
  <c r="B98" i="8" s="1"/>
  <c r="L36" i="8"/>
  <c r="P22" i="26" s="1"/>
  <c r="P226" i="26" s="1"/>
  <c r="K36" i="8"/>
  <c r="O22" i="26" s="1"/>
  <c r="O225" i="26" s="1"/>
  <c r="O226" i="26" s="1"/>
  <c r="J36" i="8"/>
  <c r="N22" i="26" s="1"/>
  <c r="N224" i="26" s="1"/>
  <c r="N225" i="26" s="1"/>
  <c r="G709" i="26" s="1"/>
  <c r="I36" i="8"/>
  <c r="M22" i="26" s="1"/>
  <c r="I35" i="8"/>
  <c r="M21" i="26" s="1"/>
  <c r="L34" i="8"/>
  <c r="P20" i="26" s="1"/>
  <c r="P204" i="26" s="1"/>
  <c r="K34" i="8"/>
  <c r="O20" i="26" s="1"/>
  <c r="O203" i="26" s="1"/>
  <c r="O204" i="26" s="1"/>
  <c r="J34" i="8"/>
  <c r="N20" i="26" s="1"/>
  <c r="N202" i="26" s="1"/>
  <c r="N203" i="26" s="1"/>
  <c r="G560" i="26" s="1"/>
  <c r="I34" i="8"/>
  <c r="L31" i="8"/>
  <c r="P17" i="26" s="1"/>
  <c r="P171" i="26" s="1"/>
  <c r="K31" i="8"/>
  <c r="O17" i="26" s="1"/>
  <c r="O170" i="26" s="1"/>
  <c r="O171" i="26" s="1"/>
  <c r="J31" i="8"/>
  <c r="N17" i="26" s="1"/>
  <c r="I31" i="8"/>
  <c r="M17" i="26" s="1"/>
  <c r="H28" i="8"/>
  <c r="H45" i="8" s="1"/>
  <c r="H62" i="8" s="1"/>
  <c r="H99" i="8" s="1"/>
  <c r="F28" i="8"/>
  <c r="F45" i="8" s="1"/>
  <c r="F60" i="8" s="1"/>
  <c r="F97" i="8" s="1"/>
  <c r="D28" i="8"/>
  <c r="D45" i="8" s="1"/>
  <c r="D58" i="8" s="1"/>
  <c r="N58" i="8" s="1"/>
  <c r="E28" i="8"/>
  <c r="E45" i="8" s="1"/>
  <c r="E59" i="8" s="1"/>
  <c r="N59" i="8" s="1"/>
  <c r="K18" i="8"/>
  <c r="J18" i="8"/>
  <c r="I18" i="8"/>
  <c r="H18" i="8"/>
  <c r="K8" i="8"/>
  <c r="J8" i="8"/>
  <c r="I8" i="8"/>
  <c r="H8" i="8"/>
  <c r="R112" i="19"/>
  <c r="R111" i="19"/>
  <c r="R101" i="19"/>
  <c r="R100" i="19"/>
  <c r="R68" i="19"/>
  <c r="R67" i="19"/>
  <c r="R90" i="19"/>
  <c r="R89" i="19"/>
  <c r="R79" i="19"/>
  <c r="R78" i="19"/>
  <c r="R57" i="19"/>
  <c r="R56" i="19"/>
  <c r="R35" i="19"/>
  <c r="G812" i="19"/>
  <c r="H812" i="19" s="1"/>
  <c r="N120" i="19" s="1"/>
  <c r="N250" i="19" s="1"/>
  <c r="G787" i="19"/>
  <c r="R241" i="19"/>
  <c r="M236" i="19"/>
  <c r="M237" i="19" s="1"/>
  <c r="L235" i="19"/>
  <c r="L236" i="19" s="1"/>
  <c r="K234" i="19"/>
  <c r="K235" i="19" s="1"/>
  <c r="G713" i="19" s="1"/>
  <c r="J233" i="19"/>
  <c r="I232" i="19"/>
  <c r="H231" i="19"/>
  <c r="G230" i="19"/>
  <c r="R230" i="19" s="1"/>
  <c r="L202" i="19"/>
  <c r="L203" i="19" s="1"/>
  <c r="G516" i="19" s="1"/>
  <c r="H522" i="19" s="1"/>
  <c r="L75" i="19" s="1"/>
  <c r="R75" i="19" s="1"/>
  <c r="K202" i="19"/>
  <c r="J200" i="19"/>
  <c r="I199" i="19"/>
  <c r="H198" i="19"/>
  <c r="G197" i="19"/>
  <c r="R197" i="19" s="1"/>
  <c r="P228" i="19"/>
  <c r="O227" i="19"/>
  <c r="O228" i="19" s="1"/>
  <c r="N226" i="19"/>
  <c r="N227" i="19" s="1"/>
  <c r="G663" i="19" s="1"/>
  <c r="H663" i="19" s="1"/>
  <c r="M225" i="19"/>
  <c r="M226" i="19" s="1"/>
  <c r="G656" i="19" s="1"/>
  <c r="L224" i="19"/>
  <c r="L225" i="19" s="1"/>
  <c r="G649" i="19" s="1"/>
  <c r="K223" i="19"/>
  <c r="K224" i="19" s="1"/>
  <c r="G638" i="19" s="1"/>
  <c r="J222" i="19"/>
  <c r="I221" i="19"/>
  <c r="H220" i="19"/>
  <c r="G219" i="19"/>
  <c r="R219" i="19" s="1"/>
  <c r="L213" i="19"/>
  <c r="L214" i="19" s="1"/>
  <c r="G582" i="19" s="1"/>
  <c r="K212" i="19"/>
  <c r="K213" i="19" s="1"/>
  <c r="J211" i="19"/>
  <c r="I210" i="19"/>
  <c r="H209" i="19"/>
  <c r="G208" i="19"/>
  <c r="R208" i="19" s="1"/>
  <c r="P195" i="19"/>
  <c r="O194" i="19"/>
  <c r="O195" i="19" s="1"/>
  <c r="N193" i="19"/>
  <c r="N194" i="19" s="1"/>
  <c r="G455" i="19" s="1"/>
  <c r="M192" i="19"/>
  <c r="M193" i="19" s="1"/>
  <c r="L191" i="19"/>
  <c r="L192" i="19" s="1"/>
  <c r="G441" i="19" s="1"/>
  <c r="K190" i="19"/>
  <c r="K191" i="19" s="1"/>
  <c r="J189" i="19"/>
  <c r="I188" i="19"/>
  <c r="H187" i="19"/>
  <c r="G186" i="19"/>
  <c r="R186" i="19" s="1"/>
  <c r="P173" i="19"/>
  <c r="O172" i="19"/>
  <c r="O173" i="19" s="1"/>
  <c r="N171" i="19"/>
  <c r="N172" i="19" s="1"/>
  <c r="M170" i="19"/>
  <c r="L169" i="19"/>
  <c r="L170" i="19" s="1"/>
  <c r="I810" i="19"/>
  <c r="G810" i="19"/>
  <c r="I803" i="19"/>
  <c r="G803" i="19"/>
  <c r="I792" i="19"/>
  <c r="G792" i="19"/>
  <c r="I782" i="19"/>
  <c r="G782" i="19"/>
  <c r="I736" i="19"/>
  <c r="G736" i="19"/>
  <c r="I729" i="19"/>
  <c r="G729" i="19"/>
  <c r="I718" i="19"/>
  <c r="G718" i="19"/>
  <c r="I708" i="19"/>
  <c r="G708" i="19"/>
  <c r="I510" i="19"/>
  <c r="G510" i="19"/>
  <c r="I500" i="19"/>
  <c r="G500" i="19"/>
  <c r="I661" i="19"/>
  <c r="G661" i="19"/>
  <c r="I654" i="19"/>
  <c r="G654" i="19"/>
  <c r="I643" i="19"/>
  <c r="G643" i="19"/>
  <c r="I633" i="19"/>
  <c r="G633" i="19"/>
  <c r="I587" i="19"/>
  <c r="G587" i="19"/>
  <c r="I576" i="19"/>
  <c r="G576" i="19"/>
  <c r="I566" i="19"/>
  <c r="G566" i="19"/>
  <c r="I453" i="19"/>
  <c r="G453" i="19"/>
  <c r="I446" i="19"/>
  <c r="G446" i="19"/>
  <c r="I435" i="19"/>
  <c r="G435" i="19"/>
  <c r="I425" i="19"/>
  <c r="G425" i="19"/>
  <c r="I363" i="19"/>
  <c r="G363" i="19"/>
  <c r="I356" i="19"/>
  <c r="G356" i="19"/>
  <c r="I345" i="19"/>
  <c r="G345" i="19"/>
  <c r="B370" i="19"/>
  <c r="B276" i="19"/>
  <c r="B241" i="19"/>
  <c r="B230" i="19"/>
  <c r="B197" i="19"/>
  <c r="B219" i="19"/>
  <c r="B208" i="19"/>
  <c r="B186" i="19"/>
  <c r="B164" i="19"/>
  <c r="B147" i="19"/>
  <c r="B111" i="19"/>
  <c r="B100" i="19"/>
  <c r="B67" i="19"/>
  <c r="B89" i="19"/>
  <c r="B78" i="19"/>
  <c r="B56" i="19"/>
  <c r="I335" i="19"/>
  <c r="G335" i="19"/>
  <c r="O26" i="19"/>
  <c r="N26" i="19"/>
  <c r="M26" i="19"/>
  <c r="L26" i="19"/>
  <c r="N62" i="8" l="1"/>
  <c r="E66" i="8"/>
  <c r="P26" i="13"/>
  <c r="P38" i="13" s="1"/>
  <c r="N38" i="13"/>
  <c r="F66" i="8"/>
  <c r="D95" i="8"/>
  <c r="D66" i="8"/>
  <c r="N60" i="8"/>
  <c r="E96" i="8"/>
  <c r="G123" i="29"/>
  <c r="B44" i="29"/>
  <c r="B134" i="29"/>
  <c r="H475" i="26"/>
  <c r="H476" i="26" s="1"/>
  <c r="H469" i="26"/>
  <c r="H468" i="26"/>
  <c r="K72" i="26" s="1"/>
  <c r="H458" i="26"/>
  <c r="J259" i="26"/>
  <c r="K444" i="26"/>
  <c r="J436" i="26"/>
  <c r="K429" i="26"/>
  <c r="J444" i="26"/>
  <c r="J429" i="26"/>
  <c r="J424" i="26"/>
  <c r="K436" i="26"/>
  <c r="J425" i="26"/>
  <c r="B44" i="26"/>
  <c r="B152" i="26"/>
  <c r="M20" i="26"/>
  <c r="M201" i="26" s="1"/>
  <c r="M202" i="26" s="1"/>
  <c r="G553" i="26" s="1"/>
  <c r="H559" i="26" s="1"/>
  <c r="M15" i="26"/>
  <c r="M171" i="19"/>
  <c r="G358" i="19" s="1"/>
  <c r="R17" i="26"/>
  <c r="R21" i="26"/>
  <c r="R22" i="26"/>
  <c r="N169" i="26"/>
  <c r="N170" i="26" s="1"/>
  <c r="G408" i="26" s="1"/>
  <c r="H408" i="26" s="1"/>
  <c r="N63" i="26" s="1"/>
  <c r="N171" i="26" s="1"/>
  <c r="M212" i="26"/>
  <c r="M213" i="26" s="1"/>
  <c r="G628" i="26" s="1"/>
  <c r="H634" i="26" s="1"/>
  <c r="M168" i="26"/>
  <c r="M169" i="26" s="1"/>
  <c r="G401" i="26" s="1"/>
  <c r="H407" i="26" s="1"/>
  <c r="M223" i="26"/>
  <c r="M224" i="26" s="1"/>
  <c r="G702" i="26" s="1"/>
  <c r="H708" i="26" s="1"/>
  <c r="G505" i="19"/>
  <c r="H515" i="19" s="1"/>
  <c r="F18" i="30"/>
  <c r="F29" i="30" s="1"/>
  <c r="F42" i="30" s="1"/>
  <c r="B22" i="30"/>
  <c r="B33" i="30" s="1"/>
  <c r="B46" i="30" s="1"/>
  <c r="K13" i="29"/>
  <c r="B110" i="29"/>
  <c r="B143" i="29"/>
  <c r="B53" i="29"/>
  <c r="B80" i="29"/>
  <c r="B35" i="29"/>
  <c r="B89" i="29"/>
  <c r="B125" i="29"/>
  <c r="B161" i="29"/>
  <c r="B188" i="29"/>
  <c r="B199" i="29"/>
  <c r="B170" i="29"/>
  <c r="B98" i="29"/>
  <c r="B152" i="29"/>
  <c r="B62" i="29"/>
  <c r="B179" i="29"/>
  <c r="B71" i="29"/>
  <c r="H66" i="8"/>
  <c r="L25" i="26" s="1"/>
  <c r="J25" i="26"/>
  <c r="H25" i="26"/>
  <c r="I25" i="26"/>
  <c r="G245" i="26"/>
  <c r="G621" i="26"/>
  <c r="H627" i="26" s="1"/>
  <c r="H535" i="26"/>
  <c r="K93" i="26" s="1"/>
  <c r="K201" i="26" s="1"/>
  <c r="H545" i="26"/>
  <c r="H455" i="19"/>
  <c r="I455" i="19" s="1"/>
  <c r="H516" i="19"/>
  <c r="I516" i="19" s="1"/>
  <c r="G522" i="19" s="1"/>
  <c r="I522" i="19" s="1"/>
  <c r="H787" i="19"/>
  <c r="H797" i="19"/>
  <c r="H638" i="19"/>
  <c r="K95" i="19" s="1"/>
  <c r="K225" i="19" s="1"/>
  <c r="H648" i="19"/>
  <c r="H713" i="19"/>
  <c r="I713" i="19" s="1"/>
  <c r="G723" i="19" s="1"/>
  <c r="H723" i="19"/>
  <c r="H582" i="19"/>
  <c r="I582" i="19" s="1"/>
  <c r="G588" i="19" s="1"/>
  <c r="G589" i="19" s="1"/>
  <c r="H588" i="19"/>
  <c r="H649" i="19"/>
  <c r="I649" i="19" s="1"/>
  <c r="G655" i="19" s="1"/>
  <c r="H655" i="19"/>
  <c r="H441" i="19"/>
  <c r="I441" i="19" s="1"/>
  <c r="G447" i="19" s="1"/>
  <c r="H447" i="19"/>
  <c r="H656" i="19"/>
  <c r="I656" i="19" s="1"/>
  <c r="G662" i="19" s="1"/>
  <c r="H662" i="19"/>
  <c r="K369" i="26"/>
  <c r="K670" i="26"/>
  <c r="K596" i="26"/>
  <c r="J513" i="26"/>
  <c r="J506" i="26"/>
  <c r="K662" i="26"/>
  <c r="J501" i="26"/>
  <c r="J655" i="26"/>
  <c r="J588" i="26"/>
  <c r="J670" i="26"/>
  <c r="J650" i="26"/>
  <c r="J596" i="26"/>
  <c r="J576" i="26"/>
  <c r="K521" i="26"/>
  <c r="K655" i="26"/>
  <c r="K588" i="26"/>
  <c r="K581" i="26"/>
  <c r="J521" i="26"/>
  <c r="J662" i="26"/>
  <c r="J581" i="26"/>
  <c r="K513" i="26"/>
  <c r="K506" i="26"/>
  <c r="G163" i="26"/>
  <c r="R163" i="26" s="1"/>
  <c r="G196" i="26"/>
  <c r="G502" i="26" s="1"/>
  <c r="I502" i="26" s="1"/>
  <c r="J502" i="26" s="1"/>
  <c r="R173" i="26"/>
  <c r="K279" i="26"/>
  <c r="G141" i="26"/>
  <c r="R141" i="26" s="1"/>
  <c r="G218" i="26"/>
  <c r="J279" i="26"/>
  <c r="J354" i="26"/>
  <c r="J361" i="26"/>
  <c r="K361" i="26"/>
  <c r="J264" i="26"/>
  <c r="J271" i="26"/>
  <c r="J349" i="26"/>
  <c r="J369" i="26"/>
  <c r="K354" i="26"/>
  <c r="K264" i="26"/>
  <c r="K271" i="26"/>
  <c r="I28" i="8"/>
  <c r="B218" i="26"/>
  <c r="B174" i="26"/>
  <c r="B196" i="26"/>
  <c r="B185" i="26"/>
  <c r="B163" i="26"/>
  <c r="B141" i="26"/>
  <c r="B231" i="26"/>
  <c r="B207" i="26"/>
  <c r="B110" i="26"/>
  <c r="G516" i="26"/>
  <c r="H546" i="26"/>
  <c r="L94" i="26" s="1"/>
  <c r="L202" i="26" s="1"/>
  <c r="G207" i="26"/>
  <c r="R206" i="26"/>
  <c r="G695" i="26"/>
  <c r="H701" i="26" s="1"/>
  <c r="I13" i="26"/>
  <c r="B88" i="26"/>
  <c r="B99" i="26"/>
  <c r="B124" i="26"/>
  <c r="P137" i="26"/>
  <c r="L137" i="26"/>
  <c r="M137" i="26" s="1"/>
  <c r="N137" i="26" s="1"/>
  <c r="O137" i="26" s="1"/>
  <c r="G274" i="26"/>
  <c r="H304" i="26"/>
  <c r="H709" i="26"/>
  <c r="N118" i="26" s="1"/>
  <c r="N226" i="26" s="1"/>
  <c r="B77" i="26"/>
  <c r="G373" i="26"/>
  <c r="B33" i="26"/>
  <c r="B66" i="26"/>
  <c r="G364" i="26"/>
  <c r="H394" i="26"/>
  <c r="L61" i="26" s="1"/>
  <c r="L169" i="26" s="1"/>
  <c r="G508" i="26"/>
  <c r="G525" i="26"/>
  <c r="H560" i="26"/>
  <c r="N96" i="26" s="1"/>
  <c r="N204" i="26" s="1"/>
  <c r="R174" i="26"/>
  <c r="G583" i="26"/>
  <c r="G610" i="26"/>
  <c r="H620" i="26" s="1"/>
  <c r="G356" i="26"/>
  <c r="B55" i="26"/>
  <c r="G266" i="26"/>
  <c r="G283" i="26"/>
  <c r="G657" i="26"/>
  <c r="H293" i="26"/>
  <c r="K38" i="26" s="1"/>
  <c r="K146" i="26" s="1"/>
  <c r="H383" i="26"/>
  <c r="K60" i="26" s="1"/>
  <c r="K168" i="26" s="1"/>
  <c r="G684" i="26"/>
  <c r="H694" i="26" s="1"/>
  <c r="I55" i="8"/>
  <c r="I72" i="8" s="1"/>
  <c r="I92" i="8" s="1"/>
  <c r="J55" i="8"/>
  <c r="J72" i="8" s="1"/>
  <c r="J92" i="8" s="1"/>
  <c r="K55" i="8"/>
  <c r="K72" i="8" s="1"/>
  <c r="K92" i="8" s="1"/>
  <c r="G28" i="8"/>
  <c r="G45" i="8" s="1"/>
  <c r="G61" i="8" s="1"/>
  <c r="H55" i="8"/>
  <c r="H72" i="8" s="1"/>
  <c r="H92" i="8" s="1"/>
  <c r="G448" i="19"/>
  <c r="G365" i="19"/>
  <c r="H365" i="19" s="1"/>
  <c r="G731" i="19"/>
  <c r="G430" i="19"/>
  <c r="G351" i="19"/>
  <c r="G805" i="19"/>
  <c r="G798" i="19"/>
  <c r="G724" i="19"/>
  <c r="I663" i="19"/>
  <c r="N98" i="19"/>
  <c r="N228" i="19" s="1"/>
  <c r="G571" i="19"/>
  <c r="I812" i="19"/>
  <c r="K66" i="7"/>
  <c r="K67" i="7" s="1"/>
  <c r="J65" i="7"/>
  <c r="J66" i="7" s="1"/>
  <c r="I64" i="7"/>
  <c r="I65" i="7" s="1"/>
  <c r="K48" i="7"/>
  <c r="K37" i="7"/>
  <c r="K57" i="7" s="1"/>
  <c r="N30" i="7"/>
  <c r="N29" i="7"/>
  <c r="N28" i="7"/>
  <c r="N26" i="7"/>
  <c r="N25" i="7"/>
  <c r="N24" i="7"/>
  <c r="N23" i="7"/>
  <c r="N22" i="7"/>
  <c r="N27" i="7"/>
  <c r="L31" i="7"/>
  <c r="K31" i="7"/>
  <c r="K32" i="7" s="1"/>
  <c r="J31" i="7"/>
  <c r="N27" i="19" s="1"/>
  <c r="I31" i="7"/>
  <c r="M27" i="19" s="1"/>
  <c r="G31" i="7"/>
  <c r="F31" i="7"/>
  <c r="E31" i="7"/>
  <c r="D31" i="7"/>
  <c r="B29" i="7"/>
  <c r="B46" i="7" s="1"/>
  <c r="B66" i="7" s="1"/>
  <c r="B28" i="7"/>
  <c r="B45" i="7" s="1"/>
  <c r="B65" i="7" s="1"/>
  <c r="B27" i="7"/>
  <c r="B44" i="7" s="1"/>
  <c r="B64" i="7" s="1"/>
  <c r="B26" i="7"/>
  <c r="B43" i="7" s="1"/>
  <c r="B63" i="7" s="1"/>
  <c r="H20" i="7"/>
  <c r="H37" i="7" s="1"/>
  <c r="H57" i="7" s="1"/>
  <c r="I20" i="7"/>
  <c r="I37" i="7" s="1"/>
  <c r="I57" i="7" s="1"/>
  <c r="J20" i="7"/>
  <c r="J37" i="7" s="1"/>
  <c r="J57" i="7" s="1"/>
  <c r="E143" i="5"/>
  <c r="D143" i="5"/>
  <c r="E140" i="5"/>
  <c r="D140" i="5"/>
  <c r="E51" i="5"/>
  <c r="E131" i="5"/>
  <c r="E127" i="5"/>
  <c r="E14" i="5"/>
  <c r="E217" i="5" s="1"/>
  <c r="E13" i="5"/>
  <c r="E213" i="5" s="1"/>
  <c r="G98" i="8" l="1"/>
  <c r="G66" i="8"/>
  <c r="K25" i="26" s="1"/>
  <c r="N61" i="8"/>
  <c r="I45" i="8"/>
  <c r="I63" i="8" s="1"/>
  <c r="C482" i="26"/>
  <c r="L73" i="26"/>
  <c r="I469" i="26"/>
  <c r="G475" i="26" s="1"/>
  <c r="G476" i="26" s="1"/>
  <c r="L72" i="26"/>
  <c r="L180" i="26" s="1"/>
  <c r="I458" i="26"/>
  <c r="G468" i="26" s="1"/>
  <c r="I468" i="26" s="1"/>
  <c r="K71" i="26"/>
  <c r="K179" i="26" s="1"/>
  <c r="G651" i="26"/>
  <c r="I651" i="26" s="1"/>
  <c r="J651" i="26" s="1"/>
  <c r="O27" i="19"/>
  <c r="B45" i="29"/>
  <c r="B135" i="29"/>
  <c r="K425" i="26"/>
  <c r="H430" i="26" s="1"/>
  <c r="G67" i="26"/>
  <c r="B45" i="26"/>
  <c r="B153" i="26"/>
  <c r="L39" i="26"/>
  <c r="L147" i="26" s="1"/>
  <c r="R20" i="26"/>
  <c r="M24" i="26"/>
  <c r="M146" i="26"/>
  <c r="M147" i="26" s="1"/>
  <c r="G311" i="26" s="1"/>
  <c r="H317" i="26" s="1"/>
  <c r="K117" i="19"/>
  <c r="K247" i="19" s="1"/>
  <c r="K258" i="19"/>
  <c r="K259" i="19" s="1"/>
  <c r="E214" i="5"/>
  <c r="N65" i="19"/>
  <c r="N195" i="19" s="1"/>
  <c r="H505" i="19"/>
  <c r="I638" i="19"/>
  <c r="G648" i="19" s="1"/>
  <c r="K106" i="19"/>
  <c r="K236" i="19" s="1"/>
  <c r="L13" i="29"/>
  <c r="B90" i="29"/>
  <c r="B144" i="29"/>
  <c r="B63" i="29"/>
  <c r="B180" i="29"/>
  <c r="B72" i="29"/>
  <c r="B36" i="29"/>
  <c r="B54" i="29"/>
  <c r="B189" i="29"/>
  <c r="B200" i="29"/>
  <c r="B99" i="29"/>
  <c r="B153" i="29"/>
  <c r="B162" i="29"/>
  <c r="B171" i="29"/>
  <c r="B81" i="29"/>
  <c r="B111" i="29"/>
  <c r="B126" i="29"/>
  <c r="R196" i="26"/>
  <c r="G350" i="26"/>
  <c r="I350" i="26" s="1"/>
  <c r="J350" i="26" s="1"/>
  <c r="K350" i="26" s="1"/>
  <c r="G355" i="26" s="1"/>
  <c r="R73" i="26"/>
  <c r="R218" i="26"/>
  <c r="I535" i="26"/>
  <c r="G545" i="26" s="1"/>
  <c r="H621" i="26"/>
  <c r="L105" i="26" s="1"/>
  <c r="L213" i="26" s="1"/>
  <c r="L96" i="19"/>
  <c r="L226" i="19" s="1"/>
  <c r="H351" i="19"/>
  <c r="L41" i="19" s="1"/>
  <c r="L171" i="19" s="1"/>
  <c r="H357" i="19"/>
  <c r="L42" i="19" s="1"/>
  <c r="H358" i="19"/>
  <c r="I358" i="19" s="1"/>
  <c r="G364" i="19" s="1"/>
  <c r="G366" i="19" s="1"/>
  <c r="H364" i="19"/>
  <c r="H366" i="19" s="1"/>
  <c r="C373" i="19" s="1"/>
  <c r="L63" i="19"/>
  <c r="L193" i="19" s="1"/>
  <c r="M97" i="19"/>
  <c r="M227" i="19" s="1"/>
  <c r="H430" i="19"/>
  <c r="I430" i="19" s="1"/>
  <c r="G440" i="19" s="1"/>
  <c r="H440" i="19"/>
  <c r="K63" i="19" s="1"/>
  <c r="H724" i="19"/>
  <c r="L107" i="19" s="1"/>
  <c r="L237" i="19" s="1"/>
  <c r="H730" i="19"/>
  <c r="H731" i="19"/>
  <c r="M108" i="19" s="1"/>
  <c r="M238" i="19" s="1"/>
  <c r="H737" i="19"/>
  <c r="H738" i="19" s="1"/>
  <c r="C746" i="19" s="1"/>
  <c r="I787" i="19"/>
  <c r="G797" i="19" s="1"/>
  <c r="H571" i="19"/>
  <c r="I571" i="19" s="1"/>
  <c r="G581" i="19" s="1"/>
  <c r="H581" i="19"/>
  <c r="L74" i="19"/>
  <c r="L204" i="19" s="1"/>
  <c r="L205" i="19" s="1"/>
  <c r="R205" i="19" s="1"/>
  <c r="H805" i="19"/>
  <c r="H811" i="19"/>
  <c r="R131" i="19" s="1"/>
  <c r="H798" i="19"/>
  <c r="H804" i="19"/>
  <c r="L85" i="19"/>
  <c r="L215" i="19" s="1"/>
  <c r="H448" i="19"/>
  <c r="H449" i="19" s="1"/>
  <c r="C463" i="19" s="1"/>
  <c r="H454" i="19"/>
  <c r="G260" i="26"/>
  <c r="I260" i="26" s="1"/>
  <c r="J260" i="26" s="1"/>
  <c r="K260" i="26" s="1"/>
  <c r="G265" i="26" s="1"/>
  <c r="I408" i="26"/>
  <c r="I383" i="26"/>
  <c r="G393" i="26" s="1"/>
  <c r="K61" i="26" s="1"/>
  <c r="K169" i="26" s="1"/>
  <c r="I293" i="26"/>
  <c r="G303" i="26" s="1"/>
  <c r="I560" i="26"/>
  <c r="I709" i="26"/>
  <c r="K502" i="26"/>
  <c r="G507" i="26" s="1"/>
  <c r="G89" i="26"/>
  <c r="H401" i="26"/>
  <c r="M62" i="26" s="1"/>
  <c r="M170" i="26" s="1"/>
  <c r="H628" i="26"/>
  <c r="M106" i="26" s="1"/>
  <c r="M214" i="26" s="1"/>
  <c r="K180" i="26"/>
  <c r="K94" i="26"/>
  <c r="K202" i="26" s="1"/>
  <c r="H702" i="26"/>
  <c r="M117" i="26" s="1"/>
  <c r="M225" i="26" s="1"/>
  <c r="I394" i="26"/>
  <c r="G400" i="26" s="1"/>
  <c r="I304" i="26"/>
  <c r="G310" i="26" s="1"/>
  <c r="H695" i="26"/>
  <c r="L116" i="26" s="1"/>
  <c r="L224" i="26" s="1"/>
  <c r="G577" i="26"/>
  <c r="I577" i="26" s="1"/>
  <c r="J577" i="26" s="1"/>
  <c r="R207" i="26"/>
  <c r="H684" i="26"/>
  <c r="K115" i="26" s="1"/>
  <c r="K223" i="26" s="1"/>
  <c r="H553" i="26"/>
  <c r="M95" i="26" s="1"/>
  <c r="M203" i="26" s="1"/>
  <c r="H610" i="26"/>
  <c r="K104" i="26" s="1"/>
  <c r="K212" i="26" s="1"/>
  <c r="B175" i="26"/>
  <c r="B197" i="26"/>
  <c r="B186" i="26"/>
  <c r="B164" i="26"/>
  <c r="B142" i="26"/>
  <c r="B219" i="26"/>
  <c r="B208" i="26"/>
  <c r="B125" i="26"/>
  <c r="B232" i="26"/>
  <c r="B100" i="26"/>
  <c r="B89" i="26"/>
  <c r="B78" i="26"/>
  <c r="J13" i="26"/>
  <c r="B67" i="26"/>
  <c r="B34" i="26"/>
  <c r="B111" i="26"/>
  <c r="B56" i="26"/>
  <c r="I546" i="26"/>
  <c r="G552" i="26" s="1"/>
  <c r="G449" i="19"/>
  <c r="G664" i="19"/>
  <c r="I365" i="19"/>
  <c r="N43" i="19"/>
  <c r="N173" i="19" s="1"/>
  <c r="G657" i="19"/>
  <c r="H31" i="7"/>
  <c r="L27" i="19" s="1"/>
  <c r="H64" i="7"/>
  <c r="I505" i="19"/>
  <c r="G515" i="19" s="1"/>
  <c r="K73" i="19"/>
  <c r="K203" i="19" s="1"/>
  <c r="I723" i="19"/>
  <c r="K107" i="19"/>
  <c r="H664" i="19"/>
  <c r="C672" i="19" s="1"/>
  <c r="M98" i="19"/>
  <c r="R98" i="19" s="1"/>
  <c r="H657" i="19"/>
  <c r="C671" i="19" s="1"/>
  <c r="L97" i="19"/>
  <c r="I648" i="19"/>
  <c r="K96" i="19"/>
  <c r="K226" i="19" s="1"/>
  <c r="H589" i="19"/>
  <c r="C596" i="19" s="1"/>
  <c r="L86" i="19"/>
  <c r="L64" i="19"/>
  <c r="I662" i="19"/>
  <c r="I664" i="19" s="1"/>
  <c r="I655" i="19"/>
  <c r="I657" i="19" s="1"/>
  <c r="I588" i="19"/>
  <c r="I589" i="19" s="1"/>
  <c r="I447" i="19"/>
  <c r="L3" i="8"/>
  <c r="G3" i="8"/>
  <c r="F3" i="8"/>
  <c r="E3" i="8"/>
  <c r="D3" i="8"/>
  <c r="C3" i="8"/>
  <c r="J70" i="25"/>
  <c r="I70" i="25"/>
  <c r="I65" i="25"/>
  <c r="L70" i="25"/>
  <c r="K70" i="25"/>
  <c r="H70" i="25"/>
  <c r="G70" i="25"/>
  <c r="F70" i="25"/>
  <c r="J65" i="25"/>
  <c r="H65" i="25"/>
  <c r="G65" i="25"/>
  <c r="F65" i="25"/>
  <c r="M773" i="19"/>
  <c r="L773" i="19"/>
  <c r="K773" i="19"/>
  <c r="J773" i="19"/>
  <c r="I773" i="19"/>
  <c r="H773" i="19"/>
  <c r="G773" i="19"/>
  <c r="M765" i="19"/>
  <c r="L765" i="19"/>
  <c r="K765" i="19"/>
  <c r="J765" i="19"/>
  <c r="I765" i="19"/>
  <c r="H765" i="19"/>
  <c r="G765" i="19"/>
  <c r="M758" i="19"/>
  <c r="L758" i="19"/>
  <c r="K758" i="19"/>
  <c r="J758" i="19"/>
  <c r="I758" i="19"/>
  <c r="H758" i="19"/>
  <c r="G758" i="19"/>
  <c r="K753" i="19"/>
  <c r="J753" i="19"/>
  <c r="I753" i="19"/>
  <c r="H753" i="19"/>
  <c r="G753" i="19"/>
  <c r="M699" i="19"/>
  <c r="L699" i="19"/>
  <c r="K699" i="19"/>
  <c r="J699" i="19"/>
  <c r="I699" i="19"/>
  <c r="H699" i="19"/>
  <c r="G699" i="19"/>
  <c r="M691" i="19"/>
  <c r="L691" i="19"/>
  <c r="K691" i="19"/>
  <c r="J691" i="19"/>
  <c r="I691" i="19"/>
  <c r="H691" i="19"/>
  <c r="G691" i="19"/>
  <c r="M684" i="19"/>
  <c r="L684" i="19"/>
  <c r="K684" i="19"/>
  <c r="J684" i="19"/>
  <c r="I684" i="19"/>
  <c r="H684" i="19"/>
  <c r="G684" i="19"/>
  <c r="K679" i="19"/>
  <c r="J679" i="19"/>
  <c r="I679" i="19"/>
  <c r="H679" i="19"/>
  <c r="G679" i="19"/>
  <c r="M491" i="19"/>
  <c r="L491" i="19"/>
  <c r="K491" i="19"/>
  <c r="J491" i="19"/>
  <c r="I491" i="19"/>
  <c r="H491" i="19"/>
  <c r="G491" i="19"/>
  <c r="M483" i="19"/>
  <c r="L483" i="19"/>
  <c r="K483" i="19"/>
  <c r="J483" i="19"/>
  <c r="I483" i="19"/>
  <c r="H483" i="19"/>
  <c r="G483" i="19"/>
  <c r="M476" i="19"/>
  <c r="L476" i="19"/>
  <c r="K476" i="19"/>
  <c r="J476" i="19"/>
  <c r="I476" i="19"/>
  <c r="H476" i="19"/>
  <c r="G476" i="19"/>
  <c r="K471" i="19"/>
  <c r="J471" i="19"/>
  <c r="I471" i="19"/>
  <c r="H471" i="19"/>
  <c r="G471" i="19"/>
  <c r="M624" i="19"/>
  <c r="L624" i="19"/>
  <c r="K624" i="19"/>
  <c r="J624" i="19"/>
  <c r="I624" i="19"/>
  <c r="H624" i="19"/>
  <c r="G624" i="19"/>
  <c r="M616" i="19"/>
  <c r="L616" i="19"/>
  <c r="K616" i="19"/>
  <c r="J616" i="19"/>
  <c r="I616" i="19"/>
  <c r="H616" i="19"/>
  <c r="G616" i="19"/>
  <c r="M609" i="19"/>
  <c r="L609" i="19"/>
  <c r="K609" i="19"/>
  <c r="J609" i="19"/>
  <c r="I609" i="19"/>
  <c r="H609" i="19"/>
  <c r="G609" i="19"/>
  <c r="K604" i="19"/>
  <c r="J604" i="19"/>
  <c r="I604" i="19"/>
  <c r="H604" i="19"/>
  <c r="G604" i="19"/>
  <c r="M557" i="19"/>
  <c r="L557" i="19"/>
  <c r="K557" i="19"/>
  <c r="J557" i="19"/>
  <c r="I557" i="19"/>
  <c r="H557" i="19"/>
  <c r="G557" i="19"/>
  <c r="M549" i="19"/>
  <c r="L549" i="19"/>
  <c r="K549" i="19"/>
  <c r="J549" i="19"/>
  <c r="I549" i="19"/>
  <c r="H549" i="19"/>
  <c r="G549" i="19"/>
  <c r="M542" i="19"/>
  <c r="L542" i="19"/>
  <c r="K542" i="19"/>
  <c r="J542" i="19"/>
  <c r="I542" i="19"/>
  <c r="H542" i="19"/>
  <c r="G542" i="19"/>
  <c r="K537" i="19"/>
  <c r="J537" i="19"/>
  <c r="I537" i="19"/>
  <c r="H537" i="19"/>
  <c r="G537" i="19"/>
  <c r="K311" i="19"/>
  <c r="H416" i="19"/>
  <c r="H408" i="19"/>
  <c r="H401" i="19"/>
  <c r="H396" i="19"/>
  <c r="H326" i="19"/>
  <c r="H318" i="19"/>
  <c r="H311" i="19"/>
  <c r="H306" i="19"/>
  <c r="M416" i="19"/>
  <c r="L416" i="19"/>
  <c r="K416" i="19"/>
  <c r="J416" i="19"/>
  <c r="I416" i="19"/>
  <c r="G416" i="19"/>
  <c r="M408" i="19"/>
  <c r="L408" i="19"/>
  <c r="K408" i="19"/>
  <c r="J408" i="19"/>
  <c r="I408" i="19"/>
  <c r="G408" i="19"/>
  <c r="M401" i="19"/>
  <c r="L401" i="19"/>
  <c r="K401" i="19"/>
  <c r="J401" i="19"/>
  <c r="I401" i="19"/>
  <c r="G401" i="19"/>
  <c r="K396" i="19"/>
  <c r="J396" i="19"/>
  <c r="I396" i="19"/>
  <c r="G396" i="19"/>
  <c r="M326" i="19"/>
  <c r="L326" i="19"/>
  <c r="K326" i="19"/>
  <c r="J326" i="19"/>
  <c r="I326" i="19"/>
  <c r="G326" i="19"/>
  <c r="M318" i="19"/>
  <c r="L318" i="19"/>
  <c r="K318" i="19"/>
  <c r="J318" i="19"/>
  <c r="I318" i="19"/>
  <c r="G318" i="19"/>
  <c r="M311" i="19"/>
  <c r="L311" i="19"/>
  <c r="J311" i="19"/>
  <c r="I311" i="19"/>
  <c r="G311" i="19"/>
  <c r="K306" i="19"/>
  <c r="J306" i="19"/>
  <c r="I306" i="19"/>
  <c r="G306" i="19"/>
  <c r="G777" i="19"/>
  <c r="G768" i="19"/>
  <c r="I233" i="19"/>
  <c r="G694" i="19" s="1"/>
  <c r="H232" i="19"/>
  <c r="J201" i="19"/>
  <c r="I200" i="19"/>
  <c r="H199" i="19"/>
  <c r="J223" i="19"/>
  <c r="I222" i="19"/>
  <c r="H221" i="19"/>
  <c r="J212" i="19"/>
  <c r="I211" i="19"/>
  <c r="H210" i="19"/>
  <c r="J190" i="19"/>
  <c r="I189" i="19"/>
  <c r="H188" i="19"/>
  <c r="K168" i="19"/>
  <c r="J167" i="19"/>
  <c r="I166" i="19"/>
  <c r="H165" i="19"/>
  <c r="J234" i="19"/>
  <c r="E37" i="22"/>
  <c r="D37" i="22"/>
  <c r="A37" i="1"/>
  <c r="H274" i="19"/>
  <c r="I274" i="19" s="1"/>
  <c r="J274" i="19" s="1"/>
  <c r="K274" i="19" s="1"/>
  <c r="L274" i="19" s="1"/>
  <c r="M274" i="19" s="1"/>
  <c r="N274" i="19" s="1"/>
  <c r="O274" i="19" s="1"/>
  <c r="P274" i="19" s="1"/>
  <c r="H145" i="19"/>
  <c r="I145" i="19" s="1"/>
  <c r="J145" i="19" s="1"/>
  <c r="K145" i="19" s="1"/>
  <c r="L145" i="19" s="1"/>
  <c r="M145" i="19" s="1"/>
  <c r="N145" i="19" s="1"/>
  <c r="O145" i="19" s="1"/>
  <c r="P145" i="19" s="1"/>
  <c r="R34" i="19"/>
  <c r="B34" i="19"/>
  <c r="R20" i="19"/>
  <c r="R17" i="19"/>
  <c r="R15" i="19"/>
  <c r="E56" i="22"/>
  <c r="D56" i="22"/>
  <c r="C56" i="22"/>
  <c r="A29" i="5"/>
  <c r="A32" i="5" s="1"/>
  <c r="A35" i="5" s="1"/>
  <c r="A38" i="5" s="1"/>
  <c r="A45" i="5" s="1"/>
  <c r="A48" i="5" s="1"/>
  <c r="A51" i="5" s="1"/>
  <c r="D7" i="25"/>
  <c r="E7" i="25" s="1"/>
  <c r="F7" i="25" s="1"/>
  <c r="B22" i="25" s="1"/>
  <c r="B37" i="25" s="1"/>
  <c r="B54" i="25" s="1"/>
  <c r="E53" i="25"/>
  <c r="E54" i="25" s="1"/>
  <c r="E55" i="25" s="1"/>
  <c r="E56" i="25" s="1"/>
  <c r="D52" i="25"/>
  <c r="D53" i="25" s="1"/>
  <c r="C51" i="25"/>
  <c r="L51" i="25" s="1"/>
  <c r="J42" i="25"/>
  <c r="J28" i="25" s="1"/>
  <c r="E28" i="25"/>
  <c r="L34" i="25"/>
  <c r="C27" i="25"/>
  <c r="L19" i="25"/>
  <c r="L27" i="25" s="1"/>
  <c r="B19" i="25"/>
  <c r="B34" i="25" s="1"/>
  <c r="B51" i="25" s="1"/>
  <c r="L18" i="8"/>
  <c r="G18" i="8"/>
  <c r="F18" i="8"/>
  <c r="E18" i="8"/>
  <c r="D18" i="8"/>
  <c r="C18" i="8"/>
  <c r="L8" i="8"/>
  <c r="G8" i="8"/>
  <c r="F8" i="8"/>
  <c r="E8" i="8"/>
  <c r="D8" i="8"/>
  <c r="C8" i="8"/>
  <c r="E8" i="22"/>
  <c r="D8" i="22"/>
  <c r="C8" i="22"/>
  <c r="E120" i="22"/>
  <c r="D119" i="22"/>
  <c r="C118" i="22"/>
  <c r="L118" i="22" s="1"/>
  <c r="L100" i="22"/>
  <c r="L85" i="22"/>
  <c r="B92" i="22"/>
  <c r="B107" i="22" s="1"/>
  <c r="B125" i="22" s="1"/>
  <c r="J84" i="22"/>
  <c r="J99" i="22" s="1"/>
  <c r="J117" i="22" s="1"/>
  <c r="B87" i="22"/>
  <c r="B102" i="22" s="1"/>
  <c r="B120" i="22" s="1"/>
  <c r="D84" i="22"/>
  <c r="D99" i="22" s="1"/>
  <c r="D117" i="22" s="1"/>
  <c r="C73" i="22"/>
  <c r="C84" i="22" s="1"/>
  <c r="C99" i="22" s="1"/>
  <c r="C117" i="22" s="1"/>
  <c r="C5" i="22"/>
  <c r="E52" i="22" s="1"/>
  <c r="F52" i="22" s="1"/>
  <c r="C4" i="22"/>
  <c r="Q3" i="22"/>
  <c r="O3" i="22"/>
  <c r="E2" i="19"/>
  <c r="L44" i="8"/>
  <c r="L55" i="8" s="1"/>
  <c r="L72" i="8" s="1"/>
  <c r="L92" i="8" s="1"/>
  <c r="G44" i="8"/>
  <c r="B60" i="8" s="1"/>
  <c r="B77" i="8" s="1"/>
  <c r="B97" i="8" s="1"/>
  <c r="F44" i="8"/>
  <c r="F55" i="8" s="1"/>
  <c r="F72" i="8" s="1"/>
  <c r="F92" i="8" s="1"/>
  <c r="E44" i="8"/>
  <c r="B58" i="8" s="1"/>
  <c r="B75" i="8" s="1"/>
  <c r="B95" i="8" s="1"/>
  <c r="D44" i="8"/>
  <c r="B57" i="8" s="1"/>
  <c r="B74" i="8" s="1"/>
  <c r="B94" i="8" s="1"/>
  <c r="C44" i="8"/>
  <c r="B56" i="8" s="1"/>
  <c r="B73" i="8" s="1"/>
  <c r="B86" i="22"/>
  <c r="B101" i="22" s="1"/>
  <c r="B119" i="22" s="1"/>
  <c r="D2" i="19"/>
  <c r="B2" i="19"/>
  <c r="G220" i="19"/>
  <c r="G605" i="19" s="1"/>
  <c r="G187" i="19"/>
  <c r="G397" i="19" s="1"/>
  <c r="G164" i="19"/>
  <c r="H161" i="19"/>
  <c r="I161" i="19" s="1"/>
  <c r="J161" i="19" s="1"/>
  <c r="K161" i="19" s="1"/>
  <c r="H31" i="19"/>
  <c r="I31" i="19" s="1"/>
  <c r="J31" i="19" s="1"/>
  <c r="K31" i="19" s="1"/>
  <c r="L31" i="19" s="1"/>
  <c r="M31" i="19" s="1"/>
  <c r="N31" i="19" s="1"/>
  <c r="O31" i="19" s="1"/>
  <c r="P31" i="19" s="1"/>
  <c r="H13" i="19"/>
  <c r="P26" i="19"/>
  <c r="P27" i="19" s="1"/>
  <c r="K26" i="19"/>
  <c r="J26" i="19"/>
  <c r="J27" i="19" s="1"/>
  <c r="I26" i="19"/>
  <c r="I27" i="19" s="1"/>
  <c r="H26" i="19"/>
  <c r="H27" i="19" s="1"/>
  <c r="G26" i="19"/>
  <c r="B7" i="19"/>
  <c r="B4" i="19"/>
  <c r="N21" i="7"/>
  <c r="D131" i="5"/>
  <c r="D127" i="5"/>
  <c r="W16" i="16"/>
  <c r="V16" i="16"/>
  <c r="S16" i="16"/>
  <c r="S15" i="16"/>
  <c r="U15" i="15"/>
  <c r="T15" i="15"/>
  <c r="Q15" i="15"/>
  <c r="R1" i="13"/>
  <c r="U2" i="13"/>
  <c r="T2" i="13"/>
  <c r="R2" i="13"/>
  <c r="S4" i="8"/>
  <c r="R4" i="8"/>
  <c r="Q4" i="8"/>
  <c r="S4" i="7"/>
  <c r="R4" i="7"/>
  <c r="Q4" i="7"/>
  <c r="S1" i="5"/>
  <c r="O1" i="5"/>
  <c r="Q2" i="2"/>
  <c r="P2" i="2"/>
  <c r="O32" i="7"/>
  <c r="E19" i="16"/>
  <c r="E36" i="16" s="1"/>
  <c r="R71" i="2"/>
  <c r="R69" i="2"/>
  <c r="R67" i="2"/>
  <c r="R59" i="2"/>
  <c r="R57" i="2"/>
  <c r="R56" i="2"/>
  <c r="R54" i="2"/>
  <c r="R51" i="2"/>
  <c r="R49" i="2"/>
  <c r="R48" i="2"/>
  <c r="R47" i="2"/>
  <c r="R32" i="2"/>
  <c r="R30" i="2"/>
  <c r="R27" i="2"/>
  <c r="R19" i="2"/>
  <c r="R18" i="2"/>
  <c r="R17" i="2"/>
  <c r="R14" i="2"/>
  <c r="D14" i="5"/>
  <c r="D217" i="5" s="1"/>
  <c r="D13" i="5"/>
  <c r="D213" i="5" s="1"/>
  <c r="C7" i="7"/>
  <c r="C6" i="7"/>
  <c r="C5" i="8"/>
  <c r="C4" i="8"/>
  <c r="E6" i="4"/>
  <c r="L67" i="7"/>
  <c r="G62" i="7"/>
  <c r="G63" i="7" s="1"/>
  <c r="F61" i="7"/>
  <c r="F62" i="7" s="1"/>
  <c r="E60" i="7"/>
  <c r="E61" i="7" s="1"/>
  <c r="N73" i="8"/>
  <c r="B21" i="7"/>
  <c r="B38" i="7" s="1"/>
  <c r="B58" i="7" s="1"/>
  <c r="C20" i="7"/>
  <c r="N39" i="7"/>
  <c r="P39" i="7" s="1"/>
  <c r="N38" i="7"/>
  <c r="A12" i="4"/>
  <c r="A9" i="4"/>
  <c r="D6" i="4"/>
  <c r="B35" i="4" s="1"/>
  <c r="D4" i="4"/>
  <c r="D3" i="4"/>
  <c r="L48" i="7"/>
  <c r="L32" i="7" s="1"/>
  <c r="B22" i="7"/>
  <c r="B39" i="7" s="1"/>
  <c r="B59" i="7" s="1"/>
  <c r="B23" i="7"/>
  <c r="B40" i="7" s="1"/>
  <c r="B60" i="7" s="1"/>
  <c r="E20" i="7"/>
  <c r="D20" i="7"/>
  <c r="D59" i="7"/>
  <c r="D60" i="7" s="1"/>
  <c r="D51" i="5"/>
  <c r="F20" i="7"/>
  <c r="B24" i="7"/>
  <c r="B41" i="7"/>
  <c r="B61" i="7" s="1"/>
  <c r="B25" i="7"/>
  <c r="B42" i="7"/>
  <c r="B62" i="7" s="1"/>
  <c r="G20" i="7"/>
  <c r="B30" i="7"/>
  <c r="B47" i="7" s="1"/>
  <c r="B67" i="7" s="1"/>
  <c r="L20" i="7"/>
  <c r="C58" i="7"/>
  <c r="N58" i="7" s="1"/>
  <c r="C31" i="7"/>
  <c r="N93" i="8"/>
  <c r="N56" i="8"/>
  <c r="C18" i="25"/>
  <c r="C33" i="25" s="1"/>
  <c r="C50" i="25" s="1"/>
  <c r="C52" i="25"/>
  <c r="H66" i="25"/>
  <c r="I66" i="25" s="1"/>
  <c r="C36" i="25" s="1"/>
  <c r="L36" i="25" s="1"/>
  <c r="N36" i="25" s="1"/>
  <c r="B20" i="25"/>
  <c r="B35" i="25" s="1"/>
  <c r="B52" i="25" s="1"/>
  <c r="F72" i="25"/>
  <c r="O19" i="16"/>
  <c r="O36" i="16" s="1"/>
  <c r="G55" i="8"/>
  <c r="G72" i="8" s="1"/>
  <c r="G92" i="8" s="1"/>
  <c r="B51" i="4" l="1"/>
  <c r="B47" i="4"/>
  <c r="B43" i="4"/>
  <c r="B41" i="4"/>
  <c r="B50" i="4"/>
  <c r="B46" i="4"/>
  <c r="B42" i="4"/>
  <c r="B45" i="4"/>
  <c r="B48" i="4"/>
  <c r="B44" i="4"/>
  <c r="B49" i="4"/>
  <c r="N63" i="8"/>
  <c r="I100" i="8"/>
  <c r="I66" i="8"/>
  <c r="D57" i="7"/>
  <c r="D37" i="7"/>
  <c r="C37" i="7"/>
  <c r="C57" i="7" s="1"/>
  <c r="F57" i="7"/>
  <c r="F37" i="7"/>
  <c r="E57" i="7"/>
  <c r="E37" i="7"/>
  <c r="G57" i="7"/>
  <c r="G37" i="7"/>
  <c r="L57" i="7"/>
  <c r="L37" i="7"/>
  <c r="R45" i="2"/>
  <c r="L79" i="2"/>
  <c r="R12" i="2"/>
  <c r="O79" i="2"/>
  <c r="G79" i="2"/>
  <c r="J79" i="2"/>
  <c r="N79" i="2"/>
  <c r="L30" i="8"/>
  <c r="K29" i="8"/>
  <c r="J29" i="8"/>
  <c r="J30" i="8"/>
  <c r="N16" i="26" s="1"/>
  <c r="L29" i="8"/>
  <c r="K30" i="8"/>
  <c r="O16" i="26" s="1"/>
  <c r="O159" i="26" s="1"/>
  <c r="A51" i="22"/>
  <c r="M25" i="26"/>
  <c r="G294" i="19"/>
  <c r="D92" i="5" s="1"/>
  <c r="D12" i="5"/>
  <c r="B59" i="5" s="1"/>
  <c r="D17" i="4"/>
  <c r="E17" i="4"/>
  <c r="A49" i="22"/>
  <c r="I475" i="26"/>
  <c r="I476" i="26" s="1"/>
  <c r="K651" i="26"/>
  <c r="G656" i="26" s="1"/>
  <c r="G658" i="26" s="1"/>
  <c r="G111" i="26"/>
  <c r="R111" i="26" s="1"/>
  <c r="B46" i="29"/>
  <c r="B136" i="29"/>
  <c r="E232" i="5"/>
  <c r="D24" i="4" s="1"/>
  <c r="E228" i="5"/>
  <c r="D20" i="4" s="1"/>
  <c r="E229" i="5"/>
  <c r="D21" i="4" s="1"/>
  <c r="E231" i="5"/>
  <c r="D23" i="4" s="1"/>
  <c r="E227" i="5"/>
  <c r="D19" i="4" s="1"/>
  <c r="E230" i="5"/>
  <c r="D22" i="4" s="1"/>
  <c r="E233" i="5"/>
  <c r="D25" i="4" s="1"/>
  <c r="G430" i="26"/>
  <c r="I430" i="26" s="1"/>
  <c r="H431" i="26"/>
  <c r="I431" i="26" s="1"/>
  <c r="B46" i="26"/>
  <c r="B154" i="26"/>
  <c r="P16" i="26"/>
  <c r="P160" i="26" s="1"/>
  <c r="H311" i="26"/>
  <c r="I311" i="26" s="1"/>
  <c r="G317" i="26" s="1"/>
  <c r="D55" i="8"/>
  <c r="D72" i="8" s="1"/>
  <c r="D92" i="8" s="1"/>
  <c r="B65" i="8"/>
  <c r="B82" i="8" s="1"/>
  <c r="B102" i="8" s="1"/>
  <c r="G291" i="19"/>
  <c r="G297" i="19"/>
  <c r="D186" i="5" s="1"/>
  <c r="D221" i="5" s="1"/>
  <c r="B264" i="19"/>
  <c r="B176" i="19"/>
  <c r="B253" i="19"/>
  <c r="I13" i="19"/>
  <c r="B113" i="19" s="1"/>
  <c r="B123" i="19"/>
  <c r="B134" i="19"/>
  <c r="B46" i="19"/>
  <c r="M119" i="19"/>
  <c r="M249" i="19" s="1"/>
  <c r="L118" i="19"/>
  <c r="L248" i="19" s="1"/>
  <c r="L259" i="19"/>
  <c r="L260" i="19" s="1"/>
  <c r="D214" i="5"/>
  <c r="I724" i="19"/>
  <c r="G730" i="19" s="1"/>
  <c r="G732" i="19" s="1"/>
  <c r="K237" i="19"/>
  <c r="B85" i="22"/>
  <c r="B100" i="22" s="1"/>
  <c r="B118" i="22" s="1"/>
  <c r="L181" i="26"/>
  <c r="R181" i="26" s="1"/>
  <c r="B59" i="8"/>
  <c r="B76" i="8" s="1"/>
  <c r="B96" i="8" s="1"/>
  <c r="B93" i="8"/>
  <c r="G56" i="26"/>
  <c r="G164" i="26" s="1"/>
  <c r="I440" i="19"/>
  <c r="M109" i="19"/>
  <c r="R109" i="19" s="1"/>
  <c r="L172" i="19"/>
  <c r="I351" i="19"/>
  <c r="G357" i="19" s="1"/>
  <c r="I357" i="19" s="1"/>
  <c r="R97" i="19"/>
  <c r="T1" i="5"/>
  <c r="E85" i="5" s="1"/>
  <c r="H31" i="30"/>
  <c r="J31" i="30" s="1"/>
  <c r="B21" i="25"/>
  <c r="B36" i="25" s="1"/>
  <c r="B53" i="25" s="1"/>
  <c r="E18" i="25"/>
  <c r="E33" i="25" s="1"/>
  <c r="E50" i="25" s="1"/>
  <c r="D18" i="25"/>
  <c r="D33" i="25" s="1"/>
  <c r="D50" i="25" s="1"/>
  <c r="L52" i="25"/>
  <c r="N34" i="25"/>
  <c r="G7" i="25"/>
  <c r="B23" i="25" s="1"/>
  <c r="B38" i="25" s="1"/>
  <c r="B55" i="25" s="1"/>
  <c r="F18" i="25"/>
  <c r="F33" i="25" s="1"/>
  <c r="F50" i="25" s="1"/>
  <c r="M13" i="29"/>
  <c r="B190" i="29"/>
  <c r="B163" i="29"/>
  <c r="B100" i="29"/>
  <c r="B82" i="29"/>
  <c r="B55" i="29"/>
  <c r="B172" i="29"/>
  <c r="B37" i="29"/>
  <c r="B145" i="29"/>
  <c r="B112" i="29"/>
  <c r="B73" i="29"/>
  <c r="B64" i="29"/>
  <c r="B181" i="29"/>
  <c r="B127" i="29"/>
  <c r="B91" i="29"/>
  <c r="B154" i="29"/>
  <c r="B201" i="29"/>
  <c r="N100" i="22"/>
  <c r="G51" i="22"/>
  <c r="J53" i="22"/>
  <c r="J59" i="22" s="1"/>
  <c r="F49" i="22"/>
  <c r="I53" i="22"/>
  <c r="I59" i="22" s="1"/>
  <c r="E49" i="22"/>
  <c r="H53" i="22"/>
  <c r="H58" i="22" s="1"/>
  <c r="D49" i="22"/>
  <c r="G53" i="22"/>
  <c r="E84" i="22"/>
  <c r="E99" i="22" s="1"/>
  <c r="E117" i="22" s="1"/>
  <c r="C57" i="22"/>
  <c r="Q19" i="16"/>
  <c r="Q36" i="16" s="1"/>
  <c r="J47" i="7"/>
  <c r="I47" i="7"/>
  <c r="I702" i="26"/>
  <c r="G708" i="26" s="1"/>
  <c r="I708" i="26" s="1"/>
  <c r="I710" i="26" s="1"/>
  <c r="I621" i="26"/>
  <c r="G627" i="26" s="1"/>
  <c r="G629" i="26" s="1"/>
  <c r="H508" i="26"/>
  <c r="I508" i="26" s="1"/>
  <c r="I805" i="19"/>
  <c r="G811" i="19" s="1"/>
  <c r="G813" i="19" s="1"/>
  <c r="I731" i="19"/>
  <c r="G737" i="19" s="1"/>
  <c r="G738" i="19" s="1"/>
  <c r="I364" i="19"/>
  <c r="I366" i="19" s="1"/>
  <c r="R86" i="19"/>
  <c r="M43" i="19"/>
  <c r="R43" i="19" s="1"/>
  <c r="K84" i="19"/>
  <c r="K214" i="19" s="1"/>
  <c r="K62" i="19"/>
  <c r="K192" i="19" s="1"/>
  <c r="K193" i="19" s="1"/>
  <c r="M42" i="19"/>
  <c r="M172" i="19" s="1"/>
  <c r="I798" i="19"/>
  <c r="G804" i="19" s="1"/>
  <c r="G806" i="19" s="1"/>
  <c r="M64" i="19"/>
  <c r="M194" i="19" s="1"/>
  <c r="P286" i="19"/>
  <c r="O286" i="19"/>
  <c r="K74" i="19"/>
  <c r="K204" i="19" s="1"/>
  <c r="I448" i="19"/>
  <c r="G454" i="19" s="1"/>
  <c r="G456" i="19" s="1"/>
  <c r="G34" i="26"/>
  <c r="G142" i="26" s="1"/>
  <c r="H507" i="26"/>
  <c r="I401" i="26"/>
  <c r="G407" i="26" s="1"/>
  <c r="G409" i="26" s="1"/>
  <c r="I545" i="26"/>
  <c r="P73" i="8"/>
  <c r="G267" i="26"/>
  <c r="R67" i="26"/>
  <c r="G175" i="26"/>
  <c r="I553" i="26"/>
  <c r="G559" i="26" s="1"/>
  <c r="I695" i="26"/>
  <c r="G701" i="26" s="1"/>
  <c r="G357" i="26"/>
  <c r="I393" i="26"/>
  <c r="G197" i="26"/>
  <c r="R89" i="26"/>
  <c r="B220" i="26"/>
  <c r="B209" i="26"/>
  <c r="B112" i="26"/>
  <c r="B233" i="26"/>
  <c r="B126" i="26"/>
  <c r="B165" i="26"/>
  <c r="B68" i="26"/>
  <c r="B35" i="26"/>
  <c r="K13" i="26"/>
  <c r="B176" i="26"/>
  <c r="B143" i="26"/>
  <c r="B101" i="26"/>
  <c r="B90" i="26"/>
  <c r="B57" i="26"/>
  <c r="B198" i="26"/>
  <c r="B79" i="26"/>
  <c r="B187" i="26"/>
  <c r="I684" i="26"/>
  <c r="G694" i="26" s="1"/>
  <c r="K577" i="26"/>
  <c r="G100" i="26"/>
  <c r="I628" i="26"/>
  <c r="G634" i="26" s="1"/>
  <c r="G509" i="26"/>
  <c r="K39" i="26"/>
  <c r="K147" i="26" s="1"/>
  <c r="I610" i="26"/>
  <c r="G620" i="26" s="1"/>
  <c r="I310" i="26"/>
  <c r="G312" i="26"/>
  <c r="H355" i="26"/>
  <c r="I355" i="26" s="1"/>
  <c r="H265" i="26"/>
  <c r="I265" i="26" s="1"/>
  <c r="G554" i="26"/>
  <c r="I400" i="26"/>
  <c r="G402" i="26"/>
  <c r="H356" i="26"/>
  <c r="I356" i="26" s="1"/>
  <c r="H266" i="26"/>
  <c r="I266" i="26" s="1"/>
  <c r="E55" i="8"/>
  <c r="E72" i="8" s="1"/>
  <c r="E92" i="8" s="1"/>
  <c r="C55" i="8"/>
  <c r="C72" i="8" s="1"/>
  <c r="C92" i="8" s="1"/>
  <c r="C28" i="8"/>
  <c r="I515" i="19"/>
  <c r="C59" i="7"/>
  <c r="N59" i="7" s="1"/>
  <c r="G27" i="19"/>
  <c r="R164" i="19"/>
  <c r="I167" i="19"/>
  <c r="G411" i="19"/>
  <c r="G561" i="19"/>
  <c r="G478" i="19"/>
  <c r="I397" i="19"/>
  <c r="J397" i="19" s="1"/>
  <c r="K397" i="19" s="1"/>
  <c r="R187" i="19"/>
  <c r="J168" i="19"/>
  <c r="G420" i="19"/>
  <c r="G486" i="19"/>
  <c r="H806" i="19"/>
  <c r="C820" i="19" s="1"/>
  <c r="G611" i="19"/>
  <c r="I605" i="19"/>
  <c r="J605" i="19" s="1"/>
  <c r="G91" i="19" s="1"/>
  <c r="R91" i="19" s="1"/>
  <c r="R220" i="19"/>
  <c r="G703" i="19"/>
  <c r="K169" i="19"/>
  <c r="G544" i="19"/>
  <c r="G619" i="19"/>
  <c r="G495" i="19"/>
  <c r="L194" i="19"/>
  <c r="H166" i="19"/>
  <c r="G403" i="19"/>
  <c r="G552" i="19"/>
  <c r="G628" i="19"/>
  <c r="G686" i="19"/>
  <c r="G760" i="19"/>
  <c r="H813" i="19"/>
  <c r="C821" i="19" s="1"/>
  <c r="M120" i="19"/>
  <c r="R120" i="19" s="1"/>
  <c r="I797" i="19"/>
  <c r="K118" i="19"/>
  <c r="K248" i="19" s="1"/>
  <c r="M228" i="19"/>
  <c r="R228" i="19" s="1"/>
  <c r="L227" i="19"/>
  <c r="R227" i="19" s="1"/>
  <c r="L216" i="19"/>
  <c r="R216" i="19" s="1"/>
  <c r="I581" i="19"/>
  <c r="K85" i="19"/>
  <c r="L161" i="19"/>
  <c r="M161" i="19" s="1"/>
  <c r="N161" i="19" s="1"/>
  <c r="O161" i="19" s="1"/>
  <c r="P161" i="19" s="1"/>
  <c r="G242" i="19"/>
  <c r="G754" i="19" s="1"/>
  <c r="B198" i="19"/>
  <c r="B165" i="19"/>
  <c r="B148" i="19"/>
  <c r="B231" i="19"/>
  <c r="B220" i="19"/>
  <c r="B187" i="19"/>
  <c r="B112" i="19"/>
  <c r="B101" i="19"/>
  <c r="B90" i="19"/>
  <c r="B57" i="19"/>
  <c r="B242" i="19"/>
  <c r="B209" i="19"/>
  <c r="B79" i="19"/>
  <c r="B277" i="19"/>
  <c r="B68" i="19"/>
  <c r="G165" i="19"/>
  <c r="G231" i="19"/>
  <c r="G209" i="19"/>
  <c r="G198" i="19"/>
  <c r="G472" i="19" s="1"/>
  <c r="B35" i="19"/>
  <c r="R26" i="19"/>
  <c r="P38" i="7"/>
  <c r="Q79" i="2"/>
  <c r="P79" i="2"/>
  <c r="K79" i="2"/>
  <c r="M79" i="2"/>
  <c r="C18" i="4"/>
  <c r="B18" i="4"/>
  <c r="N31" i="7"/>
  <c r="H79" i="2"/>
  <c r="J66" i="25"/>
  <c r="B40" i="4" l="1"/>
  <c r="B57" i="4" s="1"/>
  <c r="E64" i="22"/>
  <c r="E60" i="22"/>
  <c r="I17" i="29" s="1"/>
  <c r="I142" i="29" s="1"/>
  <c r="G325" i="29" s="1"/>
  <c r="E61" i="22"/>
  <c r="I18" i="29" s="1"/>
  <c r="I151" i="29" s="1"/>
  <c r="G389" i="29" s="1"/>
  <c r="E63" i="22"/>
  <c r="I20" i="29" s="1"/>
  <c r="I169" i="29" s="1"/>
  <c r="G485" i="29" s="1"/>
  <c r="E58" i="22"/>
  <c r="E62" i="22"/>
  <c r="E65" i="22"/>
  <c r="I22" i="29" s="1"/>
  <c r="I187" i="29" s="1"/>
  <c r="I58" i="22"/>
  <c r="M15" i="29" s="1"/>
  <c r="J58" i="22"/>
  <c r="F64" i="22"/>
  <c r="J21" i="29" s="1"/>
  <c r="J179" i="29" s="1"/>
  <c r="G557" i="29" s="1"/>
  <c r="F60" i="22"/>
  <c r="J17" i="29" s="1"/>
  <c r="J143" i="29" s="1"/>
  <c r="G334" i="29" s="1"/>
  <c r="F65" i="22"/>
  <c r="J22" i="29" s="1"/>
  <c r="J188" i="29" s="1"/>
  <c r="F62" i="22"/>
  <c r="F61" i="22"/>
  <c r="F58" i="22"/>
  <c r="J15" i="29" s="1"/>
  <c r="F63" i="22"/>
  <c r="J20" i="29" s="1"/>
  <c r="J170" i="29" s="1"/>
  <c r="G494" i="29" s="1"/>
  <c r="R78" i="2"/>
  <c r="R74" i="2"/>
  <c r="R35" i="2"/>
  <c r="R77" i="2"/>
  <c r="R79" i="2" s="1"/>
  <c r="C74" i="22"/>
  <c r="C86" i="22" s="1"/>
  <c r="C45" i="8"/>
  <c r="C57" i="8" s="1"/>
  <c r="I79" i="2"/>
  <c r="B74" i="5"/>
  <c r="B79" i="5"/>
  <c r="H59" i="22"/>
  <c r="L16" i="29" s="1"/>
  <c r="L136" i="29" s="1"/>
  <c r="G288" i="29" s="1"/>
  <c r="G58" i="22"/>
  <c r="K15" i="29" s="1"/>
  <c r="B84" i="5"/>
  <c r="B78" i="5"/>
  <c r="D212" i="5"/>
  <c r="B235" i="5" s="1"/>
  <c r="B68" i="5"/>
  <c r="B73" i="5"/>
  <c r="B67" i="5"/>
  <c r="B86" i="5"/>
  <c r="B85" i="5"/>
  <c r="D36" i="5"/>
  <c r="E36" i="5" s="1"/>
  <c r="B72" i="5"/>
  <c r="E12" i="5"/>
  <c r="E212" i="5" s="1"/>
  <c r="B66" i="5"/>
  <c r="B80" i="5"/>
  <c r="D27" i="4"/>
  <c r="G219" i="26"/>
  <c r="R219" i="26" s="1"/>
  <c r="H656" i="26"/>
  <c r="I656" i="26" s="1"/>
  <c r="B47" i="29"/>
  <c r="B137" i="29"/>
  <c r="L15" i="29"/>
  <c r="N15" i="29"/>
  <c r="N16" i="29"/>
  <c r="N138" i="29" s="1"/>
  <c r="I60" i="22"/>
  <c r="M17" i="29" s="1"/>
  <c r="M146" i="29" s="1"/>
  <c r="G358" i="29" s="1"/>
  <c r="M16" i="29"/>
  <c r="M137" i="29" s="1"/>
  <c r="G295" i="29" s="1"/>
  <c r="G432" i="26"/>
  <c r="H432" i="26"/>
  <c r="N158" i="26"/>
  <c r="R16" i="26"/>
  <c r="I432" i="26"/>
  <c r="J432" i="26" s="1"/>
  <c r="B47" i="26"/>
  <c r="B155" i="26"/>
  <c r="M40" i="26"/>
  <c r="M148" i="26" s="1"/>
  <c r="N15" i="26"/>
  <c r="J28" i="8"/>
  <c r="P15" i="26"/>
  <c r="L28" i="8"/>
  <c r="L45" i="8" s="1"/>
  <c r="O15" i="26"/>
  <c r="O160" i="26" s="1"/>
  <c r="K28" i="8"/>
  <c r="I82" i="8"/>
  <c r="B80" i="19"/>
  <c r="B210" i="19"/>
  <c r="B188" i="19"/>
  <c r="B58" i="19"/>
  <c r="B199" i="19"/>
  <c r="B69" i="19"/>
  <c r="B91" i="19"/>
  <c r="B221" i="19"/>
  <c r="J13" i="19"/>
  <c r="B255" i="19" s="1"/>
  <c r="B36" i="19"/>
  <c r="B149" i="19"/>
  <c r="B243" i="19"/>
  <c r="B102" i="19"/>
  <c r="B232" i="19"/>
  <c r="B166" i="19"/>
  <c r="B278" i="19"/>
  <c r="B266" i="19"/>
  <c r="R130" i="19"/>
  <c r="M260" i="19"/>
  <c r="M261" i="19" s="1"/>
  <c r="R261" i="19" s="1"/>
  <c r="B254" i="19"/>
  <c r="B177" i="19"/>
  <c r="B265" i="19"/>
  <c r="M250" i="19"/>
  <c r="R250" i="19" s="1"/>
  <c r="B135" i="19"/>
  <c r="B47" i="19"/>
  <c r="B124" i="19"/>
  <c r="E226" i="5"/>
  <c r="M239" i="19"/>
  <c r="M173" i="19"/>
  <c r="R173" i="19" s="1"/>
  <c r="D62" i="22"/>
  <c r="H19" i="29" s="1"/>
  <c r="D60" i="22"/>
  <c r="H17" i="29" s="1"/>
  <c r="D64" i="22"/>
  <c r="H21" i="29" s="1"/>
  <c r="D58" i="22"/>
  <c r="H15" i="29" s="1"/>
  <c r="D61" i="22"/>
  <c r="H18" i="29" s="1"/>
  <c r="D63" i="22"/>
  <c r="H20" i="29" s="1"/>
  <c r="D65" i="22"/>
  <c r="H22" i="29" s="1"/>
  <c r="J18" i="29"/>
  <c r="J152" i="29" s="1"/>
  <c r="G398" i="29" s="1"/>
  <c r="I21" i="29"/>
  <c r="I178" i="29" s="1"/>
  <c r="G548" i="29" s="1"/>
  <c r="I15" i="29"/>
  <c r="I627" i="26"/>
  <c r="I629" i="26" s="1"/>
  <c r="R56" i="26"/>
  <c r="G710" i="26"/>
  <c r="N47" i="7"/>
  <c r="P47" i="7" s="1"/>
  <c r="I811" i="19"/>
  <c r="I813" i="19" s="1"/>
  <c r="H30" i="30"/>
  <c r="H7" i="25"/>
  <c r="B24" i="25" s="1"/>
  <c r="B39" i="25" s="1"/>
  <c r="B56" i="25" s="1"/>
  <c r="G18" i="25"/>
  <c r="G33" i="25" s="1"/>
  <c r="G50" i="25" s="1"/>
  <c r="N13" i="29"/>
  <c r="B182" i="29"/>
  <c r="B155" i="29"/>
  <c r="B101" i="29"/>
  <c r="B202" i="29"/>
  <c r="B173" i="29"/>
  <c r="B38" i="29"/>
  <c r="B65" i="29"/>
  <c r="B83" i="29"/>
  <c r="B191" i="29"/>
  <c r="B146" i="29"/>
  <c r="B113" i="29"/>
  <c r="B164" i="29"/>
  <c r="B92" i="29"/>
  <c r="B128" i="29"/>
  <c r="B74" i="29"/>
  <c r="B56" i="29"/>
  <c r="H60" i="22"/>
  <c r="L17" i="29" s="1"/>
  <c r="L145" i="29" s="1"/>
  <c r="G351" i="29" s="1"/>
  <c r="H65" i="22"/>
  <c r="L22" i="29" s="1"/>
  <c r="L190" i="29" s="1"/>
  <c r="H63" i="22"/>
  <c r="L20" i="29" s="1"/>
  <c r="L172" i="29" s="1"/>
  <c r="J65" i="22"/>
  <c r="N22" i="29" s="1"/>
  <c r="N192" i="29" s="1"/>
  <c r="J63" i="22"/>
  <c r="N20" i="29" s="1"/>
  <c r="N174" i="29" s="1"/>
  <c r="J60" i="22"/>
  <c r="N17" i="29" s="1"/>
  <c r="N147" i="29" s="1"/>
  <c r="G64" i="22"/>
  <c r="K21" i="29" s="1"/>
  <c r="K180" i="29" s="1"/>
  <c r="G567" i="29" s="1"/>
  <c r="G65" i="22"/>
  <c r="K22" i="29" s="1"/>
  <c r="K189" i="29" s="1"/>
  <c r="G63" i="22"/>
  <c r="K20" i="29" s="1"/>
  <c r="K171" i="29" s="1"/>
  <c r="G504" i="29" s="1"/>
  <c r="G60" i="22"/>
  <c r="K17" i="29" s="1"/>
  <c r="K144" i="29" s="1"/>
  <c r="G344" i="29" s="1"/>
  <c r="I65" i="22"/>
  <c r="M22" i="29" s="1"/>
  <c r="M191" i="29" s="1"/>
  <c r="I63" i="22"/>
  <c r="M20" i="29" s="1"/>
  <c r="M173" i="29" s="1"/>
  <c r="G518" i="29" s="1"/>
  <c r="J48" i="7"/>
  <c r="J32" i="7" s="1"/>
  <c r="J67" i="7"/>
  <c r="H657" i="26"/>
  <c r="I657" i="26" s="1"/>
  <c r="I402" i="26"/>
  <c r="R34" i="26"/>
  <c r="H509" i="26"/>
  <c r="I507" i="26"/>
  <c r="I509" i="26" s="1"/>
  <c r="J509" i="26" s="1"/>
  <c r="K507" i="26" s="1"/>
  <c r="I737" i="19"/>
  <c r="I738" i="19" s="1"/>
  <c r="R194" i="19"/>
  <c r="I449" i="19"/>
  <c r="R42" i="19"/>
  <c r="R64" i="19"/>
  <c r="I312" i="26"/>
  <c r="I303" i="26"/>
  <c r="L106" i="26"/>
  <c r="L214" i="26" s="1"/>
  <c r="R214" i="26" s="1"/>
  <c r="H629" i="26"/>
  <c r="C642" i="26" s="1"/>
  <c r="I357" i="26"/>
  <c r="J357" i="26" s="1"/>
  <c r="K355" i="26" s="1"/>
  <c r="K356" i="26" s="1"/>
  <c r="I267" i="26"/>
  <c r="J267" i="26" s="1"/>
  <c r="K265" i="26" s="1"/>
  <c r="B221" i="26"/>
  <c r="B113" i="26"/>
  <c r="B177" i="26"/>
  <c r="B199" i="26"/>
  <c r="B188" i="26"/>
  <c r="B166" i="26"/>
  <c r="B144" i="26"/>
  <c r="B234" i="26"/>
  <c r="B210" i="26"/>
  <c r="B127" i="26"/>
  <c r="B69" i="26"/>
  <c r="B36" i="26"/>
  <c r="B102" i="26"/>
  <c r="B91" i="26"/>
  <c r="L13" i="26"/>
  <c r="B80" i="26"/>
  <c r="B58" i="26"/>
  <c r="R142" i="26"/>
  <c r="H409" i="26"/>
  <c r="C417" i="26" s="1"/>
  <c r="M63" i="26"/>
  <c r="G561" i="26"/>
  <c r="R164" i="26"/>
  <c r="H402" i="26"/>
  <c r="C416" i="26" s="1"/>
  <c r="L62" i="26"/>
  <c r="H554" i="26"/>
  <c r="C568" i="26" s="1"/>
  <c r="L95" i="26"/>
  <c r="H267" i="26"/>
  <c r="I620" i="26"/>
  <c r="K105" i="26"/>
  <c r="K213" i="26" s="1"/>
  <c r="R100" i="26"/>
  <c r="G208" i="26"/>
  <c r="R175" i="26"/>
  <c r="I694" i="26"/>
  <c r="K116" i="26"/>
  <c r="K224" i="26" s="1"/>
  <c r="G703" i="26"/>
  <c r="H710" i="26"/>
  <c r="C718" i="26" s="1"/>
  <c r="M118" i="26"/>
  <c r="I552" i="26"/>
  <c r="I554" i="26" s="1"/>
  <c r="I407" i="26"/>
  <c r="I409" i="26" s="1"/>
  <c r="H357" i="26"/>
  <c r="H312" i="26"/>
  <c r="L40" i="26"/>
  <c r="G635" i="26"/>
  <c r="I634" i="26"/>
  <c r="I635" i="26" s="1"/>
  <c r="G582" i="26"/>
  <c r="H583" i="26"/>
  <c r="I583" i="26" s="1"/>
  <c r="H582" i="26"/>
  <c r="R197" i="26"/>
  <c r="M65" i="19"/>
  <c r="H456" i="19"/>
  <c r="C464" i="19" s="1"/>
  <c r="I454" i="19"/>
  <c r="I456" i="19" s="1"/>
  <c r="K605" i="19"/>
  <c r="H611" i="19" s="1"/>
  <c r="I611" i="19" s="1"/>
  <c r="R239" i="19"/>
  <c r="G58" i="19"/>
  <c r="R58" i="19" s="1"/>
  <c r="I804" i="19"/>
  <c r="I806" i="19" s="1"/>
  <c r="R231" i="19"/>
  <c r="R242" i="19"/>
  <c r="L119" i="19"/>
  <c r="R119" i="19" s="1"/>
  <c r="G321" i="19"/>
  <c r="G313" i="19"/>
  <c r="G340" i="19"/>
  <c r="G330" i="19"/>
  <c r="G538" i="19"/>
  <c r="I538" i="19" s="1"/>
  <c r="J538" i="19" s="1"/>
  <c r="G80" i="19" s="1"/>
  <c r="R80" i="19" s="1"/>
  <c r="R209" i="19"/>
  <c r="R198" i="19"/>
  <c r="G307" i="19"/>
  <c r="I307" i="19" s="1"/>
  <c r="J307" i="19" s="1"/>
  <c r="G36" i="19" s="1"/>
  <c r="R36" i="19" s="1"/>
  <c r="R165" i="19"/>
  <c r="G221" i="19"/>
  <c r="H732" i="19"/>
  <c r="C745" i="19" s="1"/>
  <c r="L108" i="19"/>
  <c r="R108" i="19" s="1"/>
  <c r="I730" i="19"/>
  <c r="I732" i="19" s="1"/>
  <c r="K215" i="19"/>
  <c r="I754" i="19"/>
  <c r="J754" i="19" s="1"/>
  <c r="G680" i="19"/>
  <c r="I680" i="19" s="1"/>
  <c r="J680" i="19" s="1"/>
  <c r="G102" i="19" s="1"/>
  <c r="R102" i="19" s="1"/>
  <c r="I472" i="19"/>
  <c r="J472" i="19" s="1"/>
  <c r="G69" i="19" s="1"/>
  <c r="R69" i="19" s="1"/>
  <c r="B200" i="19"/>
  <c r="B70" i="19"/>
  <c r="A61" i="5"/>
  <c r="A65" i="5" s="1"/>
  <c r="A71" i="5" s="1"/>
  <c r="A77" i="5" s="1"/>
  <c r="A83" i="5" s="1"/>
  <c r="R27" i="19"/>
  <c r="G71" i="25"/>
  <c r="F71" i="25"/>
  <c r="G72" i="25"/>
  <c r="H72" i="25" s="1"/>
  <c r="K27" i="19"/>
  <c r="C53" i="25"/>
  <c r="G402" i="19"/>
  <c r="H402" i="19" s="1"/>
  <c r="H403" i="19" s="1"/>
  <c r="I403" i="19" s="1"/>
  <c r="C93" i="22" l="1"/>
  <c r="G25" i="29" s="1"/>
  <c r="L86" i="22"/>
  <c r="C66" i="8"/>
  <c r="G25" i="26" s="1"/>
  <c r="N57" i="8"/>
  <c r="P74" i="8" s="1"/>
  <c r="C94" i="8"/>
  <c r="N94" i="8" s="1"/>
  <c r="K45" i="8"/>
  <c r="K65" i="8" s="1"/>
  <c r="J45" i="8"/>
  <c r="J64" i="8" s="1"/>
  <c r="I658" i="26"/>
  <c r="J658" i="26" s="1"/>
  <c r="K656" i="26" s="1"/>
  <c r="L656" i="26" s="1"/>
  <c r="G112" i="26" s="1"/>
  <c r="A91" i="5"/>
  <c r="A94" i="5" s="1"/>
  <c r="A97" i="5" s="1"/>
  <c r="A103" i="5" s="1"/>
  <c r="I19" i="29"/>
  <c r="I160" i="29" s="1"/>
  <c r="G437" i="29" s="1"/>
  <c r="J19" i="29"/>
  <c r="P16" i="29"/>
  <c r="G613" i="29"/>
  <c r="H622" i="29" s="1"/>
  <c r="J100" i="29" s="1"/>
  <c r="G637" i="29"/>
  <c r="H637" i="29" s="1"/>
  <c r="M102" i="29" s="1"/>
  <c r="M192" i="29" s="1"/>
  <c r="G623" i="29"/>
  <c r="G630" i="29"/>
  <c r="H636" i="29" s="1"/>
  <c r="G604" i="29"/>
  <c r="B48" i="29"/>
  <c r="B138" i="29"/>
  <c r="M128" i="29"/>
  <c r="G271" i="29" s="1"/>
  <c r="H271" i="29" s="1"/>
  <c r="M39" i="29" s="1"/>
  <c r="M129" i="29" s="1"/>
  <c r="L127" i="29"/>
  <c r="G264" i="29" s="1"/>
  <c r="N129" i="29"/>
  <c r="P21" i="29"/>
  <c r="N159" i="26"/>
  <c r="G334" i="26" s="1"/>
  <c r="G335" i="26" s="1"/>
  <c r="K430" i="26"/>
  <c r="K431" i="26" s="1"/>
  <c r="B48" i="26"/>
  <c r="B156" i="26"/>
  <c r="C325" i="26"/>
  <c r="P24" i="26"/>
  <c r="P25" i="26" s="1"/>
  <c r="P149" i="26"/>
  <c r="O148" i="26"/>
  <c r="O149" i="26" s="1"/>
  <c r="O24" i="26"/>
  <c r="N147" i="26"/>
  <c r="N148" i="26" s="1"/>
  <c r="G318" i="26" s="1"/>
  <c r="N24" i="26"/>
  <c r="R15" i="26"/>
  <c r="H610" i="19"/>
  <c r="H612" i="19" s="1"/>
  <c r="B37" i="19"/>
  <c r="B59" i="19"/>
  <c r="B114" i="19"/>
  <c r="B150" i="19"/>
  <c r="B48" i="19"/>
  <c r="B189" i="19"/>
  <c r="B103" i="19"/>
  <c r="B167" i="19"/>
  <c r="B233" i="19"/>
  <c r="B92" i="19"/>
  <c r="B244" i="19"/>
  <c r="K13" i="19"/>
  <c r="B256" i="19" s="1"/>
  <c r="B222" i="19"/>
  <c r="B81" i="19"/>
  <c r="B211" i="19"/>
  <c r="B279" i="19"/>
  <c r="B136" i="19"/>
  <c r="B178" i="19"/>
  <c r="B125" i="19"/>
  <c r="B267" i="19"/>
  <c r="R260" i="19"/>
  <c r="L249" i="19"/>
  <c r="G113" i="19"/>
  <c r="B137" i="19"/>
  <c r="H510" i="29"/>
  <c r="H504" i="29"/>
  <c r="K82" i="29" s="1"/>
  <c r="K172" i="29" s="1"/>
  <c r="I124" i="29"/>
  <c r="H566" i="29"/>
  <c r="J91" i="29" s="1"/>
  <c r="H557" i="29"/>
  <c r="J90" i="29" s="1"/>
  <c r="J180" i="29" s="1"/>
  <c r="H177" i="29"/>
  <c r="N24" i="29"/>
  <c r="N25" i="29" s="1"/>
  <c r="H358" i="29"/>
  <c r="M57" i="29" s="1"/>
  <c r="M147" i="29" s="1"/>
  <c r="H344" i="29"/>
  <c r="K55" i="29" s="1"/>
  <c r="K145" i="29" s="1"/>
  <c r="H350" i="29"/>
  <c r="H357" i="29"/>
  <c r="H351" i="29"/>
  <c r="L56" i="29" s="1"/>
  <c r="L146" i="29" s="1"/>
  <c r="L24" i="29"/>
  <c r="H343" i="29"/>
  <c r="J55" i="29" s="1"/>
  <c r="H334" i="29"/>
  <c r="J54" i="29" s="1"/>
  <c r="J144" i="29" s="1"/>
  <c r="H503" i="29"/>
  <c r="J82" i="29" s="1"/>
  <c r="H494" i="29"/>
  <c r="J81" i="29" s="1"/>
  <c r="J171" i="29" s="1"/>
  <c r="H168" i="29"/>
  <c r="P20" i="29"/>
  <c r="H141" i="29"/>
  <c r="P17" i="29"/>
  <c r="H518" i="29"/>
  <c r="M84" i="29" s="1"/>
  <c r="M174" i="29" s="1"/>
  <c r="H567" i="29"/>
  <c r="K91" i="29" s="1"/>
  <c r="K181" i="29" s="1"/>
  <c r="H573" i="29"/>
  <c r="G511" i="29"/>
  <c r="H407" i="29"/>
  <c r="J64" i="29" s="1"/>
  <c r="H398" i="29"/>
  <c r="J63" i="29" s="1"/>
  <c r="J153" i="29" s="1"/>
  <c r="H150" i="29"/>
  <c r="G381" i="29" s="1"/>
  <c r="P18" i="29"/>
  <c r="M24" i="29"/>
  <c r="H186" i="29"/>
  <c r="P22" i="29"/>
  <c r="K126" i="29"/>
  <c r="K24" i="29"/>
  <c r="J125" i="29"/>
  <c r="H123" i="29"/>
  <c r="P15" i="29"/>
  <c r="H24" i="29"/>
  <c r="H159" i="29"/>
  <c r="G610" i="19"/>
  <c r="I610" i="19" s="1"/>
  <c r="J30" i="30"/>
  <c r="J34" i="30" s="1"/>
  <c r="H34" i="30"/>
  <c r="H24" i="30" s="1"/>
  <c r="H44" i="30"/>
  <c r="L53" i="25"/>
  <c r="I7" i="25"/>
  <c r="B25" i="25" s="1"/>
  <c r="B40" i="25" s="1"/>
  <c r="B57" i="25" s="1"/>
  <c r="H18" i="25"/>
  <c r="H33" i="25" s="1"/>
  <c r="H50" i="25" s="1"/>
  <c r="B183" i="29"/>
  <c r="B57" i="29"/>
  <c r="B129" i="29"/>
  <c r="B147" i="29"/>
  <c r="B93" i="29"/>
  <c r="B165" i="29"/>
  <c r="B66" i="29"/>
  <c r="B114" i="29"/>
  <c r="B192" i="29"/>
  <c r="B102" i="29"/>
  <c r="B203" i="29"/>
  <c r="B39" i="29"/>
  <c r="B75" i="29"/>
  <c r="B84" i="29"/>
  <c r="B156" i="29"/>
  <c r="B174" i="29"/>
  <c r="J57" i="22"/>
  <c r="J74" i="22" s="1"/>
  <c r="G57" i="22"/>
  <c r="I57" i="22"/>
  <c r="H57" i="22"/>
  <c r="E57" i="22"/>
  <c r="D57" i="22"/>
  <c r="F57" i="22"/>
  <c r="F74" i="22" s="1"/>
  <c r="H658" i="26"/>
  <c r="R106" i="26"/>
  <c r="H584" i="26"/>
  <c r="H340" i="19"/>
  <c r="K40" i="19" s="1"/>
  <c r="K170" i="19" s="1"/>
  <c r="H350" i="19"/>
  <c r="K41" i="19" s="1"/>
  <c r="G188" i="19"/>
  <c r="R188" i="19" s="1"/>
  <c r="K508" i="26"/>
  <c r="K509" i="26" s="1"/>
  <c r="K357" i="26"/>
  <c r="L356" i="26"/>
  <c r="K266" i="26"/>
  <c r="K267" i="26" s="1"/>
  <c r="L265" i="26"/>
  <c r="G35" i="26" s="1"/>
  <c r="M265" i="26"/>
  <c r="L355" i="26"/>
  <c r="G57" i="26" s="1"/>
  <c r="M355" i="26"/>
  <c r="R118" i="26"/>
  <c r="M226" i="26"/>
  <c r="R226" i="26" s="1"/>
  <c r="H703" i="26"/>
  <c r="C717" i="26" s="1"/>
  <c r="L117" i="26"/>
  <c r="R62" i="26"/>
  <c r="L170" i="26"/>
  <c r="R170" i="26" s="1"/>
  <c r="H561" i="26"/>
  <c r="C569" i="26" s="1"/>
  <c r="M96" i="26"/>
  <c r="M41" i="26"/>
  <c r="I582" i="26"/>
  <c r="G584" i="26"/>
  <c r="I701" i="26"/>
  <c r="I703" i="26" s="1"/>
  <c r="R208" i="26"/>
  <c r="I559" i="26"/>
  <c r="I561" i="26" s="1"/>
  <c r="B235" i="26"/>
  <c r="B128" i="26"/>
  <c r="B222" i="26"/>
  <c r="B178" i="26"/>
  <c r="B200" i="26"/>
  <c r="B189" i="26"/>
  <c r="B167" i="26"/>
  <c r="B145" i="26"/>
  <c r="B211" i="26"/>
  <c r="B103" i="26"/>
  <c r="B92" i="26"/>
  <c r="B81" i="26"/>
  <c r="B114" i="26"/>
  <c r="B70" i="26"/>
  <c r="B37" i="26"/>
  <c r="B59" i="26"/>
  <c r="M13" i="26"/>
  <c r="R95" i="26"/>
  <c r="L203" i="26"/>
  <c r="R203" i="26" s="1"/>
  <c r="R63" i="26"/>
  <c r="M171" i="26"/>
  <c r="R171" i="26" s="1"/>
  <c r="I317" i="26"/>
  <c r="H635" i="26"/>
  <c r="C643" i="26" s="1"/>
  <c r="M107" i="26"/>
  <c r="R40" i="26"/>
  <c r="L148" i="26"/>
  <c r="R65" i="19"/>
  <c r="M195" i="19"/>
  <c r="R195" i="19" s="1"/>
  <c r="K538" i="19"/>
  <c r="H543" i="19" s="1"/>
  <c r="G210" i="19"/>
  <c r="R210" i="19" s="1"/>
  <c r="K307" i="19"/>
  <c r="H313" i="19" s="1"/>
  <c r="I313" i="19" s="1"/>
  <c r="R249" i="19"/>
  <c r="R172" i="19"/>
  <c r="G199" i="19"/>
  <c r="G232" i="19"/>
  <c r="R221" i="19"/>
  <c r="L238" i="19"/>
  <c r="R238" i="19" s="1"/>
  <c r="K680" i="19"/>
  <c r="H685" i="19" s="1"/>
  <c r="K754" i="19"/>
  <c r="H760" i="19" s="1"/>
  <c r="I760" i="19" s="1"/>
  <c r="K472" i="19"/>
  <c r="H478" i="19" s="1"/>
  <c r="I478" i="19" s="1"/>
  <c r="B245" i="19"/>
  <c r="B201" i="19"/>
  <c r="B212" i="19"/>
  <c r="B168" i="19"/>
  <c r="B151" i="19"/>
  <c r="B71" i="19"/>
  <c r="B82" i="19"/>
  <c r="B280" i="19"/>
  <c r="B234" i="19"/>
  <c r="B223" i="19"/>
  <c r="B190" i="19"/>
  <c r="B115" i="19"/>
  <c r="B104" i="19"/>
  <c r="B93" i="19"/>
  <c r="B60" i="19"/>
  <c r="G166" i="19"/>
  <c r="L13" i="19"/>
  <c r="B38" i="19"/>
  <c r="G73" i="25"/>
  <c r="I402" i="19"/>
  <c r="G404" i="19"/>
  <c r="H71" i="25"/>
  <c r="F73" i="25"/>
  <c r="H404" i="19"/>
  <c r="M656" i="26" l="1"/>
  <c r="K657" i="26"/>
  <c r="K658" i="26" s="1"/>
  <c r="N65" i="8"/>
  <c r="K102" i="8"/>
  <c r="K66" i="8"/>
  <c r="K67" i="8" s="1"/>
  <c r="D86" i="5"/>
  <c r="D84" i="5" s="1"/>
  <c r="E86" i="5"/>
  <c r="E84" i="5" s="1"/>
  <c r="D74" i="22"/>
  <c r="D87" i="22" s="1"/>
  <c r="G74" i="22"/>
  <c r="G90" i="22" s="1"/>
  <c r="E74" i="22"/>
  <c r="E88" i="22" s="1"/>
  <c r="H74" i="22"/>
  <c r="H91" i="22" s="1"/>
  <c r="I74" i="22"/>
  <c r="I92" i="22" s="1"/>
  <c r="J66" i="8"/>
  <c r="N25" i="26" s="1"/>
  <c r="N64" i="8"/>
  <c r="J101" i="8"/>
  <c r="P19" i="29"/>
  <c r="A106" i="5"/>
  <c r="A109" i="5" s="1"/>
  <c r="B126" i="19"/>
  <c r="B179" i="19"/>
  <c r="B49" i="19"/>
  <c r="O25" i="26"/>
  <c r="R159" i="26"/>
  <c r="I24" i="29"/>
  <c r="H613" i="29"/>
  <c r="J99" i="29" s="1"/>
  <c r="J189" i="29" s="1"/>
  <c r="J190" i="29" s="1"/>
  <c r="J161" i="29"/>
  <c r="G446" i="29" s="1"/>
  <c r="J24" i="29"/>
  <c r="H630" i="29"/>
  <c r="L101" i="29" s="1"/>
  <c r="L191" i="29" s="1"/>
  <c r="H295" i="29"/>
  <c r="H294" i="29"/>
  <c r="L48" i="29" s="1"/>
  <c r="H288" i="29"/>
  <c r="G238" i="29"/>
  <c r="I198" i="29"/>
  <c r="H334" i="26"/>
  <c r="H335" i="26" s="1"/>
  <c r="C342" i="26" s="1"/>
  <c r="L431" i="26"/>
  <c r="H68" i="26" s="1"/>
  <c r="H176" i="26" s="1"/>
  <c r="M431" i="26"/>
  <c r="G438" i="26" s="1"/>
  <c r="K432" i="26"/>
  <c r="L430" i="26"/>
  <c r="G68" i="26" s="1"/>
  <c r="G176" i="26" s="1"/>
  <c r="M430" i="26"/>
  <c r="B49" i="26"/>
  <c r="B157" i="26"/>
  <c r="R158" i="26"/>
  <c r="R148" i="26"/>
  <c r="R24" i="26"/>
  <c r="H318" i="26"/>
  <c r="G319" i="26"/>
  <c r="R113" i="19"/>
  <c r="G243" i="19"/>
  <c r="R243" i="19" s="1"/>
  <c r="B257" i="19"/>
  <c r="B180" i="19"/>
  <c r="B268" i="19"/>
  <c r="R124" i="19"/>
  <c r="G254" i="19"/>
  <c r="I340" i="19"/>
  <c r="G350" i="19" s="1"/>
  <c r="I350" i="19" s="1"/>
  <c r="B127" i="19"/>
  <c r="B138" i="19"/>
  <c r="B50" i="19"/>
  <c r="G612" i="19"/>
  <c r="H544" i="19"/>
  <c r="I544" i="19" s="1"/>
  <c r="G543" i="19"/>
  <c r="G545" i="19" s="1"/>
  <c r="I637" i="29"/>
  <c r="J145" i="29"/>
  <c r="I344" i="29"/>
  <c r="G350" i="29" s="1"/>
  <c r="I350" i="29" s="1"/>
  <c r="J181" i="29"/>
  <c r="I398" i="29"/>
  <c r="G407" i="29" s="1"/>
  <c r="I407" i="29" s="1"/>
  <c r="I518" i="29"/>
  <c r="I494" i="29"/>
  <c r="G503" i="29" s="1"/>
  <c r="I503" i="29" s="1"/>
  <c r="I557" i="29"/>
  <c r="G566" i="29" s="1"/>
  <c r="I566" i="29" s="1"/>
  <c r="H264" i="29"/>
  <c r="H270" i="29"/>
  <c r="I271" i="29"/>
  <c r="L102" i="29"/>
  <c r="P102" i="29" s="1"/>
  <c r="H638" i="29"/>
  <c r="C645" i="29" s="1"/>
  <c r="G596" i="29"/>
  <c r="G597" i="29" s="1"/>
  <c r="P186" i="29"/>
  <c r="J154" i="29"/>
  <c r="H517" i="29"/>
  <c r="H511" i="29"/>
  <c r="L83" i="29" s="1"/>
  <c r="L173" i="29" s="1"/>
  <c r="G317" i="29"/>
  <c r="P141" i="29"/>
  <c r="J172" i="29"/>
  <c r="L57" i="29"/>
  <c r="P57" i="29" s="1"/>
  <c r="H359" i="29"/>
  <c r="C367" i="29" s="1"/>
  <c r="K56" i="29"/>
  <c r="P56" i="29" s="1"/>
  <c r="H352" i="29"/>
  <c r="C366" i="29" s="1"/>
  <c r="K83" i="29"/>
  <c r="G257" i="29"/>
  <c r="I567" i="29"/>
  <c r="G573" i="29" s="1"/>
  <c r="G429" i="29"/>
  <c r="P159" i="29"/>
  <c r="G247" i="29"/>
  <c r="G230" i="29"/>
  <c r="P123" i="29"/>
  <c r="K92" i="29"/>
  <c r="P92" i="29" s="1"/>
  <c r="H574" i="29"/>
  <c r="C581" i="29" s="1"/>
  <c r="G477" i="29"/>
  <c r="P168" i="29"/>
  <c r="I334" i="29"/>
  <c r="G343" i="29" s="1"/>
  <c r="I343" i="29" s="1"/>
  <c r="I351" i="29"/>
  <c r="G357" i="29" s="1"/>
  <c r="I358" i="29"/>
  <c r="G540" i="29"/>
  <c r="I504" i="29"/>
  <c r="G510" i="29" s="1"/>
  <c r="P107" i="29"/>
  <c r="H686" i="19"/>
  <c r="I686" i="19" s="1"/>
  <c r="G312" i="19"/>
  <c r="G314" i="19" s="1"/>
  <c r="K171" i="19"/>
  <c r="J7" i="25"/>
  <c r="I18" i="25"/>
  <c r="I33" i="25" s="1"/>
  <c r="I50" i="25" s="1"/>
  <c r="F89" i="22"/>
  <c r="F93" i="22" s="1"/>
  <c r="N203" i="29"/>
  <c r="K200" i="29"/>
  <c r="G196" i="29"/>
  <c r="H197" i="29"/>
  <c r="M202" i="29"/>
  <c r="L201" i="29"/>
  <c r="L508" i="26"/>
  <c r="H90" i="26" s="1"/>
  <c r="H198" i="26" s="1"/>
  <c r="M508" i="26"/>
  <c r="G515" i="26" s="1"/>
  <c r="B236" i="26"/>
  <c r="B223" i="26"/>
  <c r="B115" i="26"/>
  <c r="B179" i="26"/>
  <c r="B201" i="26"/>
  <c r="B190" i="26"/>
  <c r="B168" i="26"/>
  <c r="B146" i="26"/>
  <c r="B60" i="26"/>
  <c r="B212" i="26"/>
  <c r="B129" i="26"/>
  <c r="B71" i="26"/>
  <c r="B38" i="26"/>
  <c r="N13" i="26"/>
  <c r="B104" i="26"/>
  <c r="B93" i="26"/>
  <c r="B82" i="26"/>
  <c r="R96" i="26"/>
  <c r="M204" i="26"/>
  <c r="R204" i="26" s="1"/>
  <c r="G165" i="26"/>
  <c r="G143" i="26"/>
  <c r="R107" i="26"/>
  <c r="M215" i="26"/>
  <c r="R215" i="26" s="1"/>
  <c r="I584" i="26"/>
  <c r="J584" i="26" s="1"/>
  <c r="K582" i="26" s="1"/>
  <c r="L657" i="26"/>
  <c r="H112" i="26" s="1"/>
  <c r="H220" i="26" s="1"/>
  <c r="M657" i="26"/>
  <c r="G664" i="26" s="1"/>
  <c r="R117" i="26"/>
  <c r="L225" i="26"/>
  <c r="R225" i="26" s="1"/>
  <c r="H57" i="26"/>
  <c r="H165" i="26" s="1"/>
  <c r="M356" i="26"/>
  <c r="G363" i="26" s="1"/>
  <c r="G272" i="26"/>
  <c r="L507" i="26"/>
  <c r="G90" i="26" s="1"/>
  <c r="M507" i="26"/>
  <c r="G663" i="26"/>
  <c r="M149" i="26"/>
  <c r="G220" i="26"/>
  <c r="G362" i="26"/>
  <c r="L266" i="26"/>
  <c r="H35" i="26" s="1"/>
  <c r="M266" i="26"/>
  <c r="G273" i="26" s="1"/>
  <c r="H312" i="19"/>
  <c r="H759" i="19"/>
  <c r="H761" i="19" s="1"/>
  <c r="G759" i="19"/>
  <c r="H477" i="19"/>
  <c r="H479" i="19" s="1"/>
  <c r="G685" i="19"/>
  <c r="I685" i="19" s="1"/>
  <c r="R166" i="19"/>
  <c r="R199" i="19"/>
  <c r="R232" i="19"/>
  <c r="G477" i="19"/>
  <c r="B281" i="19"/>
  <c r="B246" i="19"/>
  <c r="B83" i="19"/>
  <c r="B235" i="19"/>
  <c r="B224" i="19"/>
  <c r="B191" i="19"/>
  <c r="B116" i="19"/>
  <c r="B105" i="19"/>
  <c r="B94" i="19"/>
  <c r="B61" i="19"/>
  <c r="B72" i="19"/>
  <c r="B202" i="19"/>
  <c r="B213" i="19"/>
  <c r="B169" i="19"/>
  <c r="B152" i="19"/>
  <c r="M13" i="19"/>
  <c r="B39" i="19"/>
  <c r="G761" i="19"/>
  <c r="H73" i="25"/>
  <c r="I73" i="25" s="1"/>
  <c r="J71" i="25" s="1"/>
  <c r="I612" i="19"/>
  <c r="J612" i="19" s="1"/>
  <c r="K610" i="19" s="1"/>
  <c r="I404" i="19"/>
  <c r="J404" i="19" s="1"/>
  <c r="K402" i="19" s="1"/>
  <c r="N66" i="8" l="1"/>
  <c r="A118" i="5"/>
  <c r="A121" i="5" s="1"/>
  <c r="A124" i="5" s="1"/>
  <c r="A127" i="5" s="1"/>
  <c r="A136" i="5" s="1"/>
  <c r="A140" i="5" s="1"/>
  <c r="A147" i="5" s="1"/>
  <c r="A149" i="5" s="1"/>
  <c r="A151" i="5" s="1"/>
  <c r="A155" i="5" s="1"/>
  <c r="A159" i="5" s="1"/>
  <c r="A163" i="5" s="1"/>
  <c r="A168" i="5" s="1"/>
  <c r="A171" i="5" s="1"/>
  <c r="A174" i="5" s="1"/>
  <c r="A177" i="5" s="1"/>
  <c r="A185" i="5" s="1"/>
  <c r="A188" i="5" s="1"/>
  <c r="A200" i="5" s="1"/>
  <c r="A204" i="5" s="1"/>
  <c r="L88" i="22"/>
  <c r="E93" i="22"/>
  <c r="I25" i="29" s="1"/>
  <c r="G93" i="22"/>
  <c r="K25" i="29" s="1"/>
  <c r="L90" i="22"/>
  <c r="H93" i="22"/>
  <c r="L25" i="29" s="1"/>
  <c r="L91" i="22"/>
  <c r="L92" i="22"/>
  <c r="I93" i="22"/>
  <c r="M25" i="29" s="1"/>
  <c r="D93" i="22"/>
  <c r="H25" i="29" s="1"/>
  <c r="L87" i="22"/>
  <c r="R25" i="26"/>
  <c r="J25" i="29"/>
  <c r="P24" i="29"/>
  <c r="I630" i="29"/>
  <c r="G636" i="29" s="1"/>
  <c r="G638" i="29" s="1"/>
  <c r="I613" i="29"/>
  <c r="G622" i="29" s="1"/>
  <c r="I622" i="29" s="1"/>
  <c r="J199" i="29"/>
  <c r="I295" i="29"/>
  <c r="M48" i="29"/>
  <c r="P48" i="29" s="1"/>
  <c r="I288" i="29"/>
  <c r="G294" i="29" s="1"/>
  <c r="I294" i="29" s="1"/>
  <c r="L47" i="29"/>
  <c r="L137" i="29" s="1"/>
  <c r="H446" i="29"/>
  <c r="H455" i="29"/>
  <c r="J73" i="29" s="1"/>
  <c r="H296" i="29"/>
  <c r="C303" i="29" s="1"/>
  <c r="H289" i="29"/>
  <c r="C302" i="29" s="1"/>
  <c r="G289" i="29"/>
  <c r="L38" i="29"/>
  <c r="L128" i="29" s="1"/>
  <c r="I334" i="26"/>
  <c r="I335" i="26" s="1"/>
  <c r="N52" i="26"/>
  <c r="R52" i="26" s="1"/>
  <c r="G437" i="26"/>
  <c r="M432" i="26"/>
  <c r="B50" i="26"/>
  <c r="B158" i="26"/>
  <c r="N41" i="26"/>
  <c r="H319" i="26"/>
  <c r="C326" i="26" s="1"/>
  <c r="I318" i="26"/>
  <c r="I319" i="26" s="1"/>
  <c r="R254" i="19"/>
  <c r="B258" i="19"/>
  <c r="B181" i="19"/>
  <c r="B269" i="19"/>
  <c r="H545" i="19"/>
  <c r="I312" i="19"/>
  <c r="I314" i="19" s="1"/>
  <c r="J314" i="19" s="1"/>
  <c r="K312" i="19" s="1"/>
  <c r="L312" i="19" s="1"/>
  <c r="G37" i="19" s="1"/>
  <c r="G167" i="19" s="1"/>
  <c r="H687" i="19"/>
  <c r="B128" i="19"/>
  <c r="B139" i="19"/>
  <c r="B51" i="19"/>
  <c r="H314" i="19"/>
  <c r="I543" i="19"/>
  <c r="I545" i="19" s="1"/>
  <c r="J545" i="19" s="1"/>
  <c r="K543" i="19" s="1"/>
  <c r="L543" i="19" s="1"/>
  <c r="G81" i="19" s="1"/>
  <c r="I687" i="19"/>
  <c r="J687" i="19" s="1"/>
  <c r="K685" i="19" s="1"/>
  <c r="K686" i="19" s="1"/>
  <c r="G352" i="29"/>
  <c r="I759" i="19"/>
  <c r="I761" i="19" s="1"/>
  <c r="J761" i="19" s="1"/>
  <c r="H595" i="29"/>
  <c r="H596" i="29"/>
  <c r="I596" i="29" s="1"/>
  <c r="H512" i="29"/>
  <c r="C525" i="29" s="1"/>
  <c r="P83" i="29"/>
  <c r="L192" i="29"/>
  <c r="K146" i="29"/>
  <c r="P146" i="29" s="1"/>
  <c r="I357" i="29"/>
  <c r="I359" i="29" s="1"/>
  <c r="G359" i="29"/>
  <c r="H247" i="29"/>
  <c r="J36" i="29" s="1"/>
  <c r="H256" i="29"/>
  <c r="I573" i="29"/>
  <c r="I574" i="29" s="1"/>
  <c r="G574" i="29"/>
  <c r="I511" i="29"/>
  <c r="G517" i="29" s="1"/>
  <c r="K182" i="29"/>
  <c r="L147" i="29"/>
  <c r="P147" i="29" s="1"/>
  <c r="I510" i="29"/>
  <c r="G512" i="29"/>
  <c r="I264" i="29"/>
  <c r="G270" i="29" s="1"/>
  <c r="G231" i="29"/>
  <c r="H230" i="29"/>
  <c r="I230" i="29" s="1"/>
  <c r="H229" i="29"/>
  <c r="G430" i="29"/>
  <c r="H428" i="29"/>
  <c r="H429" i="29"/>
  <c r="I429" i="29" s="1"/>
  <c r="H263" i="29"/>
  <c r="H257" i="29"/>
  <c r="K37" i="29" s="1"/>
  <c r="K127" i="29" s="1"/>
  <c r="G318" i="29"/>
  <c r="H316" i="29"/>
  <c r="H317" i="29"/>
  <c r="I317" i="29" s="1"/>
  <c r="L84" i="29"/>
  <c r="P84" i="29" s="1"/>
  <c r="H519" i="29"/>
  <c r="C526" i="29" s="1"/>
  <c r="K173" i="29"/>
  <c r="P173" i="29" s="1"/>
  <c r="I352" i="29"/>
  <c r="L39" i="29"/>
  <c r="H272" i="29"/>
  <c r="G687" i="19"/>
  <c r="J18" i="25"/>
  <c r="J33" i="25" s="1"/>
  <c r="J50" i="25" s="1"/>
  <c r="B26" i="25"/>
  <c r="B41" i="25" s="1"/>
  <c r="B58" i="25" s="1"/>
  <c r="L89" i="22"/>
  <c r="K583" i="26"/>
  <c r="K584" i="26" s="1"/>
  <c r="M658" i="26"/>
  <c r="H665" i="26" s="1"/>
  <c r="I665" i="26" s="1"/>
  <c r="R68" i="26"/>
  <c r="R112" i="26"/>
  <c r="M357" i="26"/>
  <c r="M267" i="26"/>
  <c r="L582" i="26"/>
  <c r="G101" i="26" s="1"/>
  <c r="R165" i="26"/>
  <c r="G365" i="26"/>
  <c r="G275" i="26"/>
  <c r="R57" i="26"/>
  <c r="B224" i="26"/>
  <c r="B213" i="26"/>
  <c r="B237" i="26"/>
  <c r="B130" i="26"/>
  <c r="B202" i="26"/>
  <c r="B191" i="26"/>
  <c r="B169" i="26"/>
  <c r="B147" i="26"/>
  <c r="B180" i="26"/>
  <c r="B116" i="26"/>
  <c r="B83" i="26"/>
  <c r="O13" i="26"/>
  <c r="B61" i="26"/>
  <c r="B105" i="26"/>
  <c r="B94" i="26"/>
  <c r="B72" i="26"/>
  <c r="B39" i="26"/>
  <c r="R176" i="26"/>
  <c r="R220" i="26"/>
  <c r="G666" i="26"/>
  <c r="G514" i="26"/>
  <c r="M509" i="26"/>
  <c r="M582" i="26"/>
  <c r="H143" i="26"/>
  <c r="R90" i="26"/>
  <c r="G198" i="26"/>
  <c r="R35" i="26"/>
  <c r="I477" i="19"/>
  <c r="I479" i="19" s="1"/>
  <c r="J479" i="19" s="1"/>
  <c r="G479" i="19"/>
  <c r="B236" i="19"/>
  <c r="B225" i="19"/>
  <c r="B192" i="19"/>
  <c r="B117" i="19"/>
  <c r="B106" i="19"/>
  <c r="B95" i="19"/>
  <c r="B62" i="19"/>
  <c r="B247" i="19"/>
  <c r="B203" i="19"/>
  <c r="B214" i="19"/>
  <c r="B170" i="19"/>
  <c r="B153" i="19"/>
  <c r="B73" i="19"/>
  <c r="B84" i="19"/>
  <c r="B282" i="19"/>
  <c r="N13" i="19"/>
  <c r="B40" i="19"/>
  <c r="L402" i="19"/>
  <c r="G59" i="19" s="1"/>
  <c r="K71" i="25"/>
  <c r="C37" i="25" s="1"/>
  <c r="L610" i="19"/>
  <c r="G92" i="19" s="1"/>
  <c r="M402" i="19"/>
  <c r="K403" i="19"/>
  <c r="K404" i="19" s="1"/>
  <c r="M610" i="19"/>
  <c r="L71" i="25"/>
  <c r="F78" i="25" s="1"/>
  <c r="K611" i="19"/>
  <c r="K612" i="19" s="1"/>
  <c r="J72" i="25"/>
  <c r="L93" i="22" l="1"/>
  <c r="P25" i="29" s="1"/>
  <c r="K313" i="19"/>
  <c r="K314" i="19" s="1"/>
  <c r="M312" i="19"/>
  <c r="G319" i="19" s="1"/>
  <c r="I636" i="29"/>
  <c r="I638" i="29" s="1"/>
  <c r="I296" i="29"/>
  <c r="L202" i="29"/>
  <c r="L138" i="29"/>
  <c r="P137" i="29"/>
  <c r="L113" i="29"/>
  <c r="G296" i="29"/>
  <c r="J72" i="29"/>
  <c r="J162" i="29" s="1"/>
  <c r="J163" i="29" s="1"/>
  <c r="I446" i="29"/>
  <c r="G455" i="29" s="1"/>
  <c r="I455" i="29" s="1"/>
  <c r="M138" i="29"/>
  <c r="M203" i="29" s="1"/>
  <c r="M114" i="29"/>
  <c r="I107" i="22" s="1"/>
  <c r="I289" i="29"/>
  <c r="P136" i="29"/>
  <c r="J37" i="29"/>
  <c r="C280" i="29"/>
  <c r="P47" i="29"/>
  <c r="N160" i="26"/>
  <c r="R160" i="26" s="1"/>
  <c r="G440" i="26"/>
  <c r="H439" i="26"/>
  <c r="I439" i="26" s="1"/>
  <c r="H437" i="26"/>
  <c r="H438" i="26"/>
  <c r="I438" i="26" s="1"/>
  <c r="B51" i="26"/>
  <c r="B159" i="26"/>
  <c r="N149" i="26"/>
  <c r="R149" i="26" s="1"/>
  <c r="R41" i="26"/>
  <c r="K544" i="19"/>
  <c r="K545" i="19" s="1"/>
  <c r="B259" i="19"/>
  <c r="B182" i="19"/>
  <c r="B270" i="19"/>
  <c r="M543" i="19"/>
  <c r="G550" i="19" s="1"/>
  <c r="B140" i="19"/>
  <c r="B52" i="19"/>
  <c r="B129" i="19"/>
  <c r="K759" i="19"/>
  <c r="K760" i="19" s="1"/>
  <c r="L760" i="19" s="1"/>
  <c r="H597" i="29"/>
  <c r="I595" i="29"/>
  <c r="I597" i="29" s="1"/>
  <c r="J597" i="29" s="1"/>
  <c r="I257" i="29"/>
  <c r="G263" i="29" s="1"/>
  <c r="I263" i="29" s="1"/>
  <c r="I265" i="29" s="1"/>
  <c r="P39" i="29"/>
  <c r="P114" i="29" s="1"/>
  <c r="L114" i="29"/>
  <c r="H107" i="22" s="1"/>
  <c r="L129" i="29"/>
  <c r="I270" i="29"/>
  <c r="I272" i="29" s="1"/>
  <c r="G272" i="29"/>
  <c r="G519" i="29"/>
  <c r="I517" i="29"/>
  <c r="I519" i="29" s="1"/>
  <c r="J126" i="29"/>
  <c r="I428" i="29"/>
  <c r="I430" i="29" s="1"/>
  <c r="J430" i="29" s="1"/>
  <c r="K428" i="29" s="1"/>
  <c r="H430" i="29"/>
  <c r="L174" i="29"/>
  <c r="P174" i="29" s="1"/>
  <c r="I512" i="29"/>
  <c r="I316" i="29"/>
  <c r="H318" i="29"/>
  <c r="I247" i="29"/>
  <c r="G256" i="29" s="1"/>
  <c r="I534" i="29" s="1"/>
  <c r="J534" i="29" s="1"/>
  <c r="K38" i="29"/>
  <c r="P38" i="29" s="1"/>
  <c r="H265" i="29"/>
  <c r="I229" i="29"/>
  <c r="H231" i="29"/>
  <c r="M313" i="19"/>
  <c r="G320" i="19" s="1"/>
  <c r="G322" i="19" s="1"/>
  <c r="C54" i="25"/>
  <c r="G86" i="25"/>
  <c r="C39" i="25" s="1"/>
  <c r="G78" i="25"/>
  <c r="C38" i="25" s="1"/>
  <c r="H477" i="29"/>
  <c r="I477" i="29" s="1"/>
  <c r="H476" i="29"/>
  <c r="G478" i="29"/>
  <c r="J94" i="22"/>
  <c r="N204" i="29" s="1"/>
  <c r="H663" i="26"/>
  <c r="I663" i="26" s="1"/>
  <c r="H664" i="26"/>
  <c r="I664" i="26" s="1"/>
  <c r="H362" i="26"/>
  <c r="I362" i="26" s="1"/>
  <c r="L583" i="26"/>
  <c r="H101" i="26" s="1"/>
  <c r="H209" i="26" s="1"/>
  <c r="M583" i="26"/>
  <c r="G590" i="26" s="1"/>
  <c r="R198" i="26"/>
  <c r="H514" i="26"/>
  <c r="I514" i="26" s="1"/>
  <c r="G209" i="26"/>
  <c r="H274" i="26"/>
  <c r="I274" i="26" s="1"/>
  <c r="H272" i="26"/>
  <c r="H273" i="26"/>
  <c r="I273" i="26" s="1"/>
  <c r="R143" i="26"/>
  <c r="G517" i="26"/>
  <c r="B238" i="26"/>
  <c r="B131" i="26"/>
  <c r="B225" i="26"/>
  <c r="B181" i="26"/>
  <c r="B117" i="26"/>
  <c r="B203" i="26"/>
  <c r="B84" i="26"/>
  <c r="B148" i="26"/>
  <c r="B192" i="26"/>
  <c r="B62" i="26"/>
  <c r="B106" i="26"/>
  <c r="B95" i="26"/>
  <c r="P13" i="26"/>
  <c r="B170" i="26"/>
  <c r="B73" i="26"/>
  <c r="B40" i="26"/>
  <c r="B214" i="26"/>
  <c r="G589" i="26"/>
  <c r="L313" i="19"/>
  <c r="H37" i="19" s="1"/>
  <c r="G211" i="19"/>
  <c r="G222" i="19"/>
  <c r="G189" i="19"/>
  <c r="B193" i="19"/>
  <c r="B96" i="19"/>
  <c r="B248" i="19"/>
  <c r="B204" i="19"/>
  <c r="B215" i="19"/>
  <c r="B171" i="19"/>
  <c r="B154" i="19"/>
  <c r="B74" i="19"/>
  <c r="B85" i="19"/>
  <c r="B226" i="19"/>
  <c r="B118" i="19"/>
  <c r="B107" i="19"/>
  <c r="B283" i="19"/>
  <c r="B237" i="19"/>
  <c r="B63" i="19"/>
  <c r="O13" i="19"/>
  <c r="B41" i="19"/>
  <c r="K72" i="25"/>
  <c r="D37" i="25" s="1"/>
  <c r="L72" i="25"/>
  <c r="G409" i="19"/>
  <c r="J73" i="25"/>
  <c r="K477" i="19"/>
  <c r="L686" i="19"/>
  <c r="H103" i="19" s="1"/>
  <c r="H233" i="19" s="1"/>
  <c r="M686" i="19"/>
  <c r="G693" i="19" s="1"/>
  <c r="L685" i="19"/>
  <c r="G103" i="19" s="1"/>
  <c r="K687" i="19"/>
  <c r="M685" i="19"/>
  <c r="L611" i="19"/>
  <c r="H92" i="19" s="1"/>
  <c r="H222" i="19" s="1"/>
  <c r="M611" i="19"/>
  <c r="G618" i="19" s="1"/>
  <c r="G617" i="19"/>
  <c r="L403" i="19"/>
  <c r="H59" i="19" s="1"/>
  <c r="H189" i="19" s="1"/>
  <c r="M403" i="19"/>
  <c r="G410" i="19" s="1"/>
  <c r="J111" i="29" l="1"/>
  <c r="F104" i="22" s="1"/>
  <c r="F122" i="22" s="1"/>
  <c r="G265" i="29"/>
  <c r="L544" i="19"/>
  <c r="H81" i="19" s="1"/>
  <c r="H211" i="19" s="1"/>
  <c r="M544" i="19"/>
  <c r="G551" i="19" s="1"/>
  <c r="G553" i="19" s="1"/>
  <c r="J200" i="29"/>
  <c r="L107" i="22"/>
  <c r="N107" i="22" s="1"/>
  <c r="I108" i="22"/>
  <c r="I94" i="22" s="1"/>
  <c r="M204" i="29" s="1"/>
  <c r="I125" i="22"/>
  <c r="H106" i="22"/>
  <c r="H108" i="22" s="1"/>
  <c r="H94" i="22" s="1"/>
  <c r="P138" i="29"/>
  <c r="C279" i="29"/>
  <c r="J112" i="29"/>
  <c r="F105" i="22" s="1"/>
  <c r="H440" i="26"/>
  <c r="I437" i="26"/>
  <c r="B52" i="26"/>
  <c r="B160" i="26"/>
  <c r="B271" i="19"/>
  <c r="B260" i="19"/>
  <c r="B183" i="19"/>
  <c r="M759" i="19"/>
  <c r="G766" i="19" s="1"/>
  <c r="R37" i="19"/>
  <c r="K761" i="19"/>
  <c r="M760" i="19"/>
  <c r="G767" i="19" s="1"/>
  <c r="L759" i="19"/>
  <c r="B130" i="19"/>
  <c r="B141" i="19"/>
  <c r="B53" i="19"/>
  <c r="H114" i="19"/>
  <c r="H244" i="19" s="1"/>
  <c r="H255" i="19"/>
  <c r="M314" i="19"/>
  <c r="H319" i="19" s="1"/>
  <c r="H320" i="19" s="1"/>
  <c r="I320" i="19" s="1"/>
  <c r="G87" i="29"/>
  <c r="K534" i="29"/>
  <c r="P129" i="29"/>
  <c r="L203" i="29"/>
  <c r="K429" i="29"/>
  <c r="K128" i="29"/>
  <c r="P128" i="29" s="1"/>
  <c r="I231" i="29"/>
  <c r="J231" i="29" s="1"/>
  <c r="I318" i="29"/>
  <c r="J318" i="29" s="1"/>
  <c r="K316" i="29" s="1"/>
  <c r="M316" i="29" s="1"/>
  <c r="M428" i="29"/>
  <c r="L428" i="29"/>
  <c r="G70" i="29" s="1"/>
  <c r="J127" i="29"/>
  <c r="J201" i="29" s="1"/>
  <c r="D54" i="25"/>
  <c r="L54" i="25" s="1"/>
  <c r="C42" i="25"/>
  <c r="C28" i="25" s="1"/>
  <c r="C55" i="25"/>
  <c r="H78" i="25"/>
  <c r="L37" i="25"/>
  <c r="N37" i="25" s="1"/>
  <c r="L73" i="25"/>
  <c r="F79" i="25"/>
  <c r="F86" i="25"/>
  <c r="H629" i="29"/>
  <c r="H623" i="29"/>
  <c r="K595" i="29"/>
  <c r="H478" i="29"/>
  <c r="I476" i="29"/>
  <c r="H515" i="26"/>
  <c r="I515" i="26" s="1"/>
  <c r="H363" i="26"/>
  <c r="I666" i="26"/>
  <c r="J666" i="26" s="1"/>
  <c r="H666" i="26"/>
  <c r="R101" i="26"/>
  <c r="B226" i="26"/>
  <c r="B215" i="26"/>
  <c r="B239" i="26"/>
  <c r="B132" i="26"/>
  <c r="B182" i="26"/>
  <c r="B204" i="26"/>
  <c r="B193" i="26"/>
  <c r="B171" i="26"/>
  <c r="B149" i="26"/>
  <c r="B118" i="26"/>
  <c r="B85" i="26"/>
  <c r="B74" i="26"/>
  <c r="B63" i="26"/>
  <c r="B107" i="26"/>
  <c r="B96" i="26"/>
  <c r="B41" i="26"/>
  <c r="R209" i="26"/>
  <c r="M584" i="26"/>
  <c r="G592" i="26"/>
  <c r="H275" i="26"/>
  <c r="I272" i="26"/>
  <c r="H167" i="19"/>
  <c r="R59" i="19"/>
  <c r="R211" i="19"/>
  <c r="R81" i="19"/>
  <c r="R103" i="19"/>
  <c r="G233" i="19"/>
  <c r="R222" i="19"/>
  <c r="R189" i="19"/>
  <c r="R92" i="19"/>
  <c r="B249" i="19"/>
  <c r="B205" i="19"/>
  <c r="B216" i="19"/>
  <c r="B172" i="19"/>
  <c r="B155" i="19"/>
  <c r="B75" i="19"/>
  <c r="B86" i="19"/>
  <c r="B284" i="19"/>
  <c r="B238" i="19"/>
  <c r="B227" i="19"/>
  <c r="B194" i="19"/>
  <c r="B119" i="19"/>
  <c r="B108" i="19"/>
  <c r="B97" i="19"/>
  <c r="B64" i="19"/>
  <c r="B42" i="19"/>
  <c r="P13" i="19"/>
  <c r="M612" i="19"/>
  <c r="M404" i="19"/>
  <c r="G620" i="19"/>
  <c r="G412" i="19"/>
  <c r="G692" i="19"/>
  <c r="M687" i="19"/>
  <c r="L477" i="19"/>
  <c r="G70" i="19" s="1"/>
  <c r="M477" i="19"/>
  <c r="K478" i="19"/>
  <c r="F123" i="22" l="1"/>
  <c r="M545" i="19"/>
  <c r="L204" i="29"/>
  <c r="H124" i="22"/>
  <c r="H125" i="22" s="1"/>
  <c r="L125" i="22" s="1"/>
  <c r="F108" i="22"/>
  <c r="F94" i="22" s="1"/>
  <c r="J204" i="29" s="1"/>
  <c r="I440" i="26"/>
  <c r="J440" i="26" s="1"/>
  <c r="K437" i="26" s="1"/>
  <c r="G230" i="26"/>
  <c r="I319" i="19"/>
  <c r="B184" i="19"/>
  <c r="B261" i="19"/>
  <c r="B272" i="19"/>
  <c r="R167" i="19"/>
  <c r="G769" i="19"/>
  <c r="M761" i="19"/>
  <c r="H766" i="19" s="1"/>
  <c r="I766" i="19" s="1"/>
  <c r="B142" i="19"/>
  <c r="B54" i="19"/>
  <c r="B131" i="19"/>
  <c r="G114" i="19"/>
  <c r="G244" i="19" s="1"/>
  <c r="H321" i="19"/>
  <c r="I321" i="19" s="1"/>
  <c r="G539" i="29"/>
  <c r="H539" i="29"/>
  <c r="H540" i="29"/>
  <c r="I540" i="29" s="1"/>
  <c r="P87" i="29"/>
  <c r="G177" i="29"/>
  <c r="P177" i="29" s="1"/>
  <c r="K229" i="29"/>
  <c r="K230" i="29" s="1"/>
  <c r="K430" i="29"/>
  <c r="L429" i="29"/>
  <c r="H70" i="29" s="1"/>
  <c r="H160" i="29" s="1"/>
  <c r="M429" i="29"/>
  <c r="G436" i="29" s="1"/>
  <c r="L316" i="29"/>
  <c r="G52" i="29" s="1"/>
  <c r="G160" i="29"/>
  <c r="K317" i="29"/>
  <c r="G323" i="29"/>
  <c r="G435" i="29"/>
  <c r="K236" i="26"/>
  <c r="H126" i="26"/>
  <c r="D76" i="8" s="1"/>
  <c r="D96" i="8" s="1"/>
  <c r="I623" i="29"/>
  <c r="G629" i="29" s="1"/>
  <c r="G631" i="29" s="1"/>
  <c r="K100" i="29"/>
  <c r="H631" i="29"/>
  <c r="C644" i="29" s="1"/>
  <c r="K101" i="29"/>
  <c r="C56" i="25"/>
  <c r="H86" i="25"/>
  <c r="G87" i="25"/>
  <c r="G79" i="25"/>
  <c r="D38" i="25" s="1"/>
  <c r="D55" i="25" s="1"/>
  <c r="L55" i="25" s="1"/>
  <c r="F81" i="25"/>
  <c r="L595" i="29"/>
  <c r="G97" i="29" s="1"/>
  <c r="M595" i="29"/>
  <c r="K596" i="29"/>
  <c r="K597" i="29" s="1"/>
  <c r="I478" i="29"/>
  <c r="J478" i="29" s="1"/>
  <c r="H516" i="26"/>
  <c r="I516" i="26" s="1"/>
  <c r="I517" i="26" s="1"/>
  <c r="J517" i="26" s="1"/>
  <c r="K514" i="26" s="1"/>
  <c r="M514" i="26" s="1"/>
  <c r="G522" i="26" s="1"/>
  <c r="I363" i="26"/>
  <c r="H364" i="26"/>
  <c r="K663" i="26"/>
  <c r="G233" i="26"/>
  <c r="K234" i="26"/>
  <c r="M131" i="26"/>
  <c r="I81" i="8" s="1"/>
  <c r="R126" i="26"/>
  <c r="R232" i="26"/>
  <c r="N238" i="26"/>
  <c r="R230" i="26"/>
  <c r="L238" i="26"/>
  <c r="J234" i="26"/>
  <c r="R233" i="26"/>
  <c r="M238" i="26"/>
  <c r="R238" i="26"/>
  <c r="H232" i="26"/>
  <c r="L131" i="26"/>
  <c r="H81" i="8" s="1"/>
  <c r="K129" i="26"/>
  <c r="M236" i="26"/>
  <c r="O238" i="26"/>
  <c r="G232" i="26"/>
  <c r="I275" i="26"/>
  <c r="J275" i="26" s="1"/>
  <c r="H590" i="26"/>
  <c r="I590" i="26" s="1"/>
  <c r="H591" i="26"/>
  <c r="I591" i="26" s="1"/>
  <c r="H589" i="26"/>
  <c r="R131" i="26"/>
  <c r="R123" i="26"/>
  <c r="R125" i="26"/>
  <c r="R124" i="26"/>
  <c r="L130" i="26"/>
  <c r="G126" i="26"/>
  <c r="C76" i="8" s="1"/>
  <c r="K130" i="26"/>
  <c r="G80" i="8" s="1"/>
  <c r="G125" i="26"/>
  <c r="C75" i="8" s="1"/>
  <c r="I232" i="26"/>
  <c r="J233" i="26"/>
  <c r="L237" i="26"/>
  <c r="I233" i="26"/>
  <c r="G231" i="26"/>
  <c r="M237" i="26"/>
  <c r="L236" i="26"/>
  <c r="L235" i="26"/>
  <c r="R231" i="26"/>
  <c r="H231" i="26"/>
  <c r="N237" i="26"/>
  <c r="H233" i="26"/>
  <c r="K235" i="26"/>
  <c r="K237" i="26"/>
  <c r="R132" i="26"/>
  <c r="N132" i="26"/>
  <c r="J82" i="8" s="1"/>
  <c r="M132" i="26"/>
  <c r="O239" i="26"/>
  <c r="O240" i="26" s="1"/>
  <c r="R239" i="26"/>
  <c r="P239" i="26"/>
  <c r="P240" i="26" s="1"/>
  <c r="N239" i="26"/>
  <c r="M239" i="26"/>
  <c r="G200" i="19"/>
  <c r="R233" i="19"/>
  <c r="B217" i="19"/>
  <c r="B76" i="19"/>
  <c r="B239" i="19"/>
  <c r="B228" i="19"/>
  <c r="B195" i="19"/>
  <c r="B120" i="19"/>
  <c r="B109" i="19"/>
  <c r="B98" i="19"/>
  <c r="B65" i="19"/>
  <c r="B250" i="19"/>
  <c r="B206" i="19"/>
  <c r="B173" i="19"/>
  <c r="B156" i="19"/>
  <c r="B285" i="19"/>
  <c r="B87" i="19"/>
  <c r="H550" i="19"/>
  <c r="H551" i="19" s="1"/>
  <c r="I551" i="19" s="1"/>
  <c r="H409" i="19"/>
  <c r="I409" i="19" s="1"/>
  <c r="H617" i="19"/>
  <c r="I617" i="19" s="1"/>
  <c r="B43" i="19"/>
  <c r="L478" i="19"/>
  <c r="H70" i="19" s="1"/>
  <c r="M478" i="19"/>
  <c r="G485" i="19" s="1"/>
  <c r="G695" i="19"/>
  <c r="G484" i="19"/>
  <c r="K479" i="19"/>
  <c r="H692" i="19"/>
  <c r="H693" i="19"/>
  <c r="I693" i="19" s="1"/>
  <c r="H694" i="19"/>
  <c r="I694" i="19" s="1"/>
  <c r="D79" i="5" l="1"/>
  <c r="E79" i="5"/>
  <c r="I322" i="19"/>
  <c r="J322" i="19" s="1"/>
  <c r="J102" i="8"/>
  <c r="J83" i="8"/>
  <c r="J67" i="8" s="1"/>
  <c r="N240" i="26" s="1"/>
  <c r="N82" i="8"/>
  <c r="P82" i="8" s="1"/>
  <c r="H80" i="8"/>
  <c r="H100" i="8" s="1"/>
  <c r="H101" i="8" s="1"/>
  <c r="G79" i="8"/>
  <c r="G83" i="8" s="1"/>
  <c r="G67" i="8" s="1"/>
  <c r="L437" i="26"/>
  <c r="G69" i="26" s="1"/>
  <c r="G177" i="26" s="1"/>
  <c r="M437" i="26"/>
  <c r="K438" i="26"/>
  <c r="N81" i="8"/>
  <c r="P81" i="8" s="1"/>
  <c r="I101" i="8"/>
  <c r="I102" i="8" s="1"/>
  <c r="I83" i="8"/>
  <c r="I67" i="8" s="1"/>
  <c r="M240" i="26" s="1"/>
  <c r="H767" i="19"/>
  <c r="I767" i="19" s="1"/>
  <c r="H768" i="19"/>
  <c r="I768" i="19" s="1"/>
  <c r="L283" i="19"/>
  <c r="M155" i="19"/>
  <c r="I46" i="7" s="1"/>
  <c r="L154" i="19"/>
  <c r="H45" i="7" s="1"/>
  <c r="L281" i="19"/>
  <c r="M284" i="19"/>
  <c r="O284" i="19"/>
  <c r="L284" i="19"/>
  <c r="N283" i="19"/>
  <c r="N286" i="19" s="1"/>
  <c r="L282" i="19"/>
  <c r="N284" i="19"/>
  <c r="K283" i="19"/>
  <c r="M282" i="19"/>
  <c r="K281" i="19"/>
  <c r="N285" i="19"/>
  <c r="M285" i="19"/>
  <c r="P285" i="19"/>
  <c r="O285" i="19"/>
  <c r="R285" i="19"/>
  <c r="R125" i="19"/>
  <c r="G255" i="19"/>
  <c r="M283" i="19"/>
  <c r="G276" i="19"/>
  <c r="R277" i="19"/>
  <c r="R276" i="19"/>
  <c r="I278" i="19"/>
  <c r="J280" i="19"/>
  <c r="G278" i="19"/>
  <c r="G277" i="19"/>
  <c r="H278" i="19"/>
  <c r="H277" i="19"/>
  <c r="K280" i="19"/>
  <c r="I279" i="19"/>
  <c r="J279" i="19"/>
  <c r="R278" i="19"/>
  <c r="K282" i="19"/>
  <c r="G279" i="19"/>
  <c r="R284" i="19"/>
  <c r="K153" i="19"/>
  <c r="G44" i="7" s="1"/>
  <c r="K154" i="19"/>
  <c r="G45" i="7" s="1"/>
  <c r="H150" i="19"/>
  <c r="D41" i="7" s="1"/>
  <c r="L155" i="19"/>
  <c r="H46" i="7" s="1"/>
  <c r="R147" i="19"/>
  <c r="R148" i="19"/>
  <c r="G149" i="19"/>
  <c r="C40" i="7" s="1"/>
  <c r="R149" i="19"/>
  <c r="R156" i="19"/>
  <c r="M156" i="19"/>
  <c r="N156" i="19"/>
  <c r="R155" i="19"/>
  <c r="G150" i="19"/>
  <c r="C41" i="7" s="1"/>
  <c r="R114" i="19"/>
  <c r="R244" i="19"/>
  <c r="H322" i="19"/>
  <c r="I629" i="29"/>
  <c r="I631" i="29" s="1"/>
  <c r="N76" i="8"/>
  <c r="P76" i="8" s="1"/>
  <c r="M430" i="29"/>
  <c r="H541" i="29"/>
  <c r="G541" i="29"/>
  <c r="I539" i="29"/>
  <c r="P70" i="29"/>
  <c r="L230" i="29"/>
  <c r="H34" i="29" s="1"/>
  <c r="H124" i="29" s="1"/>
  <c r="M230" i="29"/>
  <c r="G237" i="29" s="1"/>
  <c r="G438" i="29"/>
  <c r="P160" i="29"/>
  <c r="G142" i="29"/>
  <c r="L317" i="29"/>
  <c r="H52" i="29" s="1"/>
  <c r="H142" i="29" s="1"/>
  <c r="M317" i="29"/>
  <c r="K318" i="29"/>
  <c r="K231" i="29"/>
  <c r="L229" i="29"/>
  <c r="G34" i="29" s="1"/>
  <c r="M229" i="29"/>
  <c r="H517" i="26"/>
  <c r="P101" i="29"/>
  <c r="P113" i="29" s="1"/>
  <c r="K113" i="29"/>
  <c r="K190" i="29"/>
  <c r="K112" i="29"/>
  <c r="L38" i="25"/>
  <c r="G90" i="25"/>
  <c r="B110" i="25" s="1"/>
  <c r="D33" i="5" s="1"/>
  <c r="D39" i="25"/>
  <c r="L39" i="25" s="1"/>
  <c r="N39" i="25" s="1"/>
  <c r="H79" i="25"/>
  <c r="G81" i="25"/>
  <c r="B109" i="25" s="1"/>
  <c r="G187" i="29"/>
  <c r="G602" i="29"/>
  <c r="L596" i="29"/>
  <c r="H97" i="29" s="1"/>
  <c r="H187" i="29" s="1"/>
  <c r="M596" i="29"/>
  <c r="G603" i="29" s="1"/>
  <c r="K476" i="29"/>
  <c r="P196" i="29"/>
  <c r="I364" i="26"/>
  <c r="I365" i="26" s="1"/>
  <c r="J365" i="26" s="1"/>
  <c r="K362" i="26" s="1"/>
  <c r="L362" i="26" s="1"/>
  <c r="G58" i="26" s="1"/>
  <c r="G166" i="26" s="1"/>
  <c r="H365" i="26"/>
  <c r="M663" i="26"/>
  <c r="G671" i="26" s="1"/>
  <c r="L663" i="26"/>
  <c r="G113" i="26" s="1"/>
  <c r="G221" i="26" s="1"/>
  <c r="K664" i="26"/>
  <c r="K665" i="26" s="1"/>
  <c r="K515" i="26"/>
  <c r="L514" i="26"/>
  <c r="G91" i="26" s="1"/>
  <c r="G199" i="26" s="1"/>
  <c r="K272" i="26"/>
  <c r="L272" i="26" s="1"/>
  <c r="G36" i="26" s="1"/>
  <c r="C95" i="8"/>
  <c r="N75" i="8"/>
  <c r="H592" i="26"/>
  <c r="I589" i="26"/>
  <c r="H200" i="19"/>
  <c r="R200" i="19" s="1"/>
  <c r="R70" i="19"/>
  <c r="I769" i="19"/>
  <c r="J769" i="19" s="1"/>
  <c r="K766" i="19" s="1"/>
  <c r="M766" i="19" s="1"/>
  <c r="H769" i="19"/>
  <c r="H618" i="19"/>
  <c r="I618" i="19" s="1"/>
  <c r="H552" i="19"/>
  <c r="I552" i="19" s="1"/>
  <c r="H410" i="19"/>
  <c r="I410" i="19" s="1"/>
  <c r="I550" i="19"/>
  <c r="G487" i="19"/>
  <c r="H695" i="19"/>
  <c r="I692" i="19"/>
  <c r="K319" i="19"/>
  <c r="M479" i="19"/>
  <c r="E33" i="5" l="1"/>
  <c r="H83" i="8"/>
  <c r="H67" i="8" s="1"/>
  <c r="L240" i="26" s="1"/>
  <c r="N102" i="8"/>
  <c r="G99" i="8"/>
  <c r="G100" i="8" s="1"/>
  <c r="G105" i="22"/>
  <c r="G123" i="22" s="1"/>
  <c r="G106" i="22"/>
  <c r="L106" i="22" s="1"/>
  <c r="N106" i="22" s="1"/>
  <c r="L438" i="26"/>
  <c r="H69" i="26" s="1"/>
  <c r="H177" i="26" s="1"/>
  <c r="M438" i="26"/>
  <c r="G446" i="26" s="1"/>
  <c r="G445" i="26"/>
  <c r="K439" i="26"/>
  <c r="K440" i="26" s="1"/>
  <c r="N101" i="8"/>
  <c r="R255" i="19"/>
  <c r="R279" i="19" s="1"/>
  <c r="H279" i="19"/>
  <c r="R150" i="19"/>
  <c r="N46" i="7"/>
  <c r="P46" i="7" s="1"/>
  <c r="I48" i="7"/>
  <c r="I32" i="7" s="1"/>
  <c r="M286" i="19" s="1"/>
  <c r="I66" i="7"/>
  <c r="I67" i="7" s="1"/>
  <c r="N67" i="7" s="1"/>
  <c r="H435" i="29"/>
  <c r="I435" i="29" s="1"/>
  <c r="I541" i="29"/>
  <c r="J541" i="29" s="1"/>
  <c r="K539" i="29" s="1"/>
  <c r="P52" i="29"/>
  <c r="G124" i="29"/>
  <c r="P34" i="29"/>
  <c r="G324" i="29"/>
  <c r="M318" i="29"/>
  <c r="P142" i="29"/>
  <c r="G236" i="29"/>
  <c r="M231" i="29"/>
  <c r="K191" i="29"/>
  <c r="K202" i="29" s="1"/>
  <c r="K201" i="29"/>
  <c r="N38" i="25"/>
  <c r="N42" i="25" s="1"/>
  <c r="L42" i="25"/>
  <c r="L28" i="25" s="1"/>
  <c r="D42" i="25"/>
  <c r="D28" i="25" s="1"/>
  <c r="D56" i="25"/>
  <c r="L56" i="25" s="1"/>
  <c r="F87" i="25"/>
  <c r="H81" i="25"/>
  <c r="P187" i="29"/>
  <c r="P97" i="29"/>
  <c r="M597" i="29"/>
  <c r="G605" i="29"/>
  <c r="L476" i="29"/>
  <c r="G79" i="29" s="1"/>
  <c r="M476" i="29"/>
  <c r="K477" i="29"/>
  <c r="M362" i="26"/>
  <c r="G370" i="26" s="1"/>
  <c r="K363" i="26"/>
  <c r="K364" i="26" s="1"/>
  <c r="M364" i="26" s="1"/>
  <c r="G372" i="26" s="1"/>
  <c r="K240" i="26"/>
  <c r="K767" i="19"/>
  <c r="M767" i="19" s="1"/>
  <c r="G775" i="19" s="1"/>
  <c r="L766" i="19"/>
  <c r="L665" i="26"/>
  <c r="I113" i="26" s="1"/>
  <c r="I221" i="26" s="1"/>
  <c r="M665" i="26"/>
  <c r="G673" i="26" s="1"/>
  <c r="L664" i="26"/>
  <c r="H113" i="26" s="1"/>
  <c r="M664" i="26"/>
  <c r="K666" i="26"/>
  <c r="K516" i="26"/>
  <c r="K517" i="26" s="1"/>
  <c r="L515" i="26"/>
  <c r="H91" i="26" s="1"/>
  <c r="M515" i="26"/>
  <c r="M272" i="26"/>
  <c r="G280" i="26" s="1"/>
  <c r="K273" i="26"/>
  <c r="L273" i="26" s="1"/>
  <c r="H36" i="26" s="1"/>
  <c r="P75" i="8"/>
  <c r="N95" i="8"/>
  <c r="C96" i="8"/>
  <c r="I592" i="26"/>
  <c r="J592" i="26" s="1"/>
  <c r="G144" i="26"/>
  <c r="H48" i="7"/>
  <c r="H32" i="7" s="1"/>
  <c r="H65" i="7"/>
  <c r="H66" i="7" s="1"/>
  <c r="C60" i="7"/>
  <c r="N40" i="7"/>
  <c r="P40" i="7" s="1"/>
  <c r="G64" i="7"/>
  <c r="G65" i="7" s="1"/>
  <c r="G48" i="7"/>
  <c r="G32" i="7" s="1"/>
  <c r="I553" i="19"/>
  <c r="J553" i="19" s="1"/>
  <c r="K550" i="19" s="1"/>
  <c r="L550" i="19" s="1"/>
  <c r="G82" i="19" s="1"/>
  <c r="H553" i="19"/>
  <c r="H411" i="19"/>
  <c r="I411" i="19" s="1"/>
  <c r="I412" i="19" s="1"/>
  <c r="J412" i="19" s="1"/>
  <c r="H619" i="19"/>
  <c r="D61" i="7"/>
  <c r="N41" i="7"/>
  <c r="P41" i="7" s="1"/>
  <c r="H485" i="19"/>
  <c r="I485" i="19" s="1"/>
  <c r="H486" i="19"/>
  <c r="I486" i="19" s="1"/>
  <c r="H484" i="19"/>
  <c r="L319" i="19"/>
  <c r="G38" i="19" s="1"/>
  <c r="M319" i="19"/>
  <c r="K320" i="19"/>
  <c r="I695" i="19"/>
  <c r="J695" i="19" s="1"/>
  <c r="K692" i="19" s="1"/>
  <c r="G774" i="19"/>
  <c r="H436" i="29" l="1"/>
  <c r="G124" i="22"/>
  <c r="L124" i="22" s="1"/>
  <c r="G108" i="22"/>
  <c r="G94" i="22" s="1"/>
  <c r="K204" i="29" s="1"/>
  <c r="D80" i="5"/>
  <c r="D78" i="5" s="1"/>
  <c r="D77" i="5" s="1"/>
  <c r="E80" i="5"/>
  <c r="E78" i="5" s="1"/>
  <c r="E77" i="5" s="1"/>
  <c r="L439" i="26"/>
  <c r="I69" i="26" s="1"/>
  <c r="I177" i="26" s="1"/>
  <c r="R177" i="26" s="1"/>
  <c r="M439" i="26"/>
  <c r="L767" i="19"/>
  <c r="G115" i="19"/>
  <c r="G245" i="19" s="1"/>
  <c r="G256" i="19"/>
  <c r="K768" i="19"/>
  <c r="K769" i="19" s="1"/>
  <c r="N66" i="7"/>
  <c r="K540" i="29"/>
  <c r="K541" i="29" s="1"/>
  <c r="M539" i="29"/>
  <c r="L539" i="29"/>
  <c r="G88" i="29" s="1"/>
  <c r="H236" i="29"/>
  <c r="I236" i="29" s="1"/>
  <c r="H237" i="29"/>
  <c r="I237" i="29" s="1"/>
  <c r="G239" i="29"/>
  <c r="H323" i="29"/>
  <c r="H325" i="29" s="1"/>
  <c r="I325" i="29" s="1"/>
  <c r="H324" i="29"/>
  <c r="I324" i="29" s="1"/>
  <c r="G326" i="29"/>
  <c r="P124" i="29"/>
  <c r="H87" i="25"/>
  <c r="H90" i="25" s="1"/>
  <c r="F90" i="25"/>
  <c r="H602" i="29"/>
  <c r="I602" i="29" s="1"/>
  <c r="G169" i="29"/>
  <c r="G483" i="29"/>
  <c r="L477" i="29"/>
  <c r="H79" i="29" s="1"/>
  <c r="M477" i="29"/>
  <c r="G484" i="29" s="1"/>
  <c r="K478" i="29"/>
  <c r="L364" i="26"/>
  <c r="I58" i="26" s="1"/>
  <c r="I166" i="26" s="1"/>
  <c r="K365" i="26"/>
  <c r="M363" i="26"/>
  <c r="G371" i="26" s="1"/>
  <c r="G374" i="26" s="1"/>
  <c r="L363" i="26"/>
  <c r="H58" i="26" s="1"/>
  <c r="H166" i="26" s="1"/>
  <c r="M273" i="26"/>
  <c r="G281" i="26" s="1"/>
  <c r="L286" i="19"/>
  <c r="K286" i="19"/>
  <c r="G672" i="26"/>
  <c r="G675" i="26" s="1"/>
  <c r="M666" i="26"/>
  <c r="H221" i="26"/>
  <c r="R221" i="26" s="1"/>
  <c r="R113" i="26"/>
  <c r="K589" i="26"/>
  <c r="G523" i="26"/>
  <c r="M516" i="26"/>
  <c r="G524" i="26" s="1"/>
  <c r="L516" i="26"/>
  <c r="I91" i="26" s="1"/>
  <c r="I199" i="26" s="1"/>
  <c r="H199" i="26"/>
  <c r="K274" i="26"/>
  <c r="N96" i="8"/>
  <c r="H144" i="26"/>
  <c r="N60" i="7"/>
  <c r="C61" i="7"/>
  <c r="N61" i="7" s="1"/>
  <c r="M550" i="19"/>
  <c r="G558" i="19" s="1"/>
  <c r="K551" i="19"/>
  <c r="K552" i="19" s="1"/>
  <c r="H412" i="19"/>
  <c r="G212" i="19"/>
  <c r="K409" i="19"/>
  <c r="I619" i="19"/>
  <c r="I620" i="19" s="1"/>
  <c r="J620" i="19" s="1"/>
  <c r="K617" i="19" s="1"/>
  <c r="L617" i="19" s="1"/>
  <c r="G93" i="19" s="1"/>
  <c r="H620" i="19"/>
  <c r="L692" i="19"/>
  <c r="G104" i="19" s="1"/>
  <c r="L320" i="19"/>
  <c r="H38" i="19" s="1"/>
  <c r="M320" i="19"/>
  <c r="G328" i="19" s="1"/>
  <c r="G168" i="19"/>
  <c r="K321" i="19"/>
  <c r="K322" i="19" s="1"/>
  <c r="K693" i="19"/>
  <c r="G327" i="19"/>
  <c r="H487" i="19"/>
  <c r="I484" i="19"/>
  <c r="M692" i="19"/>
  <c r="I436" i="29" l="1"/>
  <c r="H437" i="29"/>
  <c r="H238" i="29"/>
  <c r="I238" i="29" s="1"/>
  <c r="I239" i="29" s="1"/>
  <c r="J239" i="29" s="1"/>
  <c r="K236" i="29" s="1"/>
  <c r="M236" i="29" s="1"/>
  <c r="H603" i="29"/>
  <c r="G447" i="26"/>
  <c r="M440" i="26"/>
  <c r="M768" i="19"/>
  <c r="G776" i="19" s="1"/>
  <c r="G778" i="19" s="1"/>
  <c r="L768" i="19"/>
  <c r="M551" i="19"/>
  <c r="G559" i="19" s="1"/>
  <c r="H115" i="19"/>
  <c r="H245" i="19" s="1"/>
  <c r="H256" i="19"/>
  <c r="R69" i="26"/>
  <c r="L540" i="29"/>
  <c r="H88" i="29" s="1"/>
  <c r="H178" i="29" s="1"/>
  <c r="M540" i="29"/>
  <c r="G547" i="29" s="1"/>
  <c r="G178" i="29"/>
  <c r="G546" i="29"/>
  <c r="I323" i="29"/>
  <c r="H326" i="29"/>
  <c r="H239" i="29"/>
  <c r="H169" i="29"/>
  <c r="P169" i="29" s="1"/>
  <c r="P79" i="29"/>
  <c r="M478" i="29"/>
  <c r="G486" i="29"/>
  <c r="R166" i="26"/>
  <c r="R58" i="26"/>
  <c r="M365" i="26"/>
  <c r="H673" i="26"/>
  <c r="I673" i="26" s="1"/>
  <c r="H672" i="26"/>
  <c r="I672" i="26" s="1"/>
  <c r="H671" i="26"/>
  <c r="H674" i="26"/>
  <c r="I674" i="26" s="1"/>
  <c r="K590" i="26"/>
  <c r="L590" i="26" s="1"/>
  <c r="H102" i="26" s="1"/>
  <c r="R91" i="26"/>
  <c r="M517" i="26"/>
  <c r="R199" i="26"/>
  <c r="G526" i="26"/>
  <c r="L274" i="26"/>
  <c r="I36" i="26" s="1"/>
  <c r="M274" i="26"/>
  <c r="K275" i="26"/>
  <c r="L589" i="26"/>
  <c r="G102" i="26" s="1"/>
  <c r="M589" i="26"/>
  <c r="L551" i="19"/>
  <c r="H82" i="19" s="1"/>
  <c r="H212" i="19" s="1"/>
  <c r="K618" i="19"/>
  <c r="K619" i="19" s="1"/>
  <c r="K620" i="19" s="1"/>
  <c r="M617" i="19"/>
  <c r="G625" i="19" s="1"/>
  <c r="G223" i="19"/>
  <c r="G234" i="19"/>
  <c r="K410" i="19"/>
  <c r="L409" i="19"/>
  <c r="G60" i="19" s="1"/>
  <c r="M409" i="19"/>
  <c r="G417" i="19" s="1"/>
  <c r="L552" i="19"/>
  <c r="I82" i="19" s="1"/>
  <c r="I212" i="19" s="1"/>
  <c r="M552" i="19"/>
  <c r="K553" i="19"/>
  <c r="L693" i="19"/>
  <c r="H104" i="19" s="1"/>
  <c r="H234" i="19" s="1"/>
  <c r="M693" i="19"/>
  <c r="G701" i="19" s="1"/>
  <c r="H168" i="19"/>
  <c r="I487" i="19"/>
  <c r="J487" i="19" s="1"/>
  <c r="K484" i="19" s="1"/>
  <c r="L321" i="19"/>
  <c r="I38" i="19" s="1"/>
  <c r="M321" i="19"/>
  <c r="G329" i="19" s="1"/>
  <c r="G331" i="19" s="1"/>
  <c r="G700" i="19"/>
  <c r="K694" i="19"/>
  <c r="K695" i="19" s="1"/>
  <c r="I437" i="29" l="1"/>
  <c r="I438" i="29" s="1"/>
  <c r="J438" i="29" s="1"/>
  <c r="H438" i="29"/>
  <c r="I603" i="29"/>
  <c r="H604" i="29"/>
  <c r="H447" i="26"/>
  <c r="I447" i="26" s="1"/>
  <c r="H446" i="26"/>
  <c r="I446" i="26" s="1"/>
  <c r="H448" i="26"/>
  <c r="I448" i="26" s="1"/>
  <c r="H445" i="26"/>
  <c r="G449" i="26"/>
  <c r="M618" i="19"/>
  <c r="G626" i="19" s="1"/>
  <c r="M769" i="19"/>
  <c r="H776" i="19" s="1"/>
  <c r="I776" i="19" s="1"/>
  <c r="R38" i="19"/>
  <c r="L618" i="19"/>
  <c r="H93" i="19" s="1"/>
  <c r="H223" i="19" s="1"/>
  <c r="I115" i="19"/>
  <c r="M541" i="29"/>
  <c r="P178" i="29"/>
  <c r="P88" i="29"/>
  <c r="G244" i="29"/>
  <c r="H253" i="29" s="1"/>
  <c r="K237" i="29"/>
  <c r="L236" i="29"/>
  <c r="G35" i="29" s="1"/>
  <c r="I326" i="29"/>
  <c r="J326" i="29" s="1"/>
  <c r="K323" i="29" s="1"/>
  <c r="M323" i="29" s="1"/>
  <c r="H483" i="29"/>
  <c r="H484" i="29" s="1"/>
  <c r="I484" i="29" s="1"/>
  <c r="H371" i="26"/>
  <c r="I371" i="26" s="1"/>
  <c r="H370" i="26"/>
  <c r="I370" i="26" s="1"/>
  <c r="I671" i="26"/>
  <c r="H675" i="26"/>
  <c r="K591" i="26"/>
  <c r="K592" i="26" s="1"/>
  <c r="M590" i="26"/>
  <c r="G598" i="26" s="1"/>
  <c r="H522" i="26"/>
  <c r="H523" i="26" s="1"/>
  <c r="I523" i="26" s="1"/>
  <c r="G282" i="26"/>
  <c r="G284" i="26" s="1"/>
  <c r="M275" i="26"/>
  <c r="R36" i="26"/>
  <c r="I144" i="26"/>
  <c r="R144" i="26" s="1"/>
  <c r="H210" i="26"/>
  <c r="H127" i="26"/>
  <c r="D77" i="8" s="1"/>
  <c r="G597" i="26"/>
  <c r="G210" i="26"/>
  <c r="G190" i="19"/>
  <c r="R212" i="19"/>
  <c r="R82" i="19"/>
  <c r="L410" i="19"/>
  <c r="H60" i="19" s="1"/>
  <c r="M410" i="19"/>
  <c r="K411" i="19"/>
  <c r="K412" i="19" s="1"/>
  <c r="L484" i="19"/>
  <c r="G71" i="19" s="1"/>
  <c r="G151" i="19" s="1"/>
  <c r="K485" i="19"/>
  <c r="H774" i="19"/>
  <c r="H775" i="19"/>
  <c r="I775" i="19" s="1"/>
  <c r="M484" i="19"/>
  <c r="L694" i="19"/>
  <c r="I104" i="19" s="1"/>
  <c r="R104" i="19" s="1"/>
  <c r="M694" i="19"/>
  <c r="I168" i="19"/>
  <c r="M322" i="19"/>
  <c r="G560" i="19"/>
  <c r="M553" i="19"/>
  <c r="L619" i="19"/>
  <c r="I93" i="19" s="1"/>
  <c r="I223" i="19" s="1"/>
  <c r="M619" i="19"/>
  <c r="K435" i="29" l="1"/>
  <c r="K436" i="29" s="1"/>
  <c r="I604" i="29"/>
  <c r="H605" i="29"/>
  <c r="I605" i="29"/>
  <c r="J605" i="29" s="1"/>
  <c r="K602" i="29" s="1"/>
  <c r="L602" i="29" s="1"/>
  <c r="G98" i="29" s="1"/>
  <c r="G37" i="29"/>
  <c r="H449" i="26"/>
  <c r="I445" i="26"/>
  <c r="R223" i="19"/>
  <c r="H777" i="19"/>
  <c r="I777" i="19" s="1"/>
  <c r="R126" i="19"/>
  <c r="I256" i="19"/>
  <c r="I245" i="19"/>
  <c r="H190" i="19"/>
  <c r="H280" i="19" s="1"/>
  <c r="H151" i="19"/>
  <c r="R115" i="19"/>
  <c r="H372" i="26"/>
  <c r="I372" i="26" s="1"/>
  <c r="H373" i="26"/>
  <c r="I373" i="26" s="1"/>
  <c r="H524" i="26"/>
  <c r="I524" i="26" s="1"/>
  <c r="K324" i="29"/>
  <c r="K325" i="29" s="1"/>
  <c r="L323" i="29"/>
  <c r="G53" i="29" s="1"/>
  <c r="G125" i="29"/>
  <c r="G331" i="29"/>
  <c r="L237" i="29"/>
  <c r="H35" i="29" s="1"/>
  <c r="H125" i="29" s="1"/>
  <c r="K238" i="29"/>
  <c r="M237" i="29"/>
  <c r="H485" i="29"/>
  <c r="I485" i="29" s="1"/>
  <c r="I483" i="29"/>
  <c r="H244" i="29"/>
  <c r="G36" i="29" s="1"/>
  <c r="M591" i="26"/>
  <c r="G599" i="26" s="1"/>
  <c r="G601" i="26" s="1"/>
  <c r="L591" i="26"/>
  <c r="I102" i="26" s="1"/>
  <c r="I210" i="26" s="1"/>
  <c r="R210" i="26" s="1"/>
  <c r="I675" i="26"/>
  <c r="I522" i="26"/>
  <c r="H283" i="26"/>
  <c r="I283" i="26" s="1"/>
  <c r="H281" i="26"/>
  <c r="I281" i="26" s="1"/>
  <c r="H282" i="26"/>
  <c r="I282" i="26" s="1"/>
  <c r="H280" i="26"/>
  <c r="D97" i="8"/>
  <c r="H234" i="26"/>
  <c r="G234" i="26"/>
  <c r="R93" i="19"/>
  <c r="R168" i="19"/>
  <c r="G201" i="19"/>
  <c r="G418" i="19"/>
  <c r="L411" i="19"/>
  <c r="I60" i="19" s="1"/>
  <c r="M411" i="19"/>
  <c r="G419" i="19" s="1"/>
  <c r="H778" i="19"/>
  <c r="I774" i="19"/>
  <c r="L485" i="19"/>
  <c r="H71" i="19" s="1"/>
  <c r="H201" i="19" s="1"/>
  <c r="M485" i="19"/>
  <c r="G493" i="19" s="1"/>
  <c r="G627" i="19"/>
  <c r="M620" i="19"/>
  <c r="G562" i="19"/>
  <c r="I234" i="19"/>
  <c r="G492" i="19"/>
  <c r="K486" i="19"/>
  <c r="K487" i="19" s="1"/>
  <c r="H329" i="19"/>
  <c r="I329" i="19" s="1"/>
  <c r="H328" i="19"/>
  <c r="I328" i="19" s="1"/>
  <c r="H327" i="19"/>
  <c r="H330" i="19"/>
  <c r="I330" i="19" s="1"/>
  <c r="H558" i="19"/>
  <c r="H560" i="19"/>
  <c r="I560" i="19" s="1"/>
  <c r="H561" i="19"/>
  <c r="I561" i="19" s="1"/>
  <c r="H559" i="19"/>
  <c r="I559" i="19" s="1"/>
  <c r="G702" i="19"/>
  <c r="M695" i="19"/>
  <c r="M436" i="29" l="1"/>
  <c r="G444" i="29" s="1"/>
  <c r="L436" i="29"/>
  <c r="H71" i="29" s="1"/>
  <c r="H161" i="29" s="1"/>
  <c r="M435" i="29"/>
  <c r="G443" i="29" s="1"/>
  <c r="L435" i="29"/>
  <c r="G71" i="29" s="1"/>
  <c r="G161" i="29" s="1"/>
  <c r="K437" i="29"/>
  <c r="K603" i="29"/>
  <c r="K604" i="29" s="1"/>
  <c r="K605" i="29" s="1"/>
  <c r="M602" i="29"/>
  <c r="G610" i="29" s="1"/>
  <c r="H619" i="29" s="1"/>
  <c r="I449" i="26"/>
  <c r="J449" i="26" s="1"/>
  <c r="R256" i="19"/>
  <c r="R245" i="19"/>
  <c r="I190" i="19"/>
  <c r="R190" i="19" s="1"/>
  <c r="H374" i="26"/>
  <c r="I374" i="26"/>
  <c r="J374" i="26" s="1"/>
  <c r="K370" i="26" s="1"/>
  <c r="L370" i="26" s="1"/>
  <c r="G59" i="26" s="1"/>
  <c r="H525" i="26"/>
  <c r="H486" i="29"/>
  <c r="H340" i="29"/>
  <c r="H331" i="29"/>
  <c r="L325" i="29"/>
  <c r="I53" i="29" s="1"/>
  <c r="I143" i="29" s="1"/>
  <c r="M325" i="29"/>
  <c r="G333" i="29" s="1"/>
  <c r="K239" i="29"/>
  <c r="L238" i="29"/>
  <c r="M238" i="29"/>
  <c r="G246" i="29" s="1"/>
  <c r="H255" i="29" s="1"/>
  <c r="K326" i="29"/>
  <c r="G245" i="29"/>
  <c r="H254" i="29" s="1"/>
  <c r="G143" i="29"/>
  <c r="L324" i="29"/>
  <c r="H53" i="29" s="1"/>
  <c r="H143" i="29" s="1"/>
  <c r="M324" i="29"/>
  <c r="G126" i="29"/>
  <c r="G188" i="29"/>
  <c r="L603" i="29"/>
  <c r="H98" i="29" s="1"/>
  <c r="H188" i="29" s="1"/>
  <c r="M603" i="29"/>
  <c r="G611" i="29" s="1"/>
  <c r="H620" i="29" s="1"/>
  <c r="I486" i="29"/>
  <c r="J486" i="29" s="1"/>
  <c r="I244" i="29"/>
  <c r="G253" i="29" s="1"/>
  <c r="I127" i="26"/>
  <c r="E77" i="8" s="1"/>
  <c r="I234" i="26"/>
  <c r="R102" i="26"/>
  <c r="M592" i="26"/>
  <c r="H600" i="26" s="1"/>
  <c r="I600" i="26" s="1"/>
  <c r="J675" i="26"/>
  <c r="I280" i="26"/>
  <c r="H284" i="26"/>
  <c r="R234" i="26"/>
  <c r="D42" i="7"/>
  <c r="R60" i="19"/>
  <c r="R234" i="19"/>
  <c r="M412" i="19"/>
  <c r="G421" i="19"/>
  <c r="G704" i="19"/>
  <c r="L486" i="19"/>
  <c r="I71" i="19" s="1"/>
  <c r="I201" i="19" s="1"/>
  <c r="R201" i="19" s="1"/>
  <c r="M486" i="19"/>
  <c r="H331" i="19"/>
  <c r="I327" i="19"/>
  <c r="H626" i="19"/>
  <c r="I626" i="19" s="1"/>
  <c r="H627" i="19"/>
  <c r="I627" i="19" s="1"/>
  <c r="H628" i="19"/>
  <c r="I628" i="19" s="1"/>
  <c r="H625" i="19"/>
  <c r="I778" i="19"/>
  <c r="J778" i="19" s="1"/>
  <c r="K774" i="19" s="1"/>
  <c r="H700" i="19"/>
  <c r="H701" i="19"/>
  <c r="I701" i="19" s="1"/>
  <c r="H562" i="19"/>
  <c r="I558" i="19"/>
  <c r="G629" i="19"/>
  <c r="H452" i="29" l="1"/>
  <c r="G73" i="29" s="1"/>
  <c r="H443" i="29"/>
  <c r="K438" i="29"/>
  <c r="M437" i="29"/>
  <c r="L437" i="29"/>
  <c r="I71" i="29" s="1"/>
  <c r="I161" i="29" s="1"/>
  <c r="P161" i="29" s="1"/>
  <c r="H453" i="29"/>
  <c r="H73" i="29" s="1"/>
  <c r="H444" i="29"/>
  <c r="H72" i="29" s="1"/>
  <c r="H162" i="29" s="1"/>
  <c r="I37" i="29"/>
  <c r="I35" i="29"/>
  <c r="I125" i="29" s="1"/>
  <c r="P125" i="29" s="1"/>
  <c r="H37" i="29"/>
  <c r="K445" i="26"/>
  <c r="R280" i="19"/>
  <c r="I151" i="19"/>
  <c r="E42" i="7" s="1"/>
  <c r="I280" i="19"/>
  <c r="M370" i="26"/>
  <c r="G379" i="26" s="1"/>
  <c r="H389" i="26" s="1"/>
  <c r="K371" i="26"/>
  <c r="K372" i="26" s="1"/>
  <c r="L372" i="26" s="1"/>
  <c r="I59" i="26" s="1"/>
  <c r="I167" i="26" s="1"/>
  <c r="I525" i="26"/>
  <c r="I526" i="26" s="1"/>
  <c r="J526" i="26" s="1"/>
  <c r="K522" i="26" s="1"/>
  <c r="H526" i="26"/>
  <c r="M239" i="29"/>
  <c r="H245" i="29"/>
  <c r="H36" i="29" s="1"/>
  <c r="G54" i="29"/>
  <c r="P53" i="29"/>
  <c r="H333" i="29"/>
  <c r="I54" i="29" s="1"/>
  <c r="I144" i="29" s="1"/>
  <c r="H342" i="29"/>
  <c r="I55" i="29" s="1"/>
  <c r="G55" i="29"/>
  <c r="G332" i="29"/>
  <c r="M326" i="29"/>
  <c r="P143" i="29"/>
  <c r="I331" i="29"/>
  <c r="G127" i="29"/>
  <c r="H611" i="29"/>
  <c r="H99" i="29" s="1"/>
  <c r="H189" i="29" s="1"/>
  <c r="H100" i="29"/>
  <c r="L604" i="29"/>
  <c r="I98" i="29" s="1"/>
  <c r="M604" i="29"/>
  <c r="G100" i="29"/>
  <c r="H610" i="29"/>
  <c r="K483" i="29"/>
  <c r="H246" i="29"/>
  <c r="I375" i="29"/>
  <c r="J375" i="29" s="1"/>
  <c r="E97" i="8"/>
  <c r="H597" i="26"/>
  <c r="I597" i="26" s="1"/>
  <c r="H599" i="26"/>
  <c r="I599" i="26" s="1"/>
  <c r="H598" i="26"/>
  <c r="I598" i="26" s="1"/>
  <c r="K671" i="26"/>
  <c r="I284" i="26"/>
  <c r="G167" i="26"/>
  <c r="R71" i="19"/>
  <c r="R151" i="19" s="1"/>
  <c r="H418" i="19"/>
  <c r="I418" i="19" s="1"/>
  <c r="H419" i="19"/>
  <c r="I419" i="19" s="1"/>
  <c r="H420" i="19"/>
  <c r="I420" i="19" s="1"/>
  <c r="H417" i="19"/>
  <c r="H702" i="19"/>
  <c r="I702" i="19" s="1"/>
  <c r="I562" i="19"/>
  <c r="J562" i="19" s="1"/>
  <c r="K558" i="19" s="1"/>
  <c r="L774" i="19"/>
  <c r="G494" i="19"/>
  <c r="M487" i="19"/>
  <c r="I700" i="19"/>
  <c r="K775" i="19"/>
  <c r="K776" i="19" s="1"/>
  <c r="H629" i="19"/>
  <c r="I625" i="19"/>
  <c r="I331" i="19"/>
  <c r="J331" i="19" s="1"/>
  <c r="M774" i="19"/>
  <c r="G783" i="19" s="1"/>
  <c r="H793" i="19" s="1"/>
  <c r="H163" i="29" l="1"/>
  <c r="I444" i="29"/>
  <c r="G453" i="29" s="1"/>
  <c r="I453" i="29" s="1"/>
  <c r="G445" i="29"/>
  <c r="M438" i="29"/>
  <c r="I443" i="29"/>
  <c r="G452" i="29" s="1"/>
  <c r="I452" i="29" s="1"/>
  <c r="G72" i="29"/>
  <c r="G162" i="29" s="1"/>
  <c r="G163" i="29" s="1"/>
  <c r="P71" i="29"/>
  <c r="P37" i="29"/>
  <c r="P35" i="29"/>
  <c r="L445" i="26"/>
  <c r="G70" i="26" s="1"/>
  <c r="M445" i="26"/>
  <c r="K446" i="26"/>
  <c r="G116" i="19"/>
  <c r="G246" i="19" s="1"/>
  <c r="G257" i="19"/>
  <c r="M372" i="26"/>
  <c r="G381" i="26" s="1"/>
  <c r="H391" i="26" s="1"/>
  <c r="K373" i="26"/>
  <c r="K374" i="26" s="1"/>
  <c r="M371" i="26"/>
  <c r="G380" i="26" s="1"/>
  <c r="H390" i="26" s="1"/>
  <c r="L371" i="26"/>
  <c r="H59" i="26" s="1"/>
  <c r="H167" i="26" s="1"/>
  <c r="I245" i="29"/>
  <c r="G254" i="29" s="1"/>
  <c r="I145" i="29"/>
  <c r="H332" i="29"/>
  <c r="I332" i="29" s="1"/>
  <c r="G341" i="29" s="1"/>
  <c r="H341" i="29"/>
  <c r="G335" i="29"/>
  <c r="G144" i="29"/>
  <c r="G340" i="29"/>
  <c r="I333" i="29"/>
  <c r="G342" i="29" s="1"/>
  <c r="I342" i="29" s="1"/>
  <c r="I611" i="29"/>
  <c r="G620" i="29" s="1"/>
  <c r="I620" i="29" s="1"/>
  <c r="H190" i="29"/>
  <c r="H126" i="29"/>
  <c r="I188" i="29"/>
  <c r="P98" i="29"/>
  <c r="I610" i="29"/>
  <c r="G619" i="29" s="1"/>
  <c r="G99" i="29"/>
  <c r="K375" i="29"/>
  <c r="G380" i="29" s="1"/>
  <c r="G60" i="29"/>
  <c r="I246" i="29"/>
  <c r="G255" i="29" s="1"/>
  <c r="I255" i="29" s="1"/>
  <c r="I36" i="29"/>
  <c r="G612" i="29"/>
  <c r="M605" i="29"/>
  <c r="L483" i="29"/>
  <c r="G80" i="29" s="1"/>
  <c r="M483" i="29"/>
  <c r="K484" i="29"/>
  <c r="K485" i="29" s="1"/>
  <c r="I256" i="29"/>
  <c r="I253" i="29"/>
  <c r="P192" i="29"/>
  <c r="P191" i="29"/>
  <c r="H601" i="26"/>
  <c r="L671" i="26"/>
  <c r="G114" i="26" s="1"/>
  <c r="M671" i="26"/>
  <c r="K672" i="26"/>
  <c r="M522" i="26"/>
  <c r="G531" i="26" s="1"/>
  <c r="H541" i="26" s="1"/>
  <c r="L522" i="26"/>
  <c r="G92" i="26" s="1"/>
  <c r="G200" i="26" s="1"/>
  <c r="K523" i="26"/>
  <c r="L523" i="26" s="1"/>
  <c r="H92" i="26" s="1"/>
  <c r="H200" i="26" s="1"/>
  <c r="J284" i="26"/>
  <c r="I601" i="26"/>
  <c r="J601" i="26" s="1"/>
  <c r="H379" i="26"/>
  <c r="H421" i="19"/>
  <c r="I417" i="19"/>
  <c r="H783" i="19"/>
  <c r="H703" i="19"/>
  <c r="D62" i="7"/>
  <c r="L776" i="19"/>
  <c r="I257" i="19" s="1"/>
  <c r="M776" i="19"/>
  <c r="G785" i="19" s="1"/>
  <c r="L775" i="19"/>
  <c r="H257" i="19" s="1"/>
  <c r="M775" i="19"/>
  <c r="G784" i="19" s="1"/>
  <c r="H794" i="19" s="1"/>
  <c r="K559" i="19"/>
  <c r="G496" i="19"/>
  <c r="L558" i="19"/>
  <c r="G83" i="19" s="1"/>
  <c r="I629" i="19"/>
  <c r="J629" i="19" s="1"/>
  <c r="K327" i="19"/>
  <c r="K328" i="19" s="1"/>
  <c r="K777" i="19"/>
  <c r="H493" i="19"/>
  <c r="I493" i="19" s="1"/>
  <c r="H495" i="19"/>
  <c r="I495" i="19" s="1"/>
  <c r="H494" i="19"/>
  <c r="I494" i="19" s="1"/>
  <c r="H492" i="19"/>
  <c r="M558" i="19"/>
  <c r="G567" i="19" s="1"/>
  <c r="H577" i="19" s="1"/>
  <c r="H445" i="29" l="1"/>
  <c r="I445" i="29" s="1"/>
  <c r="G447" i="29"/>
  <c r="H454" i="29"/>
  <c r="K447" i="26"/>
  <c r="K448" i="26" s="1"/>
  <c r="G454" i="26"/>
  <c r="L446" i="26"/>
  <c r="H70" i="26" s="1"/>
  <c r="M446" i="26"/>
  <c r="G455" i="26" s="1"/>
  <c r="L373" i="26"/>
  <c r="J59" i="26" s="1"/>
  <c r="J167" i="26" s="1"/>
  <c r="R167" i="26" s="1"/>
  <c r="H381" i="26"/>
  <c r="I60" i="26" s="1"/>
  <c r="I168" i="26" s="1"/>
  <c r="G117" i="19"/>
  <c r="G247" i="19" s="1"/>
  <c r="G258" i="19"/>
  <c r="M373" i="26"/>
  <c r="G382" i="26" s="1"/>
  <c r="H382" i="26" s="1"/>
  <c r="J60" i="26" s="1"/>
  <c r="J168" i="26" s="1"/>
  <c r="H380" i="26"/>
  <c r="H60" i="26" s="1"/>
  <c r="H168" i="26" s="1"/>
  <c r="I341" i="29"/>
  <c r="I335" i="29"/>
  <c r="H55" i="29"/>
  <c r="P55" i="29" s="1"/>
  <c r="H345" i="29"/>
  <c r="C365" i="29" s="1"/>
  <c r="G212" i="29" s="1"/>
  <c r="D98" i="5" s="1"/>
  <c r="I340" i="29"/>
  <c r="G345" i="29"/>
  <c r="H54" i="29"/>
  <c r="H335" i="29"/>
  <c r="C364" i="29" s="1"/>
  <c r="G145" i="29"/>
  <c r="G614" i="29"/>
  <c r="H621" i="29"/>
  <c r="I100" i="29" s="1"/>
  <c r="P100" i="29" s="1"/>
  <c r="H380" i="29"/>
  <c r="H381" i="29" s="1"/>
  <c r="I381" i="29" s="1"/>
  <c r="H127" i="29"/>
  <c r="G170" i="29"/>
  <c r="P60" i="29"/>
  <c r="P108" i="29" s="1"/>
  <c r="G150" i="29"/>
  <c r="G108" i="29"/>
  <c r="C101" i="22" s="1"/>
  <c r="H612" i="29"/>
  <c r="I126" i="29"/>
  <c r="P126" i="29" s="1"/>
  <c r="P188" i="29"/>
  <c r="G189" i="29"/>
  <c r="P36" i="29"/>
  <c r="I619" i="29"/>
  <c r="G382" i="29"/>
  <c r="L485" i="29"/>
  <c r="I80" i="29" s="1"/>
  <c r="M485" i="29"/>
  <c r="G493" i="29" s="1"/>
  <c r="H502" i="29" s="1"/>
  <c r="G491" i="29"/>
  <c r="H500" i="29" s="1"/>
  <c r="L484" i="29"/>
  <c r="H80" i="29" s="1"/>
  <c r="M484" i="29"/>
  <c r="G492" i="29" s="1"/>
  <c r="H501" i="29" s="1"/>
  <c r="K486" i="29"/>
  <c r="H248" i="29"/>
  <c r="C277" i="29" s="1"/>
  <c r="H258" i="29"/>
  <c r="C278" i="29" s="1"/>
  <c r="G248" i="29"/>
  <c r="M523" i="26"/>
  <c r="G532" i="26" s="1"/>
  <c r="H542" i="26" s="1"/>
  <c r="G178" i="26"/>
  <c r="H785" i="19"/>
  <c r="H795" i="19"/>
  <c r="L672" i="26"/>
  <c r="H114" i="26" s="1"/>
  <c r="H222" i="26" s="1"/>
  <c r="M672" i="26"/>
  <c r="G681" i="26" s="1"/>
  <c r="G680" i="26"/>
  <c r="H690" i="26" s="1"/>
  <c r="G222" i="26"/>
  <c r="K673" i="26"/>
  <c r="K597" i="26"/>
  <c r="H531" i="26"/>
  <c r="G93" i="26" s="1"/>
  <c r="G201" i="26" s="1"/>
  <c r="K524" i="26"/>
  <c r="K280" i="26"/>
  <c r="G60" i="26"/>
  <c r="I379" i="26"/>
  <c r="G213" i="19"/>
  <c r="I116" i="19"/>
  <c r="I246" i="19" s="1"/>
  <c r="H116" i="19"/>
  <c r="H246" i="19" s="1"/>
  <c r="I421" i="19"/>
  <c r="J421" i="19" s="1"/>
  <c r="K417" i="19" s="1"/>
  <c r="I783" i="19"/>
  <c r="G793" i="19" s="1"/>
  <c r="H784" i="19"/>
  <c r="H258" i="19" s="1"/>
  <c r="H259" i="19" s="1"/>
  <c r="I703" i="19"/>
  <c r="I704" i="19" s="1"/>
  <c r="J704" i="19" s="1"/>
  <c r="K700" i="19" s="1"/>
  <c r="L700" i="19" s="1"/>
  <c r="G105" i="19" s="1"/>
  <c r="H704" i="19"/>
  <c r="H567" i="19"/>
  <c r="G84" i="19" s="1"/>
  <c r="E62" i="7"/>
  <c r="L559" i="19"/>
  <c r="M559" i="19"/>
  <c r="G568" i="19" s="1"/>
  <c r="H578" i="19" s="1"/>
  <c r="L777" i="19"/>
  <c r="M777" i="19"/>
  <c r="L328" i="19"/>
  <c r="H39" i="19" s="1"/>
  <c r="M328" i="19"/>
  <c r="G337" i="19" s="1"/>
  <c r="H347" i="19" s="1"/>
  <c r="K560" i="19"/>
  <c r="H496" i="19"/>
  <c r="I492" i="19"/>
  <c r="L327" i="19"/>
  <c r="G39" i="19" s="1"/>
  <c r="M327" i="19"/>
  <c r="G336" i="19" s="1"/>
  <c r="H346" i="19" s="1"/>
  <c r="G41" i="19" s="1"/>
  <c r="K625" i="19"/>
  <c r="K626" i="19" s="1"/>
  <c r="K778" i="19"/>
  <c r="K329" i="19"/>
  <c r="H456" i="29" l="1"/>
  <c r="C461" i="29" s="1"/>
  <c r="I73" i="29"/>
  <c r="P73" i="29" s="1"/>
  <c r="G454" i="29"/>
  <c r="I447" i="29"/>
  <c r="I72" i="29"/>
  <c r="H447" i="29"/>
  <c r="C460" i="29" s="1"/>
  <c r="I381" i="26"/>
  <c r="G391" i="26" s="1"/>
  <c r="I61" i="26" s="1"/>
  <c r="I169" i="26" s="1"/>
  <c r="R59" i="26"/>
  <c r="M447" i="26"/>
  <c r="G456" i="26" s="1"/>
  <c r="H466" i="26" s="1"/>
  <c r="I72" i="26" s="1"/>
  <c r="L447" i="26"/>
  <c r="I70" i="26" s="1"/>
  <c r="I178" i="26" s="1"/>
  <c r="K449" i="26"/>
  <c r="L448" i="26"/>
  <c r="J70" i="26" s="1"/>
  <c r="M448" i="26"/>
  <c r="G457" i="26" s="1"/>
  <c r="H457" i="26" s="1"/>
  <c r="H455" i="26"/>
  <c r="H465" i="26"/>
  <c r="H72" i="26" s="1"/>
  <c r="H454" i="26"/>
  <c r="G71" i="26" s="1"/>
  <c r="H464" i="26"/>
  <c r="G72" i="26" s="1"/>
  <c r="M374" i="26"/>
  <c r="H392" i="26"/>
  <c r="G384" i="26"/>
  <c r="G259" i="19"/>
  <c r="R127" i="19"/>
  <c r="J257" i="19"/>
  <c r="H169" i="19"/>
  <c r="I117" i="19"/>
  <c r="I247" i="19" s="1"/>
  <c r="I258" i="19"/>
  <c r="I259" i="19" s="1"/>
  <c r="H41" i="19"/>
  <c r="H624" i="29"/>
  <c r="C643" i="29" s="1"/>
  <c r="G214" i="29" s="1"/>
  <c r="D175" i="5" s="1"/>
  <c r="E175" i="5" s="1"/>
  <c r="I380" i="26"/>
  <c r="G390" i="26" s="1"/>
  <c r="I345" i="29"/>
  <c r="I785" i="19"/>
  <c r="G795" i="19" s="1"/>
  <c r="I795" i="19" s="1"/>
  <c r="H144" i="29"/>
  <c r="P54" i="29"/>
  <c r="I380" i="29"/>
  <c r="I382" i="29" s="1"/>
  <c r="J382" i="29" s="1"/>
  <c r="H382" i="29"/>
  <c r="L101" i="22"/>
  <c r="C119" i="22"/>
  <c r="G190" i="29"/>
  <c r="I127" i="29"/>
  <c r="P150" i="29"/>
  <c r="P197" i="29" s="1"/>
  <c r="G197" i="29"/>
  <c r="I170" i="29"/>
  <c r="I612" i="29"/>
  <c r="I99" i="29"/>
  <c r="P80" i="29"/>
  <c r="H170" i="29"/>
  <c r="H614" i="29"/>
  <c r="C642" i="29" s="1"/>
  <c r="M486" i="29"/>
  <c r="G495" i="29"/>
  <c r="G82" i="29"/>
  <c r="H491" i="29"/>
  <c r="G81" i="29" s="1"/>
  <c r="G171" i="29" s="1"/>
  <c r="H492" i="29"/>
  <c r="H82" i="29"/>
  <c r="H493" i="29"/>
  <c r="I82" i="29"/>
  <c r="H178" i="26"/>
  <c r="H532" i="26"/>
  <c r="H93" i="26" s="1"/>
  <c r="H201" i="26" s="1"/>
  <c r="H681" i="26"/>
  <c r="I681" i="26" s="1"/>
  <c r="G691" i="26" s="1"/>
  <c r="H691" i="26"/>
  <c r="I567" i="19"/>
  <c r="G577" i="19" s="1"/>
  <c r="I531" i="26"/>
  <c r="G541" i="26" s="1"/>
  <c r="G94" i="26" s="1"/>
  <c r="H680" i="26"/>
  <c r="L673" i="26"/>
  <c r="I114" i="26" s="1"/>
  <c r="M673" i="26"/>
  <c r="K674" i="26"/>
  <c r="K675" i="26" s="1"/>
  <c r="L597" i="26"/>
  <c r="G103" i="26" s="1"/>
  <c r="G211" i="26" s="1"/>
  <c r="M597" i="26"/>
  <c r="G606" i="26" s="1"/>
  <c r="H616" i="26" s="1"/>
  <c r="K598" i="26"/>
  <c r="K599" i="26" s="1"/>
  <c r="M524" i="26"/>
  <c r="G533" i="26" s="1"/>
  <c r="H543" i="26" s="1"/>
  <c r="L524" i="26"/>
  <c r="I92" i="26" s="1"/>
  <c r="I200" i="26" s="1"/>
  <c r="K525" i="26"/>
  <c r="K526" i="26" s="1"/>
  <c r="I382" i="26"/>
  <c r="G392" i="26" s="1"/>
  <c r="I391" i="26"/>
  <c r="L280" i="26"/>
  <c r="G37" i="26" s="1"/>
  <c r="M280" i="26"/>
  <c r="K281" i="26"/>
  <c r="R60" i="26"/>
  <c r="G168" i="26"/>
  <c r="G389" i="26"/>
  <c r="H384" i="26"/>
  <c r="C414" i="26" s="1"/>
  <c r="H61" i="26"/>
  <c r="H169" i="26" s="1"/>
  <c r="M700" i="19"/>
  <c r="G709" i="19" s="1"/>
  <c r="H719" i="19" s="1"/>
  <c r="G235" i="19"/>
  <c r="G214" i="19"/>
  <c r="G169" i="19"/>
  <c r="L417" i="19"/>
  <c r="G61" i="19" s="1"/>
  <c r="M417" i="19"/>
  <c r="G426" i="19" s="1"/>
  <c r="H436" i="19" s="1"/>
  <c r="J116" i="19"/>
  <c r="I784" i="19"/>
  <c r="G794" i="19" s="1"/>
  <c r="H117" i="19"/>
  <c r="H247" i="19" s="1"/>
  <c r="H83" i="19"/>
  <c r="K418" i="19"/>
  <c r="I118" i="19"/>
  <c r="G118" i="19"/>
  <c r="G248" i="19" s="1"/>
  <c r="M778" i="19"/>
  <c r="G786" i="19"/>
  <c r="H796" i="19" s="1"/>
  <c r="R129" i="19" s="1"/>
  <c r="K701" i="19"/>
  <c r="K702" i="19" s="1"/>
  <c r="L702" i="19" s="1"/>
  <c r="H568" i="19"/>
  <c r="H337" i="19"/>
  <c r="H40" i="19" s="1"/>
  <c r="H336" i="19"/>
  <c r="G40" i="19" s="1"/>
  <c r="L626" i="19"/>
  <c r="M626" i="19"/>
  <c r="G635" i="19" s="1"/>
  <c r="H645" i="19" s="1"/>
  <c r="I496" i="19"/>
  <c r="J496" i="19" s="1"/>
  <c r="K492" i="19" s="1"/>
  <c r="M492" i="19" s="1"/>
  <c r="G501" i="19" s="1"/>
  <c r="H511" i="19" s="1"/>
  <c r="L625" i="19"/>
  <c r="G94" i="19" s="1"/>
  <c r="M625" i="19"/>
  <c r="G634" i="19" s="1"/>
  <c r="H644" i="19" s="1"/>
  <c r="L329" i="19"/>
  <c r="I39" i="19" s="1"/>
  <c r="M329" i="19"/>
  <c r="G338" i="19" s="1"/>
  <c r="H348" i="19" s="1"/>
  <c r="L560" i="19"/>
  <c r="I83" i="19" s="1"/>
  <c r="I213" i="19" s="1"/>
  <c r="M560" i="19"/>
  <c r="G569" i="19" s="1"/>
  <c r="K561" i="19"/>
  <c r="K627" i="19"/>
  <c r="K330" i="19"/>
  <c r="I454" i="29" l="1"/>
  <c r="I456" i="29" s="1"/>
  <c r="G456" i="29"/>
  <c r="P72" i="29"/>
  <c r="I162" i="29"/>
  <c r="M449" i="26"/>
  <c r="H456" i="26"/>
  <c r="I456" i="26" s="1"/>
  <c r="G466" i="26" s="1"/>
  <c r="I466" i="26" s="1"/>
  <c r="G459" i="26"/>
  <c r="I455" i="26"/>
  <c r="G465" i="26" s="1"/>
  <c r="I465" i="26" s="1"/>
  <c r="H71" i="26"/>
  <c r="H179" i="26" s="1"/>
  <c r="H180" i="26" s="1"/>
  <c r="I457" i="26"/>
  <c r="G467" i="26" s="1"/>
  <c r="J71" i="26"/>
  <c r="H467" i="26"/>
  <c r="H470" i="26" s="1"/>
  <c r="C481" i="26" s="1"/>
  <c r="I454" i="26"/>
  <c r="J61" i="26"/>
  <c r="J169" i="26" s="1"/>
  <c r="R257" i="19"/>
  <c r="G280" i="19"/>
  <c r="R116" i="19"/>
  <c r="J246" i="19"/>
  <c r="R246" i="19" s="1"/>
  <c r="I248" i="19"/>
  <c r="H170" i="19"/>
  <c r="I169" i="19"/>
  <c r="H709" i="19"/>
  <c r="G106" i="19" s="1"/>
  <c r="I41" i="19"/>
  <c r="H145" i="29"/>
  <c r="P145" i="29" s="1"/>
  <c r="P144" i="29"/>
  <c r="G170" i="19"/>
  <c r="I492" i="29"/>
  <c r="G501" i="29" s="1"/>
  <c r="I501" i="29" s="1"/>
  <c r="H81" i="29"/>
  <c r="H171" i="29" s="1"/>
  <c r="G172" i="29"/>
  <c r="L119" i="22"/>
  <c r="I493" i="29"/>
  <c r="G502" i="29" s="1"/>
  <c r="I502" i="29" s="1"/>
  <c r="I81" i="29"/>
  <c r="P82" i="29"/>
  <c r="P127" i="29"/>
  <c r="P99" i="29"/>
  <c r="I189" i="29"/>
  <c r="G621" i="29"/>
  <c r="I614" i="29"/>
  <c r="P170" i="29"/>
  <c r="N101" i="22"/>
  <c r="K380" i="29"/>
  <c r="H505" i="29"/>
  <c r="C524" i="29" s="1"/>
  <c r="G213" i="29" s="1"/>
  <c r="D125" i="5" s="1"/>
  <c r="H495" i="29"/>
  <c r="C523" i="29" s="1"/>
  <c r="I491" i="29"/>
  <c r="I248" i="29"/>
  <c r="L598" i="26"/>
  <c r="H103" i="26" s="1"/>
  <c r="H211" i="26" s="1"/>
  <c r="I532" i="26"/>
  <c r="G542" i="26" s="1"/>
  <c r="G128" i="26"/>
  <c r="C78" i="8" s="1"/>
  <c r="G179" i="26"/>
  <c r="G180" i="26" s="1"/>
  <c r="I691" i="26"/>
  <c r="M598" i="26"/>
  <c r="G607" i="26" s="1"/>
  <c r="H617" i="26" s="1"/>
  <c r="H115" i="26"/>
  <c r="H223" i="26" s="1"/>
  <c r="H569" i="19"/>
  <c r="I569" i="19" s="1"/>
  <c r="G579" i="19" s="1"/>
  <c r="H579" i="19"/>
  <c r="I541" i="26"/>
  <c r="I384" i="26"/>
  <c r="G682" i="26"/>
  <c r="H692" i="26" s="1"/>
  <c r="H116" i="26"/>
  <c r="I222" i="26"/>
  <c r="L674" i="26"/>
  <c r="J114" i="26" s="1"/>
  <c r="J222" i="26" s="1"/>
  <c r="M674" i="26"/>
  <c r="G683" i="26" s="1"/>
  <c r="H693" i="26" s="1"/>
  <c r="I680" i="26"/>
  <c r="G115" i="26"/>
  <c r="K600" i="26"/>
  <c r="K601" i="26" s="1"/>
  <c r="M525" i="26"/>
  <c r="L525" i="26"/>
  <c r="J92" i="26" s="1"/>
  <c r="H533" i="26"/>
  <c r="I93" i="26" s="1"/>
  <c r="I201" i="26" s="1"/>
  <c r="H94" i="26"/>
  <c r="H202" i="26" s="1"/>
  <c r="I390" i="26"/>
  <c r="L281" i="26"/>
  <c r="H37" i="26" s="1"/>
  <c r="H145" i="26" s="1"/>
  <c r="M281" i="26"/>
  <c r="G290" i="26" s="1"/>
  <c r="H300" i="26" s="1"/>
  <c r="G289" i="26"/>
  <c r="H299" i="26" s="1"/>
  <c r="G145" i="26"/>
  <c r="G235" i="26" s="1"/>
  <c r="K282" i="26"/>
  <c r="L599" i="26"/>
  <c r="I103" i="26" s="1"/>
  <c r="M599" i="26"/>
  <c r="G608" i="26" s="1"/>
  <c r="H618" i="26" s="1"/>
  <c r="I392" i="26"/>
  <c r="H606" i="26"/>
  <c r="I606" i="26" s="1"/>
  <c r="R168" i="26"/>
  <c r="G202" i="26"/>
  <c r="I389" i="26"/>
  <c r="G395" i="26"/>
  <c r="G224" i="19"/>
  <c r="H213" i="19"/>
  <c r="G191" i="19"/>
  <c r="M701" i="19"/>
  <c r="G710" i="19" s="1"/>
  <c r="M702" i="19"/>
  <c r="G711" i="19" s="1"/>
  <c r="I105" i="19"/>
  <c r="I235" i="19" s="1"/>
  <c r="H94" i="19"/>
  <c r="H224" i="19" s="1"/>
  <c r="K419" i="19"/>
  <c r="M418" i="19"/>
  <c r="G427" i="19" s="1"/>
  <c r="L418" i="19"/>
  <c r="K703" i="19"/>
  <c r="K704" i="19" s="1"/>
  <c r="I336" i="19"/>
  <c r="G346" i="19" s="1"/>
  <c r="I568" i="19"/>
  <c r="G578" i="19" s="1"/>
  <c r="H84" i="19"/>
  <c r="I794" i="19"/>
  <c r="H118" i="19"/>
  <c r="H248" i="19" s="1"/>
  <c r="I337" i="19"/>
  <c r="G347" i="19" s="1"/>
  <c r="H426" i="19"/>
  <c r="G62" i="19" s="1"/>
  <c r="L701" i="19"/>
  <c r="H786" i="19"/>
  <c r="G788" i="19"/>
  <c r="I793" i="19"/>
  <c r="H501" i="19"/>
  <c r="G73" i="19" s="1"/>
  <c r="H634" i="19"/>
  <c r="G95" i="19" s="1"/>
  <c r="H635" i="19"/>
  <c r="G85" i="19"/>
  <c r="G215" i="19" s="1"/>
  <c r="H338" i="19"/>
  <c r="I40" i="19" s="1"/>
  <c r="L330" i="19"/>
  <c r="M330" i="19"/>
  <c r="G339" i="19" s="1"/>
  <c r="H349" i="19" s="1"/>
  <c r="K331" i="19"/>
  <c r="L627" i="19"/>
  <c r="M627" i="19"/>
  <c r="G636" i="19" s="1"/>
  <c r="K628" i="19"/>
  <c r="K629" i="19" s="1"/>
  <c r="L561" i="19"/>
  <c r="M561" i="19"/>
  <c r="K562" i="19"/>
  <c r="K493" i="19"/>
  <c r="L492" i="19"/>
  <c r="G72" i="19" s="1"/>
  <c r="I163" i="29" l="1"/>
  <c r="P163" i="29" s="1"/>
  <c r="P162" i="29"/>
  <c r="H459" i="26"/>
  <c r="C480" i="26" s="1"/>
  <c r="I71" i="26"/>
  <c r="I467" i="26"/>
  <c r="J72" i="26"/>
  <c r="G464" i="26"/>
  <c r="I459" i="26"/>
  <c r="I709" i="19"/>
  <c r="G719" i="19" s="1"/>
  <c r="G171" i="19"/>
  <c r="H171" i="19"/>
  <c r="G236" i="19"/>
  <c r="G153" i="19"/>
  <c r="C44" i="7" s="1"/>
  <c r="G152" i="19"/>
  <c r="C43" i="7" s="1"/>
  <c r="I170" i="19"/>
  <c r="J117" i="19"/>
  <c r="R117" i="19" s="1"/>
  <c r="J41" i="19"/>
  <c r="J39" i="19"/>
  <c r="E125" i="5"/>
  <c r="E98" i="5"/>
  <c r="I84" i="19"/>
  <c r="I214" i="19" s="1"/>
  <c r="H172" i="29"/>
  <c r="I171" i="29"/>
  <c r="G624" i="29"/>
  <c r="I621" i="29"/>
  <c r="I624" i="29" s="1"/>
  <c r="I190" i="29"/>
  <c r="P190" i="29" s="1"/>
  <c r="P189" i="29"/>
  <c r="P81" i="29"/>
  <c r="L380" i="29"/>
  <c r="G61" i="29" s="1"/>
  <c r="M380" i="29"/>
  <c r="K381" i="29"/>
  <c r="K382" i="29" s="1"/>
  <c r="I495" i="29"/>
  <c r="G500" i="29"/>
  <c r="I254" i="29"/>
  <c r="I258" i="29" s="1"/>
  <c r="G258" i="29"/>
  <c r="R70" i="26"/>
  <c r="H607" i="26"/>
  <c r="H104" i="26" s="1"/>
  <c r="H212" i="26" s="1"/>
  <c r="H224" i="26"/>
  <c r="H128" i="26"/>
  <c r="D78" i="8" s="1"/>
  <c r="D98" i="8" s="1"/>
  <c r="H711" i="19"/>
  <c r="I106" i="19" s="1"/>
  <c r="I236" i="19" s="1"/>
  <c r="H721" i="19"/>
  <c r="H636" i="19"/>
  <c r="I636" i="19" s="1"/>
  <c r="G646" i="19" s="1"/>
  <c r="H646" i="19"/>
  <c r="H710" i="19"/>
  <c r="H720" i="19"/>
  <c r="H107" i="19" s="1"/>
  <c r="H427" i="19"/>
  <c r="I427" i="19" s="1"/>
  <c r="G437" i="19" s="1"/>
  <c r="H437" i="19"/>
  <c r="M675" i="26"/>
  <c r="G690" i="26"/>
  <c r="R222" i="26"/>
  <c r="H683" i="26"/>
  <c r="J115" i="26" s="1"/>
  <c r="J223" i="26" s="1"/>
  <c r="G223" i="26"/>
  <c r="R114" i="26"/>
  <c r="H682" i="26"/>
  <c r="I682" i="26" s="1"/>
  <c r="G685" i="26"/>
  <c r="R92" i="26"/>
  <c r="J200" i="26"/>
  <c r="R200" i="26" s="1"/>
  <c r="I533" i="26"/>
  <c r="G543" i="26" s="1"/>
  <c r="M526" i="26"/>
  <c r="G534" i="26"/>
  <c r="H544" i="26" s="1"/>
  <c r="I395" i="26"/>
  <c r="I542" i="26"/>
  <c r="M282" i="26"/>
  <c r="G291" i="26" s="1"/>
  <c r="H301" i="26" s="1"/>
  <c r="L282" i="26"/>
  <c r="I37" i="26" s="1"/>
  <c r="I145" i="26" s="1"/>
  <c r="H289" i="26"/>
  <c r="I289" i="26" s="1"/>
  <c r="H290" i="26"/>
  <c r="H38" i="26" s="1"/>
  <c r="K283" i="26"/>
  <c r="G616" i="26"/>
  <c r="L600" i="26"/>
  <c r="J103" i="26" s="1"/>
  <c r="J211" i="26" s="1"/>
  <c r="M600" i="26"/>
  <c r="G609" i="26" s="1"/>
  <c r="H619" i="26" s="1"/>
  <c r="H608" i="26"/>
  <c r="I104" i="26" s="1"/>
  <c r="H235" i="26"/>
  <c r="I211" i="26"/>
  <c r="H395" i="26"/>
  <c r="C415" i="26" s="1"/>
  <c r="G61" i="26"/>
  <c r="G104" i="26"/>
  <c r="I426" i="19"/>
  <c r="G436" i="19" s="1"/>
  <c r="G63" i="19" s="1"/>
  <c r="G225" i="19"/>
  <c r="H214" i="19"/>
  <c r="G202" i="19"/>
  <c r="G192" i="19"/>
  <c r="I501" i="19"/>
  <c r="G511" i="19" s="1"/>
  <c r="I94" i="19"/>
  <c r="I224" i="19" s="1"/>
  <c r="L419" i="19"/>
  <c r="M419" i="19"/>
  <c r="G428" i="19" s="1"/>
  <c r="I579" i="19"/>
  <c r="I85" i="19"/>
  <c r="M703" i="19"/>
  <c r="M704" i="19" s="1"/>
  <c r="J83" i="19"/>
  <c r="I338" i="19"/>
  <c r="G348" i="19" s="1"/>
  <c r="I635" i="19"/>
  <c r="G645" i="19" s="1"/>
  <c r="H95" i="19"/>
  <c r="H225" i="19" s="1"/>
  <c r="H105" i="19"/>
  <c r="L703" i="19"/>
  <c r="J105" i="19" s="1"/>
  <c r="J235" i="19" s="1"/>
  <c r="I346" i="19"/>
  <c r="I634" i="19"/>
  <c r="G644" i="19" s="1"/>
  <c r="K420" i="19"/>
  <c r="H61" i="19"/>
  <c r="I578" i="19"/>
  <c r="H85" i="19"/>
  <c r="I786" i="19"/>
  <c r="H788" i="19"/>
  <c r="C818" i="19" s="1"/>
  <c r="M562" i="19"/>
  <c r="G570" i="19"/>
  <c r="H580" i="19" s="1"/>
  <c r="I577" i="19"/>
  <c r="I347" i="19"/>
  <c r="H339" i="19"/>
  <c r="J40" i="19" s="1"/>
  <c r="M331" i="19"/>
  <c r="G341" i="19"/>
  <c r="L493" i="19"/>
  <c r="H72" i="19" s="1"/>
  <c r="H202" i="19" s="1"/>
  <c r="M493" i="19"/>
  <c r="G502" i="19" s="1"/>
  <c r="H512" i="19" s="1"/>
  <c r="L628" i="19"/>
  <c r="J94" i="19" s="1"/>
  <c r="J224" i="19" s="1"/>
  <c r="M628" i="19"/>
  <c r="K494" i="19"/>
  <c r="G248" i="26" l="1"/>
  <c r="D95" i="5" s="1"/>
  <c r="E95" i="5" s="1"/>
  <c r="B37" i="4"/>
  <c r="G470" i="26"/>
  <c r="I464" i="26"/>
  <c r="I470" i="26" s="1"/>
  <c r="R128" i="19"/>
  <c r="J258" i="19"/>
  <c r="I171" i="19"/>
  <c r="J247" i="19"/>
  <c r="R247" i="19" s="1"/>
  <c r="J169" i="19"/>
  <c r="J170" i="19" s="1"/>
  <c r="H152" i="19"/>
  <c r="D43" i="7" s="1"/>
  <c r="D63" i="7" s="1"/>
  <c r="I215" i="19"/>
  <c r="R39" i="19"/>
  <c r="C42" i="7"/>
  <c r="J178" i="26"/>
  <c r="R178" i="26" s="1"/>
  <c r="I711" i="19"/>
  <c r="G721" i="19" s="1"/>
  <c r="I436" i="19"/>
  <c r="G712" i="19"/>
  <c r="H722" i="19" s="1"/>
  <c r="I172" i="29"/>
  <c r="P171" i="29"/>
  <c r="G109" i="29"/>
  <c r="C102" i="22" s="1"/>
  <c r="G151" i="29"/>
  <c r="H546" i="29"/>
  <c r="H547" i="29" s="1"/>
  <c r="I547" i="29" s="1"/>
  <c r="G549" i="29"/>
  <c r="L381" i="29"/>
  <c r="H61" i="29" s="1"/>
  <c r="P61" i="29" s="1"/>
  <c r="P109" i="29" s="1"/>
  <c r="M381" i="29"/>
  <c r="G388" i="29" s="1"/>
  <c r="G387" i="29"/>
  <c r="I500" i="29"/>
  <c r="I505" i="29" s="1"/>
  <c r="G505" i="29"/>
  <c r="P182" i="29"/>
  <c r="I179" i="26"/>
  <c r="I180" i="26" s="1"/>
  <c r="I607" i="26"/>
  <c r="G617" i="26" s="1"/>
  <c r="H105" i="26" s="1"/>
  <c r="H213" i="26" s="1"/>
  <c r="H62" i="19"/>
  <c r="I95" i="19"/>
  <c r="I225" i="19" s="1"/>
  <c r="H428" i="19"/>
  <c r="I428" i="19" s="1"/>
  <c r="G438" i="19" s="1"/>
  <c r="H438" i="19"/>
  <c r="H106" i="19"/>
  <c r="I710" i="19"/>
  <c r="G720" i="19" s="1"/>
  <c r="I720" i="19" s="1"/>
  <c r="I128" i="26"/>
  <c r="E78" i="8" s="1"/>
  <c r="E98" i="8" s="1"/>
  <c r="I683" i="26"/>
  <c r="G693" i="26" s="1"/>
  <c r="G692" i="26"/>
  <c r="J116" i="26"/>
  <c r="J224" i="26" s="1"/>
  <c r="I115" i="26"/>
  <c r="H685" i="26"/>
  <c r="C715" i="26" s="1"/>
  <c r="I94" i="26"/>
  <c r="I202" i="26" s="1"/>
  <c r="G536" i="26"/>
  <c r="H534" i="26"/>
  <c r="I290" i="26"/>
  <c r="G300" i="26" s="1"/>
  <c r="I300" i="26" s="1"/>
  <c r="R103" i="26"/>
  <c r="M283" i="26"/>
  <c r="G292" i="26" s="1"/>
  <c r="H302" i="26" s="1"/>
  <c r="L283" i="26"/>
  <c r="K284" i="26"/>
  <c r="G299" i="26"/>
  <c r="H129" i="26"/>
  <c r="D79" i="8" s="1"/>
  <c r="D99" i="8" s="1"/>
  <c r="H146" i="26"/>
  <c r="H236" i="26" s="1"/>
  <c r="G38" i="26"/>
  <c r="G129" i="26" s="1"/>
  <c r="C79" i="8" s="1"/>
  <c r="H291" i="26"/>
  <c r="I38" i="26" s="1"/>
  <c r="I146" i="26" s="1"/>
  <c r="G212" i="26"/>
  <c r="R61" i="26"/>
  <c r="G169" i="26"/>
  <c r="R169" i="26" s="1"/>
  <c r="I235" i="26"/>
  <c r="I212" i="26"/>
  <c r="R211" i="26"/>
  <c r="M601" i="26"/>
  <c r="H39" i="26"/>
  <c r="I608" i="26"/>
  <c r="H609" i="26"/>
  <c r="I609" i="26" s="1"/>
  <c r="G619" i="26" s="1"/>
  <c r="G611" i="26"/>
  <c r="H191" i="19"/>
  <c r="G193" i="19"/>
  <c r="G203" i="19"/>
  <c r="G282" i="19" s="1"/>
  <c r="H215" i="19"/>
  <c r="R224" i="19"/>
  <c r="H235" i="19"/>
  <c r="R105" i="19"/>
  <c r="J213" i="19"/>
  <c r="R83" i="19"/>
  <c r="R94" i="19"/>
  <c r="I645" i="19"/>
  <c r="H96" i="19"/>
  <c r="H226" i="19" s="1"/>
  <c r="I61" i="19"/>
  <c r="K421" i="19"/>
  <c r="L420" i="19"/>
  <c r="J61" i="19" s="1"/>
  <c r="J191" i="19" s="1"/>
  <c r="M420" i="19"/>
  <c r="I719" i="19"/>
  <c r="G107" i="19"/>
  <c r="H341" i="19"/>
  <c r="C370" i="19" s="1"/>
  <c r="I646" i="19"/>
  <c r="I96" i="19"/>
  <c r="I348" i="19"/>
  <c r="I437" i="19"/>
  <c r="H63" i="19"/>
  <c r="G796" i="19"/>
  <c r="I788" i="19"/>
  <c r="H502" i="19"/>
  <c r="H73" i="19" s="1"/>
  <c r="G74" i="19"/>
  <c r="M629" i="19"/>
  <c r="G637" i="19"/>
  <c r="H647" i="19" s="1"/>
  <c r="H570" i="19"/>
  <c r="J84" i="19" s="1"/>
  <c r="R84" i="19" s="1"/>
  <c r="G572" i="19"/>
  <c r="I339" i="19"/>
  <c r="G349" i="19" s="1"/>
  <c r="L494" i="19"/>
  <c r="I72" i="19" s="1"/>
  <c r="I202" i="19" s="1"/>
  <c r="M494" i="19"/>
  <c r="G503" i="19" s="1"/>
  <c r="K495" i="19"/>
  <c r="D216" i="5" l="1"/>
  <c r="B20" i="4" s="1"/>
  <c r="H281" i="19"/>
  <c r="J37" i="26"/>
  <c r="R37" i="26" s="1"/>
  <c r="R128" i="26" s="1"/>
  <c r="H153" i="19"/>
  <c r="D44" i="7" s="1"/>
  <c r="J259" i="19"/>
  <c r="R259" i="19" s="1"/>
  <c r="R258" i="19"/>
  <c r="R169" i="19"/>
  <c r="J171" i="19"/>
  <c r="I191" i="19"/>
  <c r="I281" i="19" s="1"/>
  <c r="I152" i="19"/>
  <c r="E43" i="7" s="1"/>
  <c r="E63" i="7" s="1"/>
  <c r="H712" i="19"/>
  <c r="I712" i="19" s="1"/>
  <c r="C62" i="7"/>
  <c r="N42" i="7"/>
  <c r="P42" i="7" s="1"/>
  <c r="G714" i="19"/>
  <c r="H548" i="29"/>
  <c r="I548" i="29" s="1"/>
  <c r="C120" i="22"/>
  <c r="P172" i="29"/>
  <c r="G198" i="29"/>
  <c r="H151" i="29"/>
  <c r="P151" i="29" s="1"/>
  <c r="P198" i="29" s="1"/>
  <c r="H109" i="29"/>
  <c r="D102" i="22" s="1"/>
  <c r="I546" i="29"/>
  <c r="M382" i="29"/>
  <c r="G390" i="29"/>
  <c r="P202" i="29"/>
  <c r="P203" i="29"/>
  <c r="J179" i="26"/>
  <c r="R179" i="26" s="1"/>
  <c r="R71" i="26"/>
  <c r="I617" i="26"/>
  <c r="I685" i="26"/>
  <c r="I291" i="26"/>
  <c r="G301" i="26" s="1"/>
  <c r="I62" i="19"/>
  <c r="H503" i="19"/>
  <c r="I73" i="19" s="1"/>
  <c r="H513" i="19"/>
  <c r="G696" i="26"/>
  <c r="I543" i="26"/>
  <c r="I693" i="26"/>
  <c r="I690" i="26"/>
  <c r="G116" i="26"/>
  <c r="I223" i="26"/>
  <c r="R115" i="26"/>
  <c r="I116" i="26"/>
  <c r="R72" i="26"/>
  <c r="I534" i="26"/>
  <c r="H536" i="26"/>
  <c r="C566" i="26" s="1"/>
  <c r="J93" i="26"/>
  <c r="M284" i="26"/>
  <c r="I299" i="26"/>
  <c r="H292" i="26"/>
  <c r="J38" i="26" s="1"/>
  <c r="R38" i="26" s="1"/>
  <c r="I39" i="26"/>
  <c r="I147" i="26" s="1"/>
  <c r="G146" i="26"/>
  <c r="J145" i="26"/>
  <c r="G294" i="26"/>
  <c r="J105" i="26"/>
  <c r="H130" i="26"/>
  <c r="D80" i="8" s="1"/>
  <c r="H147" i="26"/>
  <c r="G105" i="26"/>
  <c r="G213" i="26" s="1"/>
  <c r="J104" i="26"/>
  <c r="H611" i="26"/>
  <c r="C640" i="26" s="1"/>
  <c r="G618" i="26"/>
  <c r="I611" i="26"/>
  <c r="I616" i="26"/>
  <c r="G237" i="19"/>
  <c r="G281" i="19" s="1"/>
  <c r="R40" i="19"/>
  <c r="H236" i="19"/>
  <c r="R235" i="19"/>
  <c r="G204" i="19"/>
  <c r="H203" i="19"/>
  <c r="I226" i="19"/>
  <c r="R170" i="19"/>
  <c r="J214" i="19"/>
  <c r="R213" i="19"/>
  <c r="R61" i="19"/>
  <c r="H192" i="19"/>
  <c r="R191" i="19"/>
  <c r="I438" i="19"/>
  <c r="I63" i="19"/>
  <c r="G429" i="19"/>
  <c r="H439" i="19" s="1"/>
  <c r="M421" i="19"/>
  <c r="I644" i="19"/>
  <c r="G96" i="19"/>
  <c r="G154" i="19" s="1"/>
  <c r="I502" i="19"/>
  <c r="G512" i="19" s="1"/>
  <c r="G799" i="19"/>
  <c r="I107" i="19"/>
  <c r="I237" i="19" s="1"/>
  <c r="I511" i="19"/>
  <c r="H637" i="19"/>
  <c r="J95" i="19" s="1"/>
  <c r="G639" i="19"/>
  <c r="I570" i="19"/>
  <c r="H572" i="19"/>
  <c r="C594" i="19" s="1"/>
  <c r="G352" i="19"/>
  <c r="L495" i="19"/>
  <c r="J72" i="19" s="1"/>
  <c r="J152" i="19" s="1"/>
  <c r="M495" i="19"/>
  <c r="K496" i="19"/>
  <c r="J128" i="26" l="1"/>
  <c r="F78" i="8" s="1"/>
  <c r="F98" i="8" s="1"/>
  <c r="R127" i="26"/>
  <c r="G127" i="26"/>
  <c r="C77" i="8" s="1"/>
  <c r="H282" i="19"/>
  <c r="J106" i="19"/>
  <c r="R106" i="19" s="1"/>
  <c r="H714" i="19"/>
  <c r="C743" i="19" s="1"/>
  <c r="I192" i="19"/>
  <c r="I193" i="19" s="1"/>
  <c r="I153" i="19"/>
  <c r="E44" i="7" s="1"/>
  <c r="N62" i="7"/>
  <c r="C63" i="7"/>
  <c r="I503" i="19"/>
  <c r="G513" i="19" s="1"/>
  <c r="I513" i="19" s="1"/>
  <c r="H387" i="29"/>
  <c r="I387" i="29" s="1"/>
  <c r="H549" i="29"/>
  <c r="D120" i="22"/>
  <c r="L120" i="22" s="1"/>
  <c r="H198" i="29"/>
  <c r="L102" i="22"/>
  <c r="I549" i="29"/>
  <c r="J549" i="29" s="1"/>
  <c r="J180" i="26"/>
  <c r="R180" i="26" s="1"/>
  <c r="I619" i="26"/>
  <c r="I692" i="26"/>
  <c r="I696" i="26" s="1"/>
  <c r="H696" i="26"/>
  <c r="C716" i="26" s="1"/>
  <c r="R116" i="26"/>
  <c r="G224" i="26"/>
  <c r="I224" i="26"/>
  <c r="R223" i="26"/>
  <c r="J201" i="26"/>
  <c r="R93" i="26"/>
  <c r="G544" i="26"/>
  <c r="I536" i="26"/>
  <c r="H294" i="26"/>
  <c r="C323" i="26" s="1"/>
  <c r="I292" i="26"/>
  <c r="G302" i="26" s="1"/>
  <c r="G305" i="26" s="1"/>
  <c r="I301" i="26"/>
  <c r="G236" i="26"/>
  <c r="R145" i="26"/>
  <c r="R235" i="26" s="1"/>
  <c r="J146" i="26"/>
  <c r="J235" i="26"/>
  <c r="G39" i="26"/>
  <c r="D83" i="8"/>
  <c r="D67" i="8" s="1"/>
  <c r="D100" i="8"/>
  <c r="H237" i="26"/>
  <c r="I618" i="26"/>
  <c r="G622" i="26"/>
  <c r="I129" i="26"/>
  <c r="E79" i="8" s="1"/>
  <c r="J129" i="26"/>
  <c r="F79" i="8" s="1"/>
  <c r="J212" i="26"/>
  <c r="R104" i="26"/>
  <c r="I349" i="19"/>
  <c r="I352" i="19" s="1"/>
  <c r="R171" i="19"/>
  <c r="J202" i="19"/>
  <c r="J281" i="19" s="1"/>
  <c r="R72" i="19"/>
  <c r="R152" i="19" s="1"/>
  <c r="R41" i="19"/>
  <c r="H237" i="19"/>
  <c r="G226" i="19"/>
  <c r="G283" i="19" s="1"/>
  <c r="H193" i="19"/>
  <c r="R214" i="19"/>
  <c r="R95" i="19"/>
  <c r="J225" i="19"/>
  <c r="J236" i="19"/>
  <c r="R236" i="19" s="1"/>
  <c r="I203" i="19"/>
  <c r="I721" i="19"/>
  <c r="H799" i="19"/>
  <c r="C819" i="19" s="1"/>
  <c r="G296" i="19" s="1"/>
  <c r="D169" i="5" s="1"/>
  <c r="J118" i="19"/>
  <c r="I74" i="19"/>
  <c r="C45" i="7"/>
  <c r="D64" i="7"/>
  <c r="H429" i="19"/>
  <c r="G431" i="19"/>
  <c r="I796" i="19"/>
  <c r="I799" i="19" s="1"/>
  <c r="G722" i="19"/>
  <c r="I714" i="19"/>
  <c r="M496" i="19"/>
  <c r="G504" i="19"/>
  <c r="H514" i="19" s="1"/>
  <c r="H74" i="19"/>
  <c r="H154" i="19" s="1"/>
  <c r="I637" i="19"/>
  <c r="H639" i="19"/>
  <c r="C669" i="19" s="1"/>
  <c r="G580" i="19"/>
  <c r="I572" i="19"/>
  <c r="H352" i="19"/>
  <c r="C371" i="19" s="1"/>
  <c r="G250" i="26" l="1"/>
  <c r="D172" i="5" s="1"/>
  <c r="E172" i="5" s="1"/>
  <c r="B54" i="4"/>
  <c r="H388" i="29"/>
  <c r="F99" i="8"/>
  <c r="N78" i="8"/>
  <c r="P78" i="8" s="1"/>
  <c r="H240" i="26"/>
  <c r="C97" i="8"/>
  <c r="N77" i="8"/>
  <c r="P77" i="8" s="1"/>
  <c r="I282" i="19"/>
  <c r="R118" i="19"/>
  <c r="J248" i="19"/>
  <c r="R248" i="19" s="1"/>
  <c r="I154" i="19"/>
  <c r="E45" i="7" s="1"/>
  <c r="E48" i="7" s="1"/>
  <c r="E32" i="7" s="1"/>
  <c r="F43" i="7"/>
  <c r="F63" i="7" s="1"/>
  <c r="N63" i="7" s="1"/>
  <c r="E64" i="7"/>
  <c r="N102" i="22"/>
  <c r="K546" i="29"/>
  <c r="I622" i="26"/>
  <c r="I294" i="26"/>
  <c r="R129" i="26"/>
  <c r="R224" i="26"/>
  <c r="G547" i="26"/>
  <c r="I544" i="26"/>
  <c r="I547" i="26" s="1"/>
  <c r="R201" i="26"/>
  <c r="J39" i="26"/>
  <c r="R39" i="26" s="1"/>
  <c r="I302" i="26"/>
  <c r="I305" i="26" s="1"/>
  <c r="H305" i="26"/>
  <c r="C324" i="26" s="1"/>
  <c r="G147" i="26"/>
  <c r="R146" i="26"/>
  <c r="E99" i="8"/>
  <c r="N79" i="8"/>
  <c r="J213" i="26"/>
  <c r="R212" i="26"/>
  <c r="J236" i="26"/>
  <c r="I236" i="26"/>
  <c r="I105" i="26"/>
  <c r="H622" i="26"/>
  <c r="C641" i="26" s="1"/>
  <c r="G130" i="26"/>
  <c r="C80" i="8" s="1"/>
  <c r="R225" i="19"/>
  <c r="R202" i="19"/>
  <c r="R281" i="19" s="1"/>
  <c r="I204" i="19"/>
  <c r="I283" i="19" s="1"/>
  <c r="H204" i="19"/>
  <c r="H283" i="19" s="1"/>
  <c r="D45" i="7"/>
  <c r="D48" i="7" s="1"/>
  <c r="J62" i="19"/>
  <c r="H431" i="19"/>
  <c r="C461" i="19" s="1"/>
  <c r="I429" i="19"/>
  <c r="J107" i="19"/>
  <c r="R107" i="19" s="1"/>
  <c r="G725" i="19"/>
  <c r="I512" i="19"/>
  <c r="H504" i="19"/>
  <c r="J73" i="19" s="1"/>
  <c r="R73" i="19" s="1"/>
  <c r="G506" i="19"/>
  <c r="G647" i="19"/>
  <c r="I639" i="19"/>
  <c r="G583" i="19"/>
  <c r="H359" i="19"/>
  <c r="C372" i="19" s="1"/>
  <c r="G359" i="19"/>
  <c r="I388" i="29" l="1"/>
  <c r="H389" i="29"/>
  <c r="G247" i="26"/>
  <c r="D27" i="5" s="1"/>
  <c r="N97" i="8"/>
  <c r="C98" i="8"/>
  <c r="E65" i="7"/>
  <c r="J153" i="19"/>
  <c r="F44" i="7" s="1"/>
  <c r="I286" i="19"/>
  <c r="N43" i="7"/>
  <c r="P43" i="7" s="1"/>
  <c r="R236" i="26"/>
  <c r="L546" i="29"/>
  <c r="G89" i="29" s="1"/>
  <c r="M546" i="29"/>
  <c r="K547" i="29"/>
  <c r="J147" i="26"/>
  <c r="R147" i="26" s="1"/>
  <c r="H547" i="26"/>
  <c r="C567" i="26" s="1"/>
  <c r="J94" i="26"/>
  <c r="J130" i="26" s="1"/>
  <c r="F80" i="8" s="1"/>
  <c r="P79" i="8"/>
  <c r="C83" i="8"/>
  <c r="I213" i="26"/>
  <c r="R213" i="26" s="1"/>
  <c r="R105" i="26"/>
  <c r="G237" i="26"/>
  <c r="J237" i="19"/>
  <c r="R237" i="19" s="1"/>
  <c r="R62" i="19"/>
  <c r="R153" i="19" s="1"/>
  <c r="J192" i="19"/>
  <c r="J203" i="19"/>
  <c r="D32" i="7"/>
  <c r="D65" i="7"/>
  <c r="G439" i="19"/>
  <c r="I431" i="19"/>
  <c r="H583" i="19"/>
  <c r="C595" i="19" s="1"/>
  <c r="J85" i="19"/>
  <c r="I722" i="19"/>
  <c r="I725" i="19" s="1"/>
  <c r="H725" i="19"/>
  <c r="C744" i="19" s="1"/>
  <c r="I580" i="19"/>
  <c r="I583" i="19" s="1"/>
  <c r="I504" i="19"/>
  <c r="H506" i="19"/>
  <c r="C527" i="19" s="1"/>
  <c r="J96" i="19"/>
  <c r="G650" i="19"/>
  <c r="I359" i="19"/>
  <c r="G249" i="26" l="1"/>
  <c r="D122" i="5" s="1"/>
  <c r="E122" i="5" s="1"/>
  <c r="B39" i="4"/>
  <c r="I389" i="29"/>
  <c r="I390" i="29" s="1"/>
  <c r="J390" i="29" s="1"/>
  <c r="H390" i="29"/>
  <c r="E27" i="5"/>
  <c r="C99" i="8"/>
  <c r="N98" i="8"/>
  <c r="J282" i="19"/>
  <c r="E186" i="5"/>
  <c r="E221" i="5" s="1"/>
  <c r="B25" i="4"/>
  <c r="B22" i="4"/>
  <c r="E67" i="5"/>
  <c r="F83" i="8"/>
  <c r="F67" i="8" s="1"/>
  <c r="F100" i="8"/>
  <c r="G179" i="29"/>
  <c r="L547" i="29"/>
  <c r="H89" i="29" s="1"/>
  <c r="H179" i="29" s="1"/>
  <c r="M547" i="29"/>
  <c r="G555" i="29" s="1"/>
  <c r="H564" i="29" s="1"/>
  <c r="G554" i="29"/>
  <c r="H563" i="29" s="1"/>
  <c r="K548" i="29"/>
  <c r="K549" i="29" s="1"/>
  <c r="H286" i="19"/>
  <c r="R94" i="26"/>
  <c r="R130" i="26" s="1"/>
  <c r="J202" i="26"/>
  <c r="C67" i="8"/>
  <c r="I130" i="26"/>
  <c r="E80" i="8" s="1"/>
  <c r="R192" i="19"/>
  <c r="R96" i="19"/>
  <c r="J226" i="19"/>
  <c r="R226" i="19" s="1"/>
  <c r="R85" i="19"/>
  <c r="J215" i="19"/>
  <c r="R215" i="19" s="1"/>
  <c r="R203" i="19"/>
  <c r="I439" i="19"/>
  <c r="I442" i="19" s="1"/>
  <c r="G442" i="19"/>
  <c r="F64" i="7"/>
  <c r="G514" i="19"/>
  <c r="H523" i="19" s="1"/>
  <c r="C529" i="19" s="1"/>
  <c r="I506" i="19"/>
  <c r="I647" i="19"/>
  <c r="I650" i="19" s="1"/>
  <c r="H650" i="19"/>
  <c r="C670" i="19" s="1"/>
  <c r="G295" i="19" s="1"/>
  <c r="D119" i="5" s="1"/>
  <c r="E119" i="5" s="1"/>
  <c r="G252" i="26" l="1"/>
  <c r="K387" i="29"/>
  <c r="K388" i="29" s="1"/>
  <c r="D219" i="5"/>
  <c r="B23" i="4" s="1"/>
  <c r="N99" i="8"/>
  <c r="C100" i="8"/>
  <c r="R282" i="19"/>
  <c r="E62" i="5" s="1"/>
  <c r="E61" i="5" s="1"/>
  <c r="E219" i="5"/>
  <c r="C23" i="4" s="1"/>
  <c r="E22" i="4"/>
  <c r="C22" i="4"/>
  <c r="C25" i="4"/>
  <c r="E242" i="5"/>
  <c r="E25" i="4" s="1"/>
  <c r="E169" i="5"/>
  <c r="E220" i="5" s="1"/>
  <c r="D220" i="5"/>
  <c r="B24" i="4" s="1"/>
  <c r="H554" i="29"/>
  <c r="G91" i="29"/>
  <c r="H555" i="29"/>
  <c r="H91" i="29"/>
  <c r="L548" i="29"/>
  <c r="I89" i="29" s="1"/>
  <c r="M548" i="29"/>
  <c r="G240" i="26"/>
  <c r="R202" i="26"/>
  <c r="J237" i="26"/>
  <c r="J240" i="26" s="1"/>
  <c r="E83" i="8"/>
  <c r="E100" i="8"/>
  <c r="N80" i="8"/>
  <c r="I237" i="26"/>
  <c r="J63" i="19"/>
  <c r="H442" i="19"/>
  <c r="C462" i="19" s="1"/>
  <c r="G517" i="19"/>
  <c r="L388" i="29" l="1"/>
  <c r="H62" i="29" s="1"/>
  <c r="M388" i="29"/>
  <c r="G396" i="29" s="1"/>
  <c r="K389" i="29"/>
  <c r="K390" i="29" s="1"/>
  <c r="L387" i="29"/>
  <c r="G62" i="29" s="1"/>
  <c r="M387" i="29"/>
  <c r="G395" i="29" s="1"/>
  <c r="N100" i="8"/>
  <c r="D68" i="5" s="1"/>
  <c r="D67" i="5"/>
  <c r="E240" i="5"/>
  <c r="E23" i="4" s="1"/>
  <c r="C21" i="4"/>
  <c r="B21" i="4"/>
  <c r="C24" i="4"/>
  <c r="E241" i="5"/>
  <c r="E24" i="4" s="1"/>
  <c r="I555" i="29"/>
  <c r="G564" i="29" s="1"/>
  <c r="I564" i="29" s="1"/>
  <c r="H90" i="29"/>
  <c r="H180" i="29" s="1"/>
  <c r="H181" i="29" s="1"/>
  <c r="I179" i="29"/>
  <c r="P89" i="29"/>
  <c r="I554" i="29"/>
  <c r="G563" i="29" s="1"/>
  <c r="G90" i="29"/>
  <c r="G556" i="29"/>
  <c r="H565" i="29" s="1"/>
  <c r="M549" i="29"/>
  <c r="R237" i="26"/>
  <c r="E68" i="5" s="1"/>
  <c r="E66" i="5" s="1"/>
  <c r="P80" i="8"/>
  <c r="P83" i="8" s="1"/>
  <c r="N83" i="8"/>
  <c r="E67" i="8"/>
  <c r="R63" i="19"/>
  <c r="J193" i="19"/>
  <c r="H517" i="19"/>
  <c r="C528" i="19" s="1"/>
  <c r="G293" i="19" s="1"/>
  <c r="J74" i="19"/>
  <c r="J154" i="19" s="1"/>
  <c r="F45" i="7" s="1"/>
  <c r="I514" i="19"/>
  <c r="I341" i="19"/>
  <c r="N44" i="7"/>
  <c r="C64" i="7"/>
  <c r="N64" i="7" s="1"/>
  <c r="D62" i="5" s="1"/>
  <c r="C48" i="7"/>
  <c r="C32" i="7" s="1"/>
  <c r="G152" i="29" l="1"/>
  <c r="G110" i="29"/>
  <c r="C103" i="22" s="1"/>
  <c r="C121" i="22" s="1"/>
  <c r="L389" i="29"/>
  <c r="I62" i="29" s="1"/>
  <c r="M389" i="29"/>
  <c r="G397" i="29" s="1"/>
  <c r="G399" i="29" s="1"/>
  <c r="H405" i="29"/>
  <c r="H64" i="29" s="1"/>
  <c r="H112" i="29" s="1"/>
  <c r="D105" i="22" s="1"/>
  <c r="H396" i="29"/>
  <c r="H404" i="29"/>
  <c r="G64" i="29" s="1"/>
  <c r="G112" i="29" s="1"/>
  <c r="C105" i="22" s="1"/>
  <c r="H395" i="29"/>
  <c r="G63" i="29" s="1"/>
  <c r="H152" i="29"/>
  <c r="H199" i="29" s="1"/>
  <c r="H110" i="29"/>
  <c r="D103" i="22" s="1"/>
  <c r="D121" i="22" s="1"/>
  <c r="D24" i="5"/>
  <c r="E24" i="5" s="1"/>
  <c r="G299" i="19"/>
  <c r="D66" i="5"/>
  <c r="D83" i="5" s="1"/>
  <c r="E92" i="5"/>
  <c r="E216" i="5" s="1"/>
  <c r="E237" i="5" s="1"/>
  <c r="E65" i="5"/>
  <c r="E83" i="5"/>
  <c r="G180" i="29"/>
  <c r="G111" i="29"/>
  <c r="C104" i="22" s="1"/>
  <c r="P179" i="29"/>
  <c r="H556" i="29"/>
  <c r="G558" i="29"/>
  <c r="I563" i="29"/>
  <c r="I240" i="26"/>
  <c r="I517" i="19"/>
  <c r="G286" i="19"/>
  <c r="N67" i="8"/>
  <c r="R74" i="19"/>
  <c r="R154" i="19" s="1"/>
  <c r="J204" i="19"/>
  <c r="R204" i="19" s="1"/>
  <c r="R193" i="19"/>
  <c r="R283" i="19" s="1"/>
  <c r="N45" i="7"/>
  <c r="P45" i="7" s="1"/>
  <c r="F48" i="7"/>
  <c r="F65" i="7"/>
  <c r="P44" i="7"/>
  <c r="C65" i="7"/>
  <c r="M390" i="29" l="1"/>
  <c r="I395" i="29"/>
  <c r="G404" i="29" s="1"/>
  <c r="I404" i="29" s="1"/>
  <c r="I152" i="29"/>
  <c r="I110" i="29"/>
  <c r="E103" i="22" s="1"/>
  <c r="E121" i="22" s="1"/>
  <c r="L121" i="22" s="1"/>
  <c r="I396" i="29"/>
  <c r="G405" i="29" s="1"/>
  <c r="I405" i="29" s="1"/>
  <c r="H63" i="29"/>
  <c r="P62" i="29"/>
  <c r="P199" i="29"/>
  <c r="H406" i="29"/>
  <c r="H397" i="29"/>
  <c r="P152" i="29"/>
  <c r="G153" i="29"/>
  <c r="G154" i="29" s="1"/>
  <c r="G199" i="29"/>
  <c r="D65" i="5"/>
  <c r="J283" i="19"/>
  <c r="E20" i="4"/>
  <c r="C20" i="4"/>
  <c r="H568" i="29"/>
  <c r="C580" i="29" s="1"/>
  <c r="B53" i="4" s="1"/>
  <c r="I91" i="29"/>
  <c r="G181" i="29"/>
  <c r="H558" i="29"/>
  <c r="C579" i="29" s="1"/>
  <c r="I90" i="29"/>
  <c r="C108" i="22"/>
  <c r="C94" i="22" s="1"/>
  <c r="C122" i="22"/>
  <c r="I556" i="29"/>
  <c r="R240" i="26"/>
  <c r="I523" i="19"/>
  <c r="G523" i="19"/>
  <c r="N65" i="7"/>
  <c r="D61" i="5" s="1"/>
  <c r="N48" i="7"/>
  <c r="N32" i="7" s="1"/>
  <c r="P48" i="7"/>
  <c r="F32" i="7"/>
  <c r="G200" i="29" l="1"/>
  <c r="L103" i="22"/>
  <c r="N103" i="22" s="1"/>
  <c r="I64" i="29"/>
  <c r="P64" i="29" s="1"/>
  <c r="H408" i="29"/>
  <c r="C413" i="29" s="1"/>
  <c r="I63" i="29"/>
  <c r="P63" i="29" s="1"/>
  <c r="I397" i="29"/>
  <c r="G406" i="29" s="1"/>
  <c r="I406" i="29" s="1"/>
  <c r="I408" i="29" s="1"/>
  <c r="H399" i="29"/>
  <c r="C412" i="29" s="1"/>
  <c r="H153" i="29"/>
  <c r="H111" i="29"/>
  <c r="D104" i="22" s="1"/>
  <c r="I199" i="29"/>
  <c r="I111" i="29"/>
  <c r="E104" i="22" s="1"/>
  <c r="I180" i="29"/>
  <c r="P90" i="29"/>
  <c r="C123" i="22"/>
  <c r="G201" i="29"/>
  <c r="G204" i="29" s="1"/>
  <c r="P91" i="29"/>
  <c r="G565" i="29"/>
  <c r="I558" i="29"/>
  <c r="G408" i="29"/>
  <c r="J286" i="19"/>
  <c r="R286" i="19"/>
  <c r="G211" i="29" l="1"/>
  <c r="G216" i="29" s="1"/>
  <c r="I153" i="29"/>
  <c r="I154" i="29" s="1"/>
  <c r="I112" i="29"/>
  <c r="E105" i="22" s="1"/>
  <c r="L105" i="22" s="1"/>
  <c r="N105" i="22" s="1"/>
  <c r="I399" i="29"/>
  <c r="D108" i="22"/>
  <c r="D94" i="22" s="1"/>
  <c r="D122" i="22"/>
  <c r="D123" i="22" s="1"/>
  <c r="H200" i="29"/>
  <c r="H154" i="29"/>
  <c r="P153" i="29"/>
  <c r="I181" i="29"/>
  <c r="P180" i="29"/>
  <c r="P112" i="29"/>
  <c r="P110" i="29"/>
  <c r="P111" i="29"/>
  <c r="L104" i="22"/>
  <c r="E122" i="22"/>
  <c r="I565" i="29"/>
  <c r="I568" i="29" s="1"/>
  <c r="G568" i="29"/>
  <c r="D30" i="5" l="1"/>
  <c r="E30" i="5" s="1"/>
  <c r="I200" i="29"/>
  <c r="E108" i="22"/>
  <c r="E94" i="22" s="1"/>
  <c r="H201" i="29"/>
  <c r="H204" i="29" s="1"/>
  <c r="P154" i="29"/>
  <c r="E123" i="22"/>
  <c r="L123" i="22" s="1"/>
  <c r="L122" i="22"/>
  <c r="P181" i="29"/>
  <c r="P200" i="29" s="1"/>
  <c r="I201" i="29"/>
  <c r="N104" i="22"/>
  <c r="N108" i="22" s="1"/>
  <c r="L108" i="22"/>
  <c r="L94" i="22" s="1"/>
  <c r="I204" i="29" l="1"/>
  <c r="D73" i="5"/>
  <c r="E73" i="5"/>
  <c r="D74" i="5"/>
  <c r="P201" i="29"/>
  <c r="E74" i="5" s="1"/>
  <c r="E72" i="5" l="1"/>
  <c r="E71" i="5" s="1"/>
  <c r="E215" i="5" s="1"/>
  <c r="P204" i="29"/>
  <c r="D72" i="5"/>
  <c r="D71" i="5" s="1"/>
  <c r="D215" i="5" l="1"/>
  <c r="E236" i="5" s="1"/>
  <c r="B36" i="4"/>
  <c r="B56" i="4" s="1"/>
  <c r="B58" i="4" s="1"/>
  <c r="C19" i="4"/>
  <c r="C27" i="4" s="1"/>
  <c r="E223" i="5"/>
  <c r="D223" i="5" l="1"/>
  <c r="B19" i="4"/>
  <c r="B27" i="4" s="1"/>
  <c r="E235" i="5" l="1"/>
  <c r="E19" i="4"/>
  <c r="E27" i="4" s="1"/>
</calcChain>
</file>

<file path=xl/sharedStrings.xml><?xml version="1.0" encoding="utf-8"?>
<sst xmlns="http://schemas.openxmlformats.org/spreadsheetml/2006/main" count="1759" uniqueCount="466">
  <si>
    <t>Budget</t>
  </si>
  <si>
    <t>Realiteit</t>
  </si>
  <si>
    <t>boekjaar</t>
  </si>
  <si>
    <t>Codes</t>
  </si>
  <si>
    <t>+</t>
  </si>
  <si>
    <t>Aangekochte GSC</t>
  </si>
  <si>
    <t>Aangekochte WKC</t>
  </si>
  <si>
    <t>Verkochte GSC</t>
  </si>
  <si>
    <t>-</t>
  </si>
  <si>
    <t>Verkochte WKC</t>
  </si>
  <si>
    <t>DISTRIBUTIENETBEHEERDER :</t>
  </si>
  <si>
    <t>ONDERNEMINGSNUMMER:</t>
  </si>
  <si>
    <t>In het kader van volgende reguleringsperiode:</t>
  </si>
  <si>
    <t>van</t>
  </si>
  <si>
    <t>tot en met</t>
  </si>
  <si>
    <t>Distributienetbeheerder:</t>
  </si>
  <si>
    <t>Activiteit:</t>
  </si>
  <si>
    <t>jaar</t>
  </si>
  <si>
    <t>INVLOED OP HET RESULTAAT</t>
  </si>
  <si>
    <t>Saldo van het jaar</t>
  </si>
  <si>
    <t>TOTAAL</t>
  </si>
  <si>
    <r>
      <rPr>
        <b/>
        <sz val="10"/>
        <rFont val="Arial"/>
        <family val="2"/>
      </rPr>
      <t>Boeking</t>
    </r>
    <r>
      <rPr>
        <sz val="10"/>
        <rFont val="Arial"/>
        <family val="2"/>
      </rPr>
      <t xml:space="preserve"> van het saldo </t>
    </r>
    <r>
      <rPr>
        <sz val="10"/>
        <rFont val="Arial"/>
        <family val="2"/>
      </rPr>
      <t>in het resultaat van het exploitatiejaar</t>
    </r>
  </si>
  <si>
    <t>Totaal</t>
  </si>
  <si>
    <t>(1)</t>
  </si>
  <si>
    <t>(2)</t>
  </si>
  <si>
    <t xml:space="preserve">in het </t>
  </si>
  <si>
    <t xml:space="preserve">resultaat </t>
  </si>
  <si>
    <t xml:space="preserve">    Totale jaarlijkse impact</t>
  </si>
  <si>
    <t xml:space="preserve">    op de resultaten</t>
  </si>
  <si>
    <t>Overlopende rekeningen</t>
  </si>
  <si>
    <t>(+) Debet saldo</t>
  </si>
  <si>
    <t>Beslissing van de VREG</t>
  </si>
  <si>
    <t>(+) ==&gt; Teruggave overschot, verlaging van de tarieven;</t>
  </si>
  <si>
    <t xml:space="preserve">(-) ==&gt; Recuperatie tekort, verhoging van de tarieven </t>
  </si>
  <si>
    <t>Resterend saldo terug te nemen</t>
  </si>
  <si>
    <t>X</t>
  </si>
  <si>
    <t>Berekende of overgenomen waarde waarvoor dus geen manuele input vereist is</t>
  </si>
  <si>
    <t>Opmerking</t>
  </si>
  <si>
    <t xml:space="preserve">(-) ==&gt; Minder werkelijke exogene kosten dan werkelijke ontvangsten voor exogene kosten; </t>
  </si>
  <si>
    <t>(+) ==&gt; Meer werkelijke exogene kosten dan werkelijke ontvangsten voor exogene kosten.</t>
  </si>
  <si>
    <t>REGULATOIRE SALDI M.B.T. VOLUMEVERSCHILLEN</t>
  </si>
  <si>
    <t xml:space="preserve">(-) ==&gt; Minder werkelijke exogene kosten dan werkelijke ontvangsten voor exogene kosten (overschot); </t>
  </si>
  <si>
    <t xml:space="preserve">Lasten van niet-gekapitaliseerde pensioenen </t>
  </si>
  <si>
    <t>OPBRENGSTEN</t>
  </si>
  <si>
    <t>A. Omzet</t>
  </si>
  <si>
    <t>C. Geproduceerde vaste activa</t>
  </si>
  <si>
    <t>D. Andere bedrijfsopbrengsten</t>
  </si>
  <si>
    <t>KOSTEN</t>
  </si>
  <si>
    <t>A. Handelsgoederen, grond- en hulpstoffen</t>
  </si>
  <si>
    <t>B. Diensten en diverse goederen</t>
  </si>
  <si>
    <t>C. Bezoldigingen, sociale lasten en pensioenen</t>
  </si>
  <si>
    <t>631/4</t>
  </si>
  <si>
    <t>G. Andere bedrijfskosten</t>
  </si>
  <si>
    <t>640/8</t>
  </si>
  <si>
    <t>670/3</t>
  </si>
  <si>
    <t>Netbeheer elektriciteit</t>
  </si>
  <si>
    <t>Netbeheer gas</t>
  </si>
  <si>
    <t>Niet-gereguleerde activiteiten</t>
  </si>
  <si>
    <t>Totaal opbrengsten</t>
  </si>
  <si>
    <t>Totaal kosten</t>
  </si>
  <si>
    <t>Resultaat</t>
  </si>
  <si>
    <t>In te vullen door de distributienetbeheerder</t>
  </si>
  <si>
    <t>In te vullen door de VREG</t>
  </si>
  <si>
    <t>TABEL 7</t>
  </si>
  <si>
    <t>TABEL 8</t>
  </si>
  <si>
    <t>Tariefcomponent</t>
  </si>
  <si>
    <t>Het tarief voor het systeembeheer</t>
  </si>
  <si>
    <t>Het tarief voor openbare dienstverplichtingen</t>
  </si>
  <si>
    <t>(+) ==&gt; Tekort, meer kosten dan gebudgetteerd</t>
  </si>
  <si>
    <t>(-) ==&gt; Overschot, minder kosten dan gebudgetteerd</t>
  </si>
  <si>
    <t>1.</t>
  </si>
  <si>
    <t>2.</t>
  </si>
  <si>
    <t>Tarief openbare dienstverplichtingen</t>
  </si>
  <si>
    <t>3.</t>
  </si>
  <si>
    <t>Tarief reactieve energie</t>
  </si>
  <si>
    <t>4.</t>
  </si>
  <si>
    <t>Toeslagen</t>
  </si>
  <si>
    <t>5.</t>
  </si>
  <si>
    <t>Overdrachten en/of terugnames</t>
  </si>
  <si>
    <t>Gereguleerde activiteiten</t>
  </si>
  <si>
    <r>
      <t xml:space="preserve">Gelieve </t>
    </r>
    <r>
      <rPr>
        <b/>
        <i/>
        <sz val="10"/>
        <rFont val="Arial"/>
        <family val="2"/>
      </rPr>
      <t>positieve</t>
    </r>
    <r>
      <rPr>
        <i/>
        <sz val="10"/>
        <rFont val="Arial"/>
        <family val="2"/>
      </rPr>
      <t xml:space="preserve"> waarden in te geven (voor kosten indien debetsaldo en voor opbrengsten indien creditsaldo).</t>
    </r>
  </si>
  <si>
    <r>
      <t xml:space="preserve">Gelieve </t>
    </r>
    <r>
      <rPr>
        <b/>
        <i/>
        <sz val="10"/>
        <rFont val="Arial"/>
        <family val="2"/>
      </rPr>
      <t>positieve</t>
    </r>
    <r>
      <rPr>
        <i/>
        <sz val="10"/>
        <rFont val="Arial"/>
        <family val="2"/>
      </rPr>
      <t xml:space="preserve"> waarden in te geven (voor activa (indien debetsaldo), passiva (indien creditsaldo), kosten (indien debetsaldo) en opbrengsten (indien creditsaldo)), tenzij anders aangegeven in kolom B.</t>
    </r>
  </si>
  <si>
    <t>Aanvullend capaciteitstarief voor prosumenten met terugdraaiende teller</t>
  </si>
  <si>
    <t>Rapportering over boekjaren</t>
  </si>
  <si>
    <t>TABEL 4B</t>
  </si>
  <si>
    <t>OMSCHRIJVING RUBRIEKEN</t>
  </si>
  <si>
    <t>FORMULE</t>
  </si>
  <si>
    <t>Rapportering over boekjaar:</t>
  </si>
  <si>
    <t>Recuperatie van kosten van de openbaredienstverplichtingen m.b.t. het stimuleren van rationeel energiegebruik (REG):</t>
  </si>
  <si>
    <t>M.b.t. het basistarief voor het gebruik van het net</t>
  </si>
  <si>
    <t>M.b.t. het tarief voor het systeembeheer</t>
  </si>
  <si>
    <t>M.b.t. het tarief voor openbare dienstverplichtingen</t>
  </si>
  <si>
    <t>M.b.t. het tarief voor de compensatie van de netverliezen</t>
  </si>
  <si>
    <r>
      <rPr>
        <b/>
        <sz val="10"/>
        <rFont val="Arial"/>
        <family val="2"/>
      </rPr>
      <t>Terugname</t>
    </r>
    <r>
      <rPr>
        <sz val="10"/>
        <rFont val="Arial"/>
        <family val="2"/>
      </rPr>
      <t xml:space="preserve"> van het saldo in het resultaat van het exploitatiejaar (zoals vastgelegd in de tariefmethodologie)</t>
    </r>
  </si>
  <si>
    <t>Relatief aandeel endogene kosten (%)</t>
  </si>
  <si>
    <t>TABEL 5B</t>
  </si>
  <si>
    <t>Het tarief voor de compensatie van de netverliezen</t>
  </si>
  <si>
    <t>Controle met TABEL 4A:</t>
  </si>
  <si>
    <t>Controle met TABEL 5A:</t>
  </si>
  <si>
    <t>Opmerking:</t>
  </si>
  <si>
    <t>Afbouw regulatoir saldo inzake herindexering van het budget voor endogene kosten, zoals vastgelegd in de tariefmethodologie (positieve waarde voor recuperatie tekort, en omgekeerd)</t>
  </si>
  <si>
    <t>(-) ==&gt; Meer werkelijke ontvangsten dan budget endogene kosten (overschot)</t>
  </si>
  <si>
    <t>TABEL 6A: Opvolging regulatoir saldo inzake herindexering van het budget voor endogene kosten</t>
  </si>
  <si>
    <t>(-) ==&gt; Lagere inflatie dan verwacht (overschot)</t>
  </si>
  <si>
    <t>Evolutie saldo m.b.t. herindexering budget endogene kosten op overlopende rekeningen</t>
  </si>
  <si>
    <t>Boeking regulatoir saldo inzake herindexering budget endogene kosten per tariefcomponent</t>
  </si>
  <si>
    <t>Afgebouwd regulatoir saldo inzake herindexering endogene kosten per tariefcomponent</t>
  </si>
  <si>
    <t>Nog af te bouwen regulatoir saldo inzake herindexering budget endogene kosten per tariefcomponent</t>
  </si>
  <si>
    <t>Controle met TABEL 6A:</t>
  </si>
  <si>
    <t>TABEL 6B</t>
  </si>
  <si>
    <t>REGULATOIRE SALDI M.B.T. HERINDEXERING BUDGET ENDOGENE KOSTEN</t>
  </si>
  <si>
    <t>TABEL 7: Opvolging regulatoir saldo inzake vennootschapsbelasting</t>
  </si>
  <si>
    <t>Afbouw regulatoir saldo inzake vennootschapsbelasting, zoals vastgelegd in de tariefmethodologie (positieve waarde voor recuperatie tekort, en omgekeerd)</t>
  </si>
  <si>
    <t>Omschrijving</t>
  </si>
  <si>
    <t>ONDERBOUWING BUDGET</t>
  </si>
  <si>
    <t>TOTAAL EXOGENE KOSTEN</t>
  </si>
  <si>
    <t>Overzicht gerapporteerde waarden per tariefcomponent:</t>
  </si>
  <si>
    <t>TABEL 6B: Overzicht regulatoir saldo inzake herindexering van het budget voor endogene kosten per tariefcomponent</t>
  </si>
  <si>
    <r>
      <t xml:space="preserve">Kost m.b.t. de door Elia aan de distributienetbeheerder aangerekende vergoeding voor het gebruik van het transmissienet (elektriciteit) - </t>
    </r>
    <r>
      <rPr>
        <b/>
        <sz val="10"/>
        <rFont val="Arial"/>
        <family val="2"/>
      </rPr>
      <t xml:space="preserve">exclusief </t>
    </r>
    <r>
      <rPr>
        <sz val="10"/>
        <rFont val="Arial"/>
        <family val="2"/>
      </rPr>
      <t>federale bijdrage elektriciteit</t>
    </r>
  </si>
  <si>
    <r>
      <t xml:space="preserve">Kost m.b.t. de door een andere distributienetbeheerder (via doorvoer) aangerekende vergoeding voor het gebruik van het transmissienet (elektriciteit) - </t>
    </r>
    <r>
      <rPr>
        <b/>
        <sz val="10"/>
        <rFont val="Arial"/>
        <family val="2"/>
      </rPr>
      <t xml:space="preserve">exclusief </t>
    </r>
    <r>
      <rPr>
        <sz val="10"/>
        <rFont val="Arial"/>
        <family val="2"/>
      </rPr>
      <t>federale bijdrage elektriciteit</t>
    </r>
  </si>
  <si>
    <r>
      <t xml:space="preserve">Opbrengst uit de aan een andere distributienetbeheer (via doorvoer) aangerekende vergoeding voor het gebruik van het transmissienet (elektriciteit) - </t>
    </r>
    <r>
      <rPr>
        <b/>
        <sz val="10"/>
        <rFont val="Arial"/>
        <family val="2"/>
      </rPr>
      <t>exclusief</t>
    </r>
    <r>
      <rPr>
        <sz val="10"/>
        <rFont val="Arial"/>
        <family val="2"/>
      </rPr>
      <t xml:space="preserve"> federale bijdrage elektriciteit</t>
    </r>
  </si>
  <si>
    <t>Budget endogene kosten, volgens tariefvoorstel</t>
  </si>
  <si>
    <r>
      <t>Werkelijke inflatie jaar op jaar voor de maand juli van dat jaar (CPI</t>
    </r>
    <r>
      <rPr>
        <b/>
        <vertAlign val="subscript"/>
        <sz val="10"/>
        <rFont val="Arial"/>
        <family val="2"/>
      </rPr>
      <t>j</t>
    </r>
    <r>
      <rPr>
        <b/>
        <sz val="10"/>
        <rFont val="Arial"/>
        <family val="2"/>
      </rPr>
      <t>)</t>
    </r>
  </si>
  <si>
    <r>
      <t>Inflatie jaar op jaar voor de maand juli die in het jaar voordien werd verwacht, gehanteerd door de VREG bij vaststelling toegelaten inkomen voor het betreffende boekjaar (CPI</t>
    </r>
    <r>
      <rPr>
        <b/>
        <vertAlign val="subscript"/>
        <sz val="10"/>
        <rFont val="Arial"/>
        <family val="2"/>
      </rPr>
      <t>j,v</t>
    </r>
    <r>
      <rPr>
        <b/>
        <sz val="10"/>
        <rFont val="Arial"/>
        <family val="2"/>
      </rPr>
      <t>)</t>
    </r>
  </si>
  <si>
    <t>REGULATOIR SALDO VOLUMEVERSCHILLEN</t>
  </si>
  <si>
    <t>Totaal nog af te bouwen regulatoir saldo</t>
  </si>
  <si>
    <t>Totaal afgebouwd regulatoir saldo</t>
  </si>
  <si>
    <t>(+) ==&gt; Hogere inflatie dan verwacht (tekort);</t>
  </si>
  <si>
    <t>(+) ==&gt; Tekort, meer kosten dan gebudgetteerd;</t>
  </si>
  <si>
    <t>(-) ==&gt; Recuperatie tekort, verhoging van de tarieven ;</t>
  </si>
  <si>
    <t>(+) ==&gt; Teruggave overschot, verlaging van de tarieven</t>
  </si>
  <si>
    <t>(-) Credit saldo;</t>
  </si>
  <si>
    <t>(+) ==&gt; Minder werkelijke ontvangsten dan budget endogene kosten (tekort);</t>
  </si>
  <si>
    <t>(+) ==&gt; Meer werkelijke exogene kosten dan werkelijke ontvangsten voor exogene kosten (tekort)</t>
  </si>
  <si>
    <t>Evolutie saldo m.b.t. venootschapsbelasting op overlopende rekeningen</t>
  </si>
  <si>
    <t>Het eventueel voorschot zoals toegekend door de VREG en opgenomen in het tariefvoorstel</t>
  </si>
  <si>
    <t>Werkelijke ontvangsten m.b.t. endogene kosten</t>
  </si>
  <si>
    <t>De eventuele, geheel of gedeeltelijke, terugname van een eerder toegekend voorschot door de VREG en opgenomen in het tariefvoorstel</t>
  </si>
  <si>
    <t>6.</t>
  </si>
  <si>
    <t>Bepaling van het af te bouwen regulatoir saldo over boekjaar:</t>
  </si>
  <si>
    <t>Regulatoir saldo ontstaan in boekjaar</t>
  </si>
  <si>
    <t>Afbouw regulatoir saldo op te nemen in het toegelaten inkomen van boekjaar:</t>
  </si>
  <si>
    <t>OVERLOPENDE REKENINGEN</t>
  </si>
  <si>
    <t>GEREGULEERDE ACTIVITEIT :</t>
  </si>
  <si>
    <t>Bedrijfsopbrengsten</t>
  </si>
  <si>
    <t>Financiële opbrengsten</t>
  </si>
  <si>
    <t>B. Wijziging in de voorraad goederen in bewerking, gereed product en bestellingen in uitvoering (toename +, afname -)</t>
  </si>
  <si>
    <t>Regularisering van belastingen en terugneming van voorzieningen</t>
  </si>
  <si>
    <t>Onttrekkingen aan de belastingvrije reserves en uitgestelde belastingen</t>
  </si>
  <si>
    <t>Verlies van het boekjaar</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</si>
  <si>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</si>
  <si>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</si>
  <si>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</si>
  <si>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</si>
  <si>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Financiële kosten</t>
  </si>
  <si>
    <t>Overboeking naar de uitgestelde belastingen en naar de belastingvrije reserves</t>
  </si>
  <si>
    <t>Belastingen op het resultaat</t>
  </si>
  <si>
    <t>Winst van het boekjaar</t>
  </si>
  <si>
    <t>Gereguleerde activiteit:</t>
  </si>
  <si>
    <t>Endogene opbrengsten</t>
  </si>
  <si>
    <t>Exogene opbrengsten</t>
  </si>
  <si>
    <t>Overige opbrengsten</t>
  </si>
  <si>
    <t>Endogene kosten</t>
  </si>
  <si>
    <t>Exogene kosten</t>
  </si>
  <si>
    <t>Overige kosten</t>
  </si>
  <si>
    <t>TABEL 3: Detail inzake samenstelling exogene kosten</t>
  </si>
  <si>
    <t>Onderbouwing van het gebudgetteerde bedrag in afzonderlijk verklarende nota vereist:</t>
  </si>
  <si>
    <t>In kolom H wordt met 'X' aangegeven voor welke rubrieken de distributienetbeheerder een gedetailleerde onderbouwing van het ex-ante budget dient op te geven in een afzonderlijk verklarende nota.</t>
  </si>
  <si>
    <t>M.b.t. het tarief voor het databeheer</t>
  </si>
  <si>
    <t>Het tarief voor het databeheer</t>
  </si>
  <si>
    <t>Afbouw regulatoir saldo inzake herwaarderingsmeerwaarden</t>
  </si>
  <si>
    <t>Kosten m.b.t. REG-premies</t>
  </si>
  <si>
    <t xml:space="preserve">Kosten m.b.t. de actieverplichting energiescans </t>
  </si>
  <si>
    <t>Kosten m.b.t. de actieverplichting sociale energie efficiëntieprojecten</t>
  </si>
  <si>
    <t>Solidarisering GSC</t>
  </si>
  <si>
    <t>Solidarisering WKC</t>
  </si>
  <si>
    <t>Tarief beheer en ontwikkeling netwerkinfrastructuur</t>
  </si>
  <si>
    <t>Tarief beheer elektrisch systeem</t>
  </si>
  <si>
    <t>Tarief vermogensreserve en blackstart</t>
  </si>
  <si>
    <t>Tarief marktintegratie</t>
  </si>
  <si>
    <t>ODV - financiering van de aansluiting offshore windturbineparken</t>
  </si>
  <si>
    <t>ODV - financiering groenestroomcertificaten</t>
  </si>
  <si>
    <t>ODV - financiering strategische reserve</t>
  </si>
  <si>
    <t>ODV - financiering steunmaatregelen hernieuwbare energie en WKK</t>
  </si>
  <si>
    <t>ODV - financiering maatregelen ter bevordering REG</t>
  </si>
  <si>
    <t>Toeslag voor de taksen op masten en sleuven</t>
  </si>
  <si>
    <t>Verkopen t.a.v. de Vlaamse Overheid</t>
  </si>
  <si>
    <t>Overige verkopen</t>
  </si>
  <si>
    <t>Recuperatie van kosten m.b.t. REG-premies</t>
  </si>
  <si>
    <t xml:space="preserve">Recuperatie van kosten m.b.t. de actieverplichting energiescans </t>
  </si>
  <si>
    <t>Recuperatie van kosten m.b.t. de actieverplichting sociale energie efficiëntieprojecten</t>
  </si>
  <si>
    <t>Opbrengsten uit niet-recurrente recuperatie van exogene kosten uit bijvoorbeeld fraudezaken</t>
  </si>
  <si>
    <t>m.b.t. onterecht uitgekeerde REG-premies</t>
  </si>
  <si>
    <t>m.b.t. onterecht aangekochte GSC en WKC aan minimumwaarde</t>
  </si>
  <si>
    <t>Waardeverminderingen op vorderingen t.g.v. fraudedossiers</t>
  </si>
  <si>
    <t>Kosten t.g.v. terugvorderingen door de Vlaamse Overheid van onterechte financiering van openbaredienstverplichtingen</t>
  </si>
  <si>
    <t>Totale werkelijke ontvangsten uit periodieke distributienettarieven voor exogene kosten</t>
  </si>
  <si>
    <t>Kosten van de openbaredienstverplichtingen m.b.t. het stimuleren van rationeel energiegebruik (REG) volgens Energiebesluit:</t>
  </si>
  <si>
    <t>Kapitaalkostvergoeding voor het regulatoir saldo inzake herindexering van het budget voor endogene kosten</t>
  </si>
  <si>
    <t>Kapitaalkostvergoeding voor het regulatoir saldo inzake vennootschapsbelasting</t>
  </si>
  <si>
    <t>Kapitaalkostvergoeding voor het regulatoir saldo inzake herwaarderingsmeerwaarden</t>
  </si>
  <si>
    <t xml:space="preserve">Het basistarief voor het gebruik van het net </t>
  </si>
  <si>
    <t>Bepaling van het af te bouwen regulatoir saldo over de boekjaar:</t>
  </si>
  <si>
    <t>TABEL 5A: Opvolging regulatoir saldo inzake volumerisico endogeen budget</t>
  </si>
  <si>
    <t>Boeking regulatoir saldo inzake volumeverschillen m.b.t. endogene kosten per tariefcomponent</t>
  </si>
  <si>
    <t>Afgebouwd regulatoir saldo inzake volumeverschillen m.b.t. endogene kosten per tariefcomponent</t>
  </si>
  <si>
    <t>Nog af te bouwen regulatoir saldo inzake volumeverschillen m.b.t. endogene kosten per tariefcomponent</t>
  </si>
  <si>
    <t>TABEL 5B: Overzicht regulatoir saldo inzake volumerisico endogeen budget per tariefcomponent</t>
  </si>
  <si>
    <t>Trans HS</t>
  </si>
  <si>
    <t>&gt;26-36 kV</t>
  </si>
  <si>
    <t>26-1 kV</t>
  </si>
  <si>
    <t>Trans LS</t>
  </si>
  <si>
    <t>LS</t>
  </si>
  <si>
    <t>Tarief databeheer</t>
  </si>
  <si>
    <t>Indien in een boekjaar periodieke elektriciteitsdistributienettarieven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</si>
  <si>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elektriciteitsdistributienettarieven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</si>
  <si>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aardgasdistributienettarieven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</si>
  <si>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 Tarief gebruik van het net</t>
  </si>
  <si>
    <t>1.2. Tarief systeembeheer</t>
  </si>
  <si>
    <t>1.3. Tarief databeheer</t>
  </si>
  <si>
    <t>3. Toeslagen</t>
  </si>
  <si>
    <t>T1</t>
  </si>
  <si>
    <t>T2</t>
  </si>
  <si>
    <t>T3</t>
  </si>
  <si>
    <t>T4</t>
  </si>
  <si>
    <t>T5</t>
  </si>
  <si>
    <t>T6</t>
  </si>
  <si>
    <t>Doorvoer</t>
  </si>
  <si>
    <t>Indien in een boekjaar periodieke aardgasdistributienettarieven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</si>
  <si>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1.1. Tarief systeembeheer</t>
  </si>
  <si>
    <t>1.2. Tarief databeheer</t>
  </si>
  <si>
    <t>TOTAAL (GAS-AFNAME)</t>
  </si>
  <si>
    <t>TOTAAL (GAS-INJECTIE)</t>
  </si>
  <si>
    <t>1.1. Basistarief voor gebruik van het net</t>
  </si>
  <si>
    <t xml:space="preserve">De ex-ante correctie voor vennootschapsbelasting, zoals vastgesteld door de VREG m.b.t. het toegelaten inkomen voor endogene kosten </t>
  </si>
  <si>
    <t>De ex-ante aanvullende endogene term voor de kosten m.b.t. herwaarderingsmeerwaarden (zowel afschrijvingen als kapitaalkostvergoeding), zoals vastgesteld door de VREG m.b.t. het toegelaten inkomen voor endogene kosten</t>
  </si>
  <si>
    <t>De door de VREG gegeven financiële incentives op het toegelaten inkomen voor endogene kosten</t>
  </si>
  <si>
    <t>2. Tarief openbare dienstverplichtingen</t>
  </si>
  <si>
    <t>x'-waarde voor het betreffende boekjaar</t>
  </si>
  <si>
    <t>x''-waarde voor de betreffende reguleringsperiode</t>
  </si>
  <si>
    <t>TABEL 8: Opvolging regulatoir saldo inzake herwaarderingsmeerwaarden</t>
  </si>
  <si>
    <t>REGULATOIRE SALDI M.B.T. HERWAARDERINGSMEERWAARDEN</t>
  </si>
  <si>
    <r>
      <rPr>
        <b/>
        <sz val="10"/>
        <color theme="1"/>
        <rFont val="Arial"/>
        <family val="2"/>
      </rPr>
      <t>Boeking</t>
    </r>
    <r>
      <rPr>
        <sz val="10"/>
        <color theme="1"/>
        <rFont val="Arial"/>
        <family val="2"/>
      </rPr>
      <t xml:space="preserve"> van het saldo in het resultaat van het exploitatiejaar</t>
    </r>
  </si>
  <si>
    <r>
      <t xml:space="preserve">Terugname </t>
    </r>
    <r>
      <rPr>
        <sz val="10"/>
        <color theme="1"/>
        <rFont val="Arial"/>
        <family val="2"/>
      </rPr>
      <t>van het saldo in het resultaat van het exploitatiejaar (zoals vastgelegd in de tariefmethodologie)</t>
    </r>
  </si>
  <si>
    <t>Retributies</t>
  </si>
  <si>
    <t>Heffing volgens het Decreet houdende het Grootschalig Referentiebestand</t>
  </si>
  <si>
    <t>TABEL 5C, 5D, 5E en 5F</t>
  </si>
  <si>
    <t>Fiscaal niet-aftrekbare afschrijvingen op herwaarderingsmeerwaarden (+)</t>
  </si>
  <si>
    <t>Notionele intrestaftrek (-)</t>
  </si>
  <si>
    <t>Regulatoir saldo m.b.t. vennootschapsbelasting</t>
  </si>
  <si>
    <t>Bijkomende opmerking:</t>
  </si>
  <si>
    <t>Statutaire aanslagvoet</t>
  </si>
  <si>
    <t>Fiscaal niet-aftrekbare afschrijvingen op herwaarderingsmeerwaarden</t>
  </si>
  <si>
    <t>Gelieve positieve waarden in te geven voor activa (indien debetsaldo) en passiva (indien creditsaldo), en omgekeerd.</t>
  </si>
  <si>
    <t>Notionele intrestaftrek</t>
  </si>
  <si>
    <t>In rekening te brengen notionele intrestaftrek</t>
  </si>
  <si>
    <t xml:space="preserve">Gereguleerde activiteit: </t>
  </si>
  <si>
    <t>Regulatoir saldo m.b.t. herwaarderingsmeerwaarden</t>
  </si>
  <si>
    <t>Afschrijvingen van de herwaarderingsmeerwaarden o.b.v. de historische indexatie</t>
  </si>
  <si>
    <t>Afschrijvingen van de herwaarderingsmeerwaarden o.b.v. de iRAB</t>
  </si>
  <si>
    <t>Gecorrigeerd bedrag aan risicokapitaal (cfr bepalingen in WIB 1992)</t>
  </si>
  <si>
    <t>Basistarief voor de notionele intrestaftrek (cfr bepalingen in WIB 1992)</t>
  </si>
  <si>
    <t>Evolutie van de meerwaarden op basis van de historische indexatie (materiële vaste acitva):</t>
  </si>
  <si>
    <t>De tekens die in de kolomhoofden van de tabellen opgenomen zijn, dienen te worden geïnterpreteerd als:</t>
  </si>
  <si>
    <t>+: gelieve positieve waarde in te geven</t>
  </si>
  <si>
    <t>-: gelieve negatieve waarde in te geven</t>
  </si>
  <si>
    <t>Activaposten (boekhoudkundige rubrieken 22, 23, 24, 25, 26 en 27)</t>
  </si>
  <si>
    <t>Terreinen</t>
  </si>
  <si>
    <t>Industriële gebouwen</t>
  </si>
  <si>
    <t>Administratieve gebouwen</t>
  </si>
  <si>
    <t>Kabels - Transformatie MS</t>
  </si>
  <si>
    <t>Kabels - Transformatie LS</t>
  </si>
  <si>
    <t>Lijnen - Transformatie MS</t>
  </si>
  <si>
    <t>Lijnen - Transformatie LS</t>
  </si>
  <si>
    <t>Posten &amp; cabines - Transformatie MS</t>
  </si>
  <si>
    <t>Posten &amp; cabines - Transformatie LS</t>
  </si>
  <si>
    <t>Hergebruikte uitrusting cabines</t>
  </si>
  <si>
    <t>Aansluitingen - Transformatie MS</t>
  </si>
  <si>
    <t>Aansluitingen - Transformatie LS</t>
  </si>
  <si>
    <t>Meetapparatuur - Transformatie MS</t>
  </si>
  <si>
    <t>Meetapparatuur - Transformatie LS</t>
  </si>
  <si>
    <t>Teletransmissie en optische vezels</t>
  </si>
  <si>
    <t>Gereedschap en meubilair</t>
  </si>
  <si>
    <t>Rollend materieel</t>
  </si>
  <si>
    <t>CAB, telebediening, uitrusting dispatching</t>
  </si>
  <si>
    <t>Labo uitrusting</t>
  </si>
  <si>
    <t>Administratieve uitrusting (informatica en kantoor)</t>
  </si>
  <si>
    <t>Telegelezen meters</t>
  </si>
  <si>
    <t>Budgetmeters</t>
  </si>
  <si>
    <t>WKK installaties</t>
  </si>
  <si>
    <t>Unieke Operator</t>
  </si>
  <si>
    <t>Project slimme netten</t>
  </si>
  <si>
    <t>Project clearing house</t>
  </si>
  <si>
    <t>Project slimme meters</t>
  </si>
  <si>
    <t>Oplaadpunten voor elektrische voertuigen</t>
  </si>
  <si>
    <t>Activa in aanbouw</t>
  </si>
  <si>
    <t xml:space="preserve">TOTAAL  </t>
  </si>
  <si>
    <t>Afschrijvingspercentage</t>
  </si>
  <si>
    <t>Digitale meters</t>
  </si>
  <si>
    <t>Evolutie van de meerwaarden op basis van de iRAB (materiële vaste acitva):</t>
  </si>
  <si>
    <t>BUDGET</t>
  </si>
  <si>
    <t>REALITEIT</t>
  </si>
  <si>
    <t>Leidingen - MD</t>
  </si>
  <si>
    <t>Leidingen - LD</t>
  </si>
  <si>
    <t>Cabines/Stations - MD</t>
  </si>
  <si>
    <t>Cabines/Stations - LD</t>
  </si>
  <si>
    <t>Aansluitingen - MD</t>
  </si>
  <si>
    <t>Aansluitingen - LD</t>
  </si>
  <si>
    <t>Meetapparatuur - MD</t>
  </si>
  <si>
    <t>Meetapparatuur - LD</t>
  </si>
  <si>
    <t>Labo-uitrusting</t>
  </si>
  <si>
    <t>m.b.t. historische indexatie</t>
  </si>
  <si>
    <t>m.b.t. iRAB</t>
  </si>
  <si>
    <t>Afschrijvingen</t>
  </si>
  <si>
    <t>Kapitaalkostvergoeding herwaarderingsmeerwaarden</t>
  </si>
  <si>
    <t>REGULATOIRE SALDI M.B.T. VENNOOTSCHAPSBELASTING</t>
  </si>
  <si>
    <t xml:space="preserve">Realiteit </t>
  </si>
  <si>
    <t xml:space="preserve">RICHTLIJNEN BIJ HET INVULLEN EN DE INTERPRETATIE VAN HET RAPPORTERINGSMODEL </t>
  </si>
  <si>
    <t>TABEL 2: Algemeen overzicht exogene kosten</t>
  </si>
  <si>
    <t>EXOGEEN</t>
  </si>
  <si>
    <t>AANVULLENDE ENDOGENE TERMEN</t>
  </si>
  <si>
    <t>Gelieve in een afzonderlijk verklarende nota aan te tonen dat bij de berekening van het gecorrigeerd bedrag aan risicokapitaal de bepalingen in het WIB 1992 werden gevolgd. Hierbij dient de distributienetbeheerder rekening te houden met het eigen vermogen en de correctieposten zoals deze blijken uit de fiscale berekening voor het opstellen van de jaarrekening, waarna het hieruit resulterende gecorrigeerde bedrag aan risicokapitaal vervolgens a.d.h.v. een verdeelsleutel aan de verschillende activiteiten van de distributienetbeheerder wordt toegewezen.</t>
  </si>
  <si>
    <t>RAPPORTERINGSMODEL EXOGENE KOSTEN EN AANVULLENDE ENDOGENE TERMEN 2022-2024</t>
  </si>
  <si>
    <t>Exogene kosten i.h.k.v. het tarief reactieve energie</t>
  </si>
  <si>
    <t>Exogene kosten i.h.k.v. het tarief databeheer</t>
  </si>
  <si>
    <t>Exogene kosten i.h.k.v. het tarief openbare dienstverplichtingen</t>
  </si>
  <si>
    <t>Exogene kosten i.h.k.v. het tarief toeslagen</t>
  </si>
  <si>
    <t>Exogene kosten i.h.k.v. het tarief overige transmissie</t>
  </si>
  <si>
    <t>Afbouw regulatoir saldo inzake exogene kosten, zoals vastgelegd in de tariefmethodologie (positieve waarde voor recuperatie tekort, en omgekeerd)</t>
  </si>
  <si>
    <t>Afbouw regulatoir saldo inzake volumerisico endogeen budget, zoals vastgelegd in de tariefmethodologie (positieve waarde voor recuperatie tekort, en omgekeerd)</t>
  </si>
  <si>
    <t>Kapitaalkostvergoeding voor het regulatoir saldo inzake volumerisico endogeen budget</t>
  </si>
  <si>
    <t>M.b.t. het tarief netgebruik</t>
  </si>
  <si>
    <t>M.b.t. het tarief reactieve energie</t>
  </si>
  <si>
    <t>M.b.t. het tarief databeheer</t>
  </si>
  <si>
    <t>M.b.t. het tarief openbare dienstverplichtingen</t>
  </si>
  <si>
    <t>M.b.t. het tarief toeslagen</t>
  </si>
  <si>
    <t>M.b.t. het tarief overige transmissie</t>
  </si>
  <si>
    <t>Tarief aanvullende afname of injectie reactieve energie</t>
  </si>
  <si>
    <t>Exogene kosten i.h.k.v. het tarief systeembeheer</t>
  </si>
  <si>
    <t>M.b.t. het tarief systeembeheer</t>
  </si>
  <si>
    <t>M.b.t. het tarief netgebruik / basistarief gebruik net</t>
  </si>
  <si>
    <t>Exogene kosten i.h.k.v. het tarief netgebruik / basistarief gebruik net</t>
  </si>
  <si>
    <t xml:space="preserve">Kapitaalkostvergoeding voor het regulatoir saldo inzake exogene kosten </t>
  </si>
  <si>
    <t>TABEL 4A: Opvolging regulatoir saldo inzake exogene kosten</t>
  </si>
  <si>
    <t>REGULATOIRE SALDI INZAKE EXOGENE KOSTEN</t>
  </si>
  <si>
    <t>TABEL 4B: Overzicht regulatoir saldo inzake exogene kosten per tariefcomponent</t>
  </si>
  <si>
    <t>Boeking regulatoir saldo inzake exogene kosten per tariefcomponent</t>
  </si>
  <si>
    <t>Het tarief netgebruik</t>
  </si>
  <si>
    <t>Afgebouwd regulatoir saldo inzake exogene kosten per tariefcomponent</t>
  </si>
  <si>
    <t>Transmissie</t>
  </si>
  <si>
    <t>Het tarief reactieve energie</t>
  </si>
  <si>
    <t>Nog af te bouwen regulatoir saldo inzake exogene kosten per tariefcomponent</t>
  </si>
  <si>
    <t>Het tarief voor overige transmissie</t>
  </si>
  <si>
    <t>Het tarief systeembeheer</t>
  </si>
  <si>
    <t>Het tarief openbare dienstverplichtingen</t>
  </si>
  <si>
    <t>Het tarief overige transmissie</t>
  </si>
  <si>
    <t>Het tarief toeslagen</t>
  </si>
  <si>
    <t>Het tarief voor toeslagen</t>
  </si>
  <si>
    <t>Evolutie saldo exogene kosten op overlopende rekeningen</t>
  </si>
  <si>
    <t>M.b.t. het tarief voor toeslagen</t>
  </si>
  <si>
    <t>Tarief netgebruik</t>
  </si>
  <si>
    <t>Tarief toeslagen</t>
  </si>
  <si>
    <t>Tarief overige transmissie</t>
  </si>
  <si>
    <t>7.</t>
  </si>
  <si>
    <t>TOTAAL (ELEKTRICITEIT - AFNAME)</t>
  </si>
  <si>
    <t>TOTAAL (ELEKTRICITEIT - INJECTIE)</t>
  </si>
  <si>
    <t>Evolutie saldo m.b.t. herwaarderingsmeerwaarden op overlopende rekeningen</t>
  </si>
  <si>
    <t>Evolutie saldo m.b.t. volumerisico op overlopende rekeningen</t>
  </si>
  <si>
    <t xml:space="preserve">Het tarief netgebruik </t>
  </si>
  <si>
    <t>Het tarief netgebruik / basistarief gebruik net</t>
  </si>
  <si>
    <r>
      <t xml:space="preserve">Dit rapporteringsmodel heeft als doel om via een standaardformaat tegemoet te komen aan de informatiebehoeften van de VREG teneinde voor elke distributienetbeheerder een toegelaten inkomen m.b.t. de exogene kosten enerzijds en de aanvullende endogene termen anderzijds te bepalen.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In geval van rapportering van de werkelijke cijfers </t>
    </r>
    <r>
      <rPr>
        <b/>
        <sz val="10"/>
        <rFont val="Arial"/>
        <family val="2"/>
      </rPr>
      <t>ex-post</t>
    </r>
    <r>
      <rPr>
        <sz val="10"/>
        <rFont val="Arial"/>
        <family val="2"/>
      </rPr>
      <t xml:space="preserve"> dient het ingevulde rapporteringsmodel te zijn gewaarmerkt door een rapport van feitelijke bevindingen van de commissaris van de distributienetbeheerder. Op </t>
    </r>
    <r>
      <rPr>
        <b/>
        <sz val="10"/>
        <rFont val="Arial"/>
        <family val="2"/>
      </rPr>
      <t>ex-ante</t>
    </r>
    <r>
      <rPr>
        <sz val="10"/>
        <rFont val="Arial"/>
        <family val="2"/>
      </rPr>
      <t xml:space="preserve"> basis (gebudgetteerde waarden) is een rapport van feitelijke bevindingen van de commissaris dus niet vereist. </t>
    </r>
  </si>
  <si>
    <t>Niet relevante waarde voor de betreffende rapportering</t>
  </si>
  <si>
    <t>ENDO</t>
  </si>
  <si>
    <t>EXO</t>
  </si>
  <si>
    <r>
      <t>q</t>
    </r>
    <r>
      <rPr>
        <b/>
        <vertAlign val="subscript"/>
        <sz val="10"/>
        <rFont val="Arial"/>
        <family val="2"/>
      </rPr>
      <t>i</t>
    </r>
    <r>
      <rPr>
        <b/>
        <sz val="10"/>
        <rFont val="Arial"/>
        <family val="2"/>
      </rPr>
      <t>-waarde kwaliteitsprestaties 2017-2019</t>
    </r>
  </si>
  <si>
    <t>REGULATOIR SALDO HERINDEXERING BUDGET ENDOGENE KOSTEN</t>
  </si>
  <si>
    <t>BEPALING VAN HET AF TE BOUWEN REGULATOIR SALDO INZAKE HERWAARDERINGSMEERWAARDEN</t>
  </si>
  <si>
    <t>BEPALING VAN HET AF TE BOUWEN REGULATOIR SALDO M.B.T. VENNOOTSCHAPSBELASTING</t>
  </si>
  <si>
    <t>Endogene kosten m.b.t. herwaarderingsmeerwaarden</t>
  </si>
  <si>
    <t>Endogene kosten m.b.t. vennootschapsbelasting</t>
  </si>
  <si>
    <t>Regulatoir saldo inzake exogene kosten</t>
  </si>
  <si>
    <t>LEGENDE CELKLEUREN</t>
  </si>
  <si>
    <t>OVERZICHT TABELLEN</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</si>
  <si>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</si>
  <si>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</si>
  <si>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</si>
  <si>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</si>
  <si>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</si>
  <si>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</si>
  <si>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</si>
  <si>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</si>
  <si>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</si>
  <si>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</si>
  <si>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</si>
  <si>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</si>
  <si>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</si>
  <si>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</si>
  <si>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</si>
  <si>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H. Als herstructureringskosten geactiveerde bedrijfskosten (-)</t>
  </si>
  <si>
    <t>MAR-code</t>
  </si>
  <si>
    <t>635/8</t>
  </si>
  <si>
    <t>Tarief netgebruik / Basistarief gebruik net</t>
  </si>
  <si>
    <t>Tarief systeembeheer</t>
  </si>
  <si>
    <t>TABEL 9: Algemeen overzicht aanvullende endogene termen</t>
  </si>
  <si>
    <t>TABEL 10: Fiscaal niet-aftrekbare afschrijvingen op herwaarderingsmeerwaarden</t>
  </si>
  <si>
    <t>Tarief beheer en ontwikkeling netwerkinfrastructuur - maandpiek voor afname</t>
  </si>
  <si>
    <t>Tarief beheer en ontwikkeling netwerkinfrastructuur - jaarpiek voor afname</t>
  </si>
  <si>
    <t>Tarief beheer en ontwikkeling netwerkinfrastructuur - ter beschikking gesteld vermogen voor afname</t>
  </si>
  <si>
    <t>Tarief beheer en ontwikkeling netwerkinfrastructuur - aansluitingstarieven</t>
  </si>
  <si>
    <t>Kapitaalkostvergoeding groenestroom- en warmtekrachtcertificaten (GSC en WKC)</t>
  </si>
  <si>
    <t>Gemiddelde voorraad GSC en WKC (boekhoudkundige waarde) voor boekjaar 2021</t>
  </si>
  <si>
    <t>Beginvoorraad GSC en WKC (01/01/2021)</t>
  </si>
  <si>
    <t>Beginvoorraad GSC (01/01/2021)</t>
  </si>
  <si>
    <t>Beginvoorraad WKC (01/01/2021)</t>
  </si>
  <si>
    <t>Eindvoorraad GSC en WKC (31/12/2021)</t>
  </si>
  <si>
    <t>Eindvoorraad GSC (31/12/2021)</t>
  </si>
  <si>
    <t>Eindvoorraad WKC (31/12/2021)</t>
  </si>
  <si>
    <t>Verplicht aangekochte GSC en WKC aan minimumwaarde volgens Energiedecreet</t>
  </si>
  <si>
    <t>Voorraadwijziging GSC (toename voorraad: negatieve waarde, afname voorraad: positieve waarde)</t>
  </si>
  <si>
    <t>Voorraadwijziging WKC (toename voorraad: negatieve waarde, afname voorraad: positieve waarde)</t>
  </si>
  <si>
    <t>Netto-uitgaven/ -inkomsten (positieve waarde voor een netto-uitgave, en omgekeerd) i.h.k.v. de verrekening van de kost van GSC en WKC onder distributienetbeheerders volgens Energiedecreet (solidarisering opkoopverplichting)</t>
  </si>
  <si>
    <t>elektriciteit</t>
  </si>
  <si>
    <t>Overzicht van aanvullende endogene termen:</t>
  </si>
  <si>
    <t>NAAM DNB</t>
  </si>
  <si>
    <t>Fiscaal niet-aftrekbare heffing volgens het Decreet houdende het Grootschalig Referentiebestand (+)</t>
  </si>
  <si>
    <t>TABEL 11: Fiscaal niet-aftrekbare heffing volgens het Decreet houdende het Grootschalig Referentiebestand</t>
  </si>
  <si>
    <t>Fiscaal niet-aftrekbare heffing volgens het Decreet houdende het Grootschalig Referentiebestand</t>
  </si>
  <si>
    <t>TABEL 12: Notionele intrestaftrek</t>
  </si>
  <si>
    <t>TABEL 13A: Afschrijvingen van de meerwaarde op basis van de historische indexatie (materiële vaste activa) - elektriciteit</t>
  </si>
  <si>
    <t>TABEL 13B: Afschrijvingen van de meerwaarde op basis van de iRAB (materiële vaste activa) - elektriciteit</t>
  </si>
  <si>
    <t>TABEL 13C: Afschrijvingen van de meerwaarde op basis van de historische indexatie (materiële vaste activa) - gas</t>
  </si>
  <si>
    <t>TABEL 13D: Afschrijvingen van de meerwaarde op basis van de iRAB (materiële vaste activa) - gas</t>
  </si>
  <si>
    <t>TABEL 14: Kapitaalkostvergoeding herwaarderingsmeerwaarden</t>
  </si>
  <si>
    <t>ex-post</t>
  </si>
  <si>
    <t>Tarief overige transmissie - gedeelte overige kWh-componenten</t>
  </si>
  <si>
    <t>In rekening te brengen afschrijvingen voor</t>
  </si>
  <si>
    <t>Afschrijvingen op herwaarderingsmeerwaarden</t>
  </si>
  <si>
    <t>Desinvesteringen (n.a.v. verkoop of structuurwijziging)</t>
  </si>
  <si>
    <t>Tarief overige transmissie - gedeelte toeslagen, excl ODV financiering GSC</t>
  </si>
  <si>
    <t>Tarief overige transmissie - gedeelte ODV financiering GSC</t>
  </si>
  <si>
    <t>E. Niet-recurrente bedrijfsopbrengsten</t>
  </si>
  <si>
    <t>76A</t>
  </si>
  <si>
    <t>70/76A</t>
  </si>
  <si>
    <t>A. Recurrente financiële opbrengsten</t>
  </si>
  <si>
    <t>B. Niet-recurrente financiële opbrengsten</t>
  </si>
  <si>
    <t>76B</t>
  </si>
  <si>
    <t>75/76B</t>
  </si>
  <si>
    <t>I. Niet-recurrente bedrijfskosten</t>
  </si>
  <si>
    <t>66A</t>
  </si>
  <si>
    <t>A. Recurrente financiële kosten</t>
  </si>
  <si>
    <t>B. Niet-recurrente financiële kosten</t>
  </si>
  <si>
    <t>66B</t>
  </si>
  <si>
    <t>65/66B</t>
  </si>
  <si>
    <t>60/66A</t>
  </si>
  <si>
    <t>Exogene kosten i.h.k.v. het basistarief voor het gebruik van het net</t>
  </si>
  <si>
    <t>Exogene kosten i.h.k.v. het tarief voor het systeembeheer</t>
  </si>
  <si>
    <t>Exogene kosten i.h.k.v. het tarief voor het databeheer</t>
  </si>
  <si>
    <t>Exogene kosten i.h.k.v. het tarief voor openbare dienstverplichtingen</t>
  </si>
  <si>
    <t>Exogene kosten i.h.k.v. transmissienetkosten</t>
  </si>
  <si>
    <t>Exogene kosten i.h.k.v. het tarief voor de regeling van de spanning en het reactief vermogen</t>
  </si>
  <si>
    <t>Exogene kosten i.h.k.v. het tarief voor de compensatie van de netverliezen</t>
  </si>
  <si>
    <t>Exogene kosten i.h.k.v. het tarief voor belastingen, heffingen, toeslagen, bijdragen en retributies</t>
  </si>
  <si>
    <t>M.B.T. DISTRIBUTIE</t>
  </si>
  <si>
    <t>M.B.T. TRANSMISSIE</t>
  </si>
  <si>
    <t>Enkel van toepassing voor de ex-ante rapportering inzake de gereguleerde activiteit elektriciteit voor het boekjaar 2022:</t>
  </si>
  <si>
    <t>[Toegevoegd bij beslissing van de VREG van 25 juni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</si>
</sst>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44" formatCode="_-* #,##0.00\ &quot;€&quot;_-;\-* #,##0.00\ &quot;€&quot;_-;_-* &quot;-&quot;??\ &quot;€&quot;_-;_-@_-"/>
    <numFmt numFmtId="164" formatCode="_-* #,##0.00\ _€_-;\-* #,##0.00\ _€_-;_-* &quot;-&quot;??\ _€_-;_-@_-"/>
    <numFmt numFmtId="165" formatCode="#,##0.00\ &quot;€&quot;"/>
    <numFmt numFmtId="166" formatCode="#,##0.0000"/>
    <numFmt numFmtId="167" formatCode="#,##0.00000"/>
    <numFmt numFmtId="168" formatCode="0.000%"/>
    <numFmt numFmtId="169" formatCode="#,##0.0000000000"/>
    <numFmt numFmtId="170" formatCode="0.0000%"/>
  </numFmts>
  <fonts count="96" x14ac:knownFonts="1">
    <font>
      <sz val="10"/>
      <name val="Arial"/>
      <family val="2"/>
    </font>
    <font>
      <sz val="11"/>
      <color theme="1"/>
      <name val="Calibri"/>
      <family val="2"/>
      <scheme val="minor"/>
    </font>
    <font>
      <sz val="11"/>
      <color indexed="8"/>
      <name val="Calibri"/>
      <family val="2"/>
    </font>
    <font>
      <sz val="10"/>
      <name val="Arial"/>
      <family val="2"/>
    </font>
    <font>
      <b/>
      <sz val="12"/>
      <name val="Arial"/>
      <family val="2"/>
    </font>
    <font>
      <b/>
      <u/>
      <sz val="10"/>
      <name val="Arial"/>
      <family val="2"/>
    </font>
    <font>
      <i/>
      <sz val="10"/>
      <name val="Arial"/>
      <family val="2"/>
    </font>
    <font>
      <b/>
      <sz val="10"/>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u/>
      <sz val="14"/>
      <name val="Arial"/>
      <family val="2"/>
    </font>
    <font>
      <sz val="11"/>
      <name val="Arial"/>
      <family val="2"/>
    </font>
    <font>
      <b/>
      <sz val="11"/>
      <name val="Arial"/>
      <family val="2"/>
    </font>
    <font>
      <u/>
      <sz val="10"/>
      <color indexed="12"/>
      <name val="Arial"/>
      <family val="2"/>
    </font>
    <font>
      <b/>
      <i/>
      <sz val="10"/>
      <name val="Arial"/>
      <family val="2"/>
    </font>
    <font>
      <b/>
      <sz val="14"/>
      <name val="Arial"/>
      <family val="2"/>
    </font>
    <font>
      <b/>
      <sz val="8"/>
      <name val="Arial"/>
      <family val="2"/>
    </font>
    <font>
      <b/>
      <u/>
      <sz val="12"/>
      <name val="Arial"/>
      <family val="2"/>
    </font>
    <font>
      <b/>
      <sz val="13"/>
      <name val="Arial"/>
      <family val="2"/>
    </font>
    <font>
      <b/>
      <sz val="10"/>
      <color indexed="10"/>
      <name val="Arial"/>
      <family val="2"/>
    </font>
    <font>
      <i/>
      <sz val="9"/>
      <name val="Arial"/>
      <family val="2"/>
    </font>
    <font>
      <b/>
      <u/>
      <sz val="11"/>
      <name val="Arial"/>
      <family val="2"/>
    </font>
    <font>
      <sz val="12"/>
      <name val="Arial"/>
      <family val="2"/>
    </font>
    <font>
      <sz val="14"/>
      <name val="Arial"/>
      <family val="2"/>
    </font>
    <font>
      <sz val="8"/>
      <name val="Arial"/>
      <family val="2"/>
    </font>
    <font>
      <sz val="10"/>
      <name val="Arial"/>
      <family val="2"/>
    </font>
    <font>
      <sz val="10"/>
      <color indexed="8"/>
      <name val="MS Sans Serif"/>
      <family val="2"/>
    </font>
    <font>
      <sz val="9"/>
      <name val="Arial"/>
      <family val="2"/>
    </font>
    <font>
      <sz val="10"/>
      <name val="Tahoma"/>
      <family val="2"/>
    </font>
    <font>
      <sz val="10"/>
      <color indexed="8"/>
      <name val="Tahoma"/>
      <family val="2"/>
    </font>
    <font>
      <i/>
      <sz val="8"/>
      <name val="Arial"/>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8"/>
      <name val="Arial"/>
      <family val="2"/>
    </font>
    <font>
      <u/>
      <sz val="10"/>
      <name val="Arial"/>
      <family val="2"/>
    </font>
    <font>
      <sz val="10"/>
      <color indexed="12"/>
      <name val="Arial"/>
      <family val="2"/>
    </font>
    <font>
      <b/>
      <u/>
      <sz val="9"/>
      <name val="Arial"/>
      <family val="2"/>
    </font>
    <font>
      <b/>
      <sz val="18"/>
      <color indexed="62"/>
      <name val="Cambria"/>
      <family val="2"/>
    </font>
    <font>
      <b/>
      <vertAlign val="subscript"/>
      <sz val="10"/>
      <name val="Arial"/>
      <family val="2"/>
    </font>
    <font>
      <sz val="11"/>
      <color theme="1"/>
      <name val="Calibri"/>
      <family val="2"/>
      <scheme val="minor"/>
    </font>
    <font>
      <b/>
      <sz val="8"/>
      <color theme="4" tint="-0.249977111117893"/>
      <name val="Arial"/>
      <family val="2"/>
    </font>
    <font>
      <sz val="10"/>
      <color theme="4" tint="-0.249977111117893"/>
      <name val="Arial"/>
      <family val="2"/>
    </font>
    <font>
      <b/>
      <i/>
      <sz val="12"/>
      <color theme="4" tint="-0.249977111117893"/>
      <name val="Arial"/>
      <family val="2"/>
    </font>
    <font>
      <b/>
      <sz val="12"/>
      <color theme="4" tint="-0.249977111117893"/>
      <name val="Arial"/>
      <family val="2"/>
    </font>
    <font>
      <i/>
      <sz val="10"/>
      <color theme="4" tint="-0.249977111117893"/>
      <name val="Arial"/>
      <family val="2"/>
    </font>
    <font>
      <b/>
      <sz val="10"/>
      <color theme="4" tint="-0.249977111117893"/>
      <name val="Arial"/>
      <family val="2"/>
    </font>
    <font>
      <sz val="10"/>
      <color theme="0"/>
      <name val="Arial"/>
      <family val="2"/>
    </font>
    <font>
      <b/>
      <sz val="8"/>
      <color theme="0"/>
      <name val="Arial"/>
      <family val="2"/>
    </font>
    <font>
      <sz val="8"/>
      <color theme="0"/>
      <name val="Arial"/>
      <family val="2"/>
    </font>
    <font>
      <b/>
      <sz val="12"/>
      <color theme="0"/>
      <name val="Arial"/>
      <family val="2"/>
    </font>
    <font>
      <sz val="14"/>
      <color theme="0"/>
      <name val="Arial"/>
      <family val="2"/>
    </font>
    <font>
      <sz val="10"/>
      <color rgb="FF00B050"/>
      <name val="Arial"/>
      <family val="2"/>
    </font>
    <font>
      <b/>
      <sz val="10"/>
      <color rgb="FF00B050"/>
      <name val="Arial"/>
      <family val="2"/>
    </font>
    <font>
      <i/>
      <sz val="10"/>
      <color rgb="FF00B050"/>
      <name val="Arial"/>
      <family val="2"/>
    </font>
    <font>
      <i/>
      <sz val="10"/>
      <color theme="0"/>
      <name val="Arial"/>
      <family val="2"/>
    </font>
    <font>
      <b/>
      <sz val="8"/>
      <color rgb="FFFF0000"/>
      <name val="Arial"/>
      <family val="2"/>
    </font>
    <font>
      <sz val="10"/>
      <color rgb="FFFF0000"/>
      <name val="Arial"/>
      <family val="2"/>
    </font>
    <font>
      <b/>
      <sz val="14"/>
      <color rgb="FFFF0000"/>
      <name val="Arial"/>
      <family val="2"/>
    </font>
    <font>
      <sz val="10"/>
      <color theme="1"/>
      <name val="Arial"/>
      <family val="2"/>
    </font>
    <font>
      <b/>
      <u/>
      <sz val="12"/>
      <color rgb="FFFF0000"/>
      <name val="Arial"/>
      <family val="2"/>
    </font>
    <font>
      <b/>
      <u/>
      <sz val="11"/>
      <color rgb="FFFF0000"/>
      <name val="Arial"/>
      <family val="2"/>
    </font>
    <font>
      <b/>
      <sz val="12"/>
      <color rgb="FFFF0000"/>
      <name val="Arial"/>
      <family val="2"/>
    </font>
    <font>
      <i/>
      <sz val="10"/>
      <color rgb="FFFF0000"/>
      <name val="Arial"/>
      <family val="2"/>
    </font>
    <font>
      <b/>
      <sz val="10"/>
      <color indexed="12"/>
      <name val="Arial"/>
      <family val="2"/>
    </font>
    <font>
      <sz val="8"/>
      <color rgb="FFFF0000"/>
      <name val="Arial"/>
      <family val="2"/>
    </font>
    <font>
      <sz val="14"/>
      <color rgb="FFFF0000"/>
      <name val="Arial"/>
      <family val="2"/>
    </font>
    <font>
      <b/>
      <sz val="10"/>
      <color theme="0"/>
      <name val="Arial"/>
      <family val="2"/>
    </font>
    <font>
      <b/>
      <sz val="14"/>
      <color theme="0"/>
      <name val="Arial"/>
      <family val="2"/>
    </font>
    <font>
      <b/>
      <sz val="10"/>
      <color theme="1"/>
      <name val="Arial"/>
      <family val="2"/>
    </font>
    <font>
      <b/>
      <i/>
      <sz val="9"/>
      <name val="Arial"/>
      <family val="2"/>
    </font>
    <font>
      <b/>
      <sz val="20"/>
      <color theme="0"/>
      <name val="Arial"/>
      <family val="2"/>
    </font>
    <font>
      <u/>
      <sz val="10"/>
      <color theme="0" tint="-0.499984740745262"/>
      <name val="Arial"/>
      <family val="2"/>
    </font>
    <font>
      <sz val="10"/>
      <color theme="0" tint="-0.499984740745262"/>
      <name val="Arial"/>
      <family val="2"/>
    </font>
    <font>
      <b/>
      <u/>
      <sz val="10"/>
      <color theme="6" tint="-0.499984740745262"/>
      <name val="Arial"/>
      <family val="2"/>
    </font>
    <font>
      <sz val="10"/>
      <color theme="6" tint="-0.499984740745262"/>
      <name val="Arial"/>
      <family val="2"/>
    </font>
    <font>
      <b/>
      <sz val="10"/>
      <color theme="6" tint="-0.499984740745262"/>
      <name val="Arial"/>
      <family val="2"/>
    </font>
    <font>
      <b/>
      <i/>
      <sz val="10"/>
      <color theme="6" tint="-0.499984740745262"/>
      <name val="Arial"/>
      <family val="2"/>
    </font>
    <font>
      <i/>
      <sz val="10"/>
      <color theme="6" tint="-0.499984740745262"/>
      <name val="Arial"/>
      <family val="2"/>
    </font>
  </fonts>
  <fills count="4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lightUp"/>
    </fill>
    <fill>
      <patternFill patternType="solid">
        <fgColor rgb="FFFFFFB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solid">
        <fgColor rgb="FFFFFFCC"/>
        <bgColor indexed="64"/>
      </patternFill>
    </fill>
    <fill>
      <patternFill patternType="lightUp">
        <bgColor rgb="FFFFFFB3"/>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style="double">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style="thin">
        <color indexed="64"/>
      </bottom>
      <diagonal/>
    </border>
  </borders>
  <cellStyleXfs count="195">
    <xf numFmtId="0" fontId="0" fillId="0" borderId="0"/>
    <xf numFmtId="0" fontId="3" fillId="0" borderId="0"/>
    <xf numFmtId="0" fontId="45" fillId="2" borderId="0" applyNumberFormat="0" applyBorder="0" applyAlignment="0" applyProtection="0"/>
    <xf numFmtId="0" fontId="36" fillId="12" borderId="1" applyNumberFormat="0" applyAlignment="0" applyProtection="0"/>
    <xf numFmtId="0" fontId="37" fillId="13" borderId="2" applyNumberFormat="0" applyAlignment="0" applyProtection="0"/>
    <xf numFmtId="164" fontId="3" fillId="0" borderId="0" applyFont="0" applyFill="0" applyBorder="0" applyAlignment="0" applyProtection="0"/>
    <xf numFmtId="44" fontId="3" fillId="0" borderId="0" applyFont="0" applyFill="0" applyBorder="0" applyAlignment="0" applyProtection="0"/>
    <xf numFmtId="0" fontId="49" fillId="0" borderId="0" applyNumberFormat="0" applyFill="0" applyBorder="0" applyAlignment="0" applyProtection="0"/>
    <xf numFmtId="0" fontId="39" fillId="3" borderId="0" applyNumberFormat="0" applyBorder="0" applyAlignment="0" applyProtection="0"/>
    <xf numFmtId="0" fontId="41" fillId="0" borderId="4" applyNumberFormat="0" applyFill="0" applyAlignment="0" applyProtection="0"/>
    <xf numFmtId="0" fontId="42"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18" fillId="0" borderId="0" applyNumberFormat="0" applyFill="0" applyBorder="0" applyAlignment="0" applyProtection="0">
      <alignment vertical="top"/>
      <protection locked="0"/>
    </xf>
    <xf numFmtId="0" fontId="40" fillId="4" borderId="1"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0" fontId="38" fillId="0" borderId="3" applyNumberFormat="0" applyFill="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0" fontId="44" fillId="14"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15" borderId="7" applyNumberFormat="0" applyFont="0" applyAlignment="0" applyProtection="0"/>
    <xf numFmtId="0" fontId="48" fillId="12"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4" fontId="9" fillId="14" borderId="9" applyNumberFormat="0" applyProtection="0">
      <alignment vertical="center"/>
    </xf>
    <xf numFmtId="4" fontId="10" fillId="16" borderId="9" applyNumberFormat="0" applyProtection="0">
      <alignment vertical="center"/>
    </xf>
    <xf numFmtId="4" fontId="9" fillId="16" borderId="9" applyNumberFormat="0" applyProtection="0">
      <alignment horizontal="left" vertical="center" indent="1"/>
    </xf>
    <xf numFmtId="0" fontId="9" fillId="16" borderId="9" applyNumberFormat="0" applyProtection="0">
      <alignment horizontal="left" vertical="top" indent="1"/>
    </xf>
    <xf numFmtId="4" fontId="9" fillId="17" borderId="0" applyNumberFormat="0" applyProtection="0">
      <alignment horizontal="left" vertical="center" indent="1"/>
    </xf>
    <xf numFmtId="4" fontId="9"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9" fillId="20" borderId="10" applyNumberFormat="0" applyProtection="0">
      <alignment horizontal="left" vertical="center" indent="1"/>
    </xf>
    <xf numFmtId="4" fontId="8" fillId="21" borderId="0" applyNumberFormat="0" applyProtection="0">
      <alignment horizontal="left" vertical="center" indent="1"/>
    </xf>
    <xf numFmtId="4" fontId="11"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3" fillId="22" borderId="9" applyNumberFormat="0" applyProtection="0">
      <alignment horizontal="left" vertical="center" indent="1"/>
    </xf>
    <xf numFmtId="0" fontId="3" fillId="22" borderId="9" applyNumberFormat="0" applyProtection="0">
      <alignment horizontal="left" vertical="top" indent="1"/>
    </xf>
    <xf numFmtId="0" fontId="3" fillId="17" borderId="9" applyNumberFormat="0" applyProtection="0">
      <alignment horizontal="left" vertical="center" indent="1"/>
    </xf>
    <xf numFmtId="0" fontId="3" fillId="17" borderId="9" applyNumberFormat="0" applyProtection="0">
      <alignment horizontal="left" vertical="top" indent="1"/>
    </xf>
    <xf numFmtId="0" fontId="3" fillId="23" borderId="9" applyNumberFormat="0" applyProtection="0">
      <alignment horizontal="left" vertical="center" indent="1"/>
    </xf>
    <xf numFmtId="0" fontId="3" fillId="23" borderId="9" applyNumberFormat="0" applyProtection="0">
      <alignment horizontal="left" vertical="top" indent="1"/>
    </xf>
    <xf numFmtId="0" fontId="3" fillId="24" borderId="9" applyNumberFormat="0" applyProtection="0">
      <alignment horizontal="left" vertical="center" indent="1"/>
    </xf>
    <xf numFmtId="0" fontId="3" fillId="24" borderId="9" applyNumberFormat="0" applyProtection="0">
      <alignment horizontal="left" vertical="top" indent="1"/>
    </xf>
    <xf numFmtId="0" fontId="3" fillId="25" borderId="11" applyNumberFormat="0">
      <protection locked="0"/>
    </xf>
    <xf numFmtId="4" fontId="8" fillId="26" borderId="9" applyNumberFormat="0" applyProtection="0">
      <alignment vertical="center"/>
    </xf>
    <xf numFmtId="4" fontId="12"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2"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3" fillId="27" borderId="0" applyNumberFormat="0" applyProtection="0">
      <alignment horizontal="left" vertical="center" indent="1"/>
    </xf>
    <xf numFmtId="4" fontId="14" fillId="21" borderId="9" applyNumberFormat="0" applyProtection="0">
      <alignment horizontal="right" vertical="center"/>
    </xf>
    <xf numFmtId="0" fontId="55" fillId="0" borderId="0" applyNumberFormat="0" applyFill="0" applyBorder="0" applyAlignment="0" applyProtection="0"/>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57" fillId="0" borderId="0"/>
    <xf numFmtId="0" fontId="3" fillId="0" borderId="0">
      <alignment vertical="top"/>
    </xf>
    <xf numFmtId="0" fontId="2" fillId="0" borderId="0"/>
    <xf numFmtId="0" fontId="3" fillId="0" borderId="0">
      <alignment vertical="top"/>
    </xf>
    <xf numFmtId="0" fontId="3" fillId="0" borderId="0">
      <alignment vertical="top"/>
    </xf>
    <xf numFmtId="0" fontId="30" fillId="0" borderId="0"/>
    <xf numFmtId="0" fontId="3" fillId="0" borderId="0"/>
    <xf numFmtId="0" fontId="3" fillId="0" borderId="0"/>
    <xf numFmtId="0" fontId="31" fillId="0" borderId="0"/>
    <xf numFmtId="0" fontId="3" fillId="0" borderId="0"/>
    <xf numFmtId="0" fontId="3" fillId="0" borderId="0"/>
    <xf numFmtId="0" fontId="8" fillId="0" borderId="0">
      <alignment vertical="top"/>
    </xf>
    <xf numFmtId="0" fontId="8" fillId="0" borderId="0">
      <alignment vertical="top"/>
    </xf>
    <xf numFmtId="0" fontId="46" fillId="0" borderId="0" applyNumberFormat="0" applyFill="0" applyBorder="0" applyAlignment="0" applyProtection="0"/>
    <xf numFmtId="0" fontId="47" fillId="0" borderId="12" applyNumberFormat="0" applyFill="0" applyAlignment="0" applyProtection="0"/>
    <xf numFmtId="44" fontId="3" fillId="0" borderId="0" applyFont="0" applyFill="0" applyBorder="0" applyAlignment="0" applyProtection="0"/>
    <xf numFmtId="0" fontId="50" fillId="0" borderId="0" applyNumberFormat="0" applyFill="0" applyBorder="0" applyAlignment="0" applyProtection="0"/>
    <xf numFmtId="44" fontId="3" fillId="0" borderId="0" applyFont="0" applyFill="0" applyBorder="0" applyAlignment="0" applyProtection="0"/>
  </cellStyleXfs>
  <cellXfs count="1207">
    <xf numFmtId="0" fontId="0" fillId="0" borderId="0" xfId="0"/>
    <xf numFmtId="0" fontId="18" fillId="32" borderId="0" xfId="13" applyFill="1" applyAlignment="1" applyProtection="1"/>
    <xf numFmtId="0" fontId="18" fillId="0" borderId="11" xfId="13" applyBorder="1" applyAlignment="1" applyProtection="1">
      <alignment horizontal="center" vertical="center"/>
    </xf>
    <xf numFmtId="0" fontId="3" fillId="0" borderId="0" xfId="171" applyFont="1" applyFill="1" applyProtection="1"/>
    <xf numFmtId="0" fontId="7" fillId="0" borderId="0" xfId="171" applyFont="1" applyFill="1" applyProtection="1"/>
    <xf numFmtId="0" fontId="7" fillId="0" borderId="0" xfId="171" applyFont="1" applyFill="1" applyAlignment="1" applyProtection="1">
      <alignment horizontal="center"/>
    </xf>
    <xf numFmtId="0" fontId="5" fillId="0" borderId="0" xfId="171" applyFont="1" applyFill="1" applyAlignment="1" applyProtection="1">
      <alignment horizontal="center"/>
    </xf>
    <xf numFmtId="0" fontId="3" fillId="32" borderId="0" xfId="171" applyFont="1" applyFill="1" applyProtection="1"/>
    <xf numFmtId="0" fontId="7" fillId="32" borderId="0" xfId="171" applyFont="1" applyFill="1" applyProtection="1"/>
    <xf numFmtId="44" fontId="3" fillId="32" borderId="15" xfId="192" applyFont="1" applyFill="1" applyBorder="1" applyAlignment="1" applyProtection="1">
      <alignment horizontal="center"/>
    </xf>
    <xf numFmtId="0" fontId="7" fillId="32" borderId="0" xfId="0" applyFont="1" applyFill="1" applyProtection="1"/>
    <xf numFmtId="0" fontId="5" fillId="0" borderId="0" xfId="171" applyFont="1" applyFill="1" applyProtection="1"/>
    <xf numFmtId="0" fontId="0" fillId="32" borderId="0" xfId="0" applyFill="1" applyProtection="1"/>
    <xf numFmtId="0" fontId="0" fillId="32" borderId="0" xfId="0" applyFill="1" applyBorder="1" applyProtection="1"/>
    <xf numFmtId="0" fontId="7" fillId="0" borderId="0" xfId="171" applyFont="1" applyFill="1" applyAlignment="1" applyProtection="1">
      <alignment horizontal="left"/>
    </xf>
    <xf numFmtId="0" fontId="3" fillId="0" borderId="0" xfId="171" applyFont="1" applyFill="1" applyAlignment="1" applyProtection="1">
      <alignment horizontal="left"/>
    </xf>
    <xf numFmtId="0" fontId="16" fillId="0" borderId="0" xfId="171" applyFont="1" applyAlignment="1" applyProtection="1"/>
    <xf numFmtId="0" fontId="3" fillId="0" borderId="0" xfId="171" applyFont="1" applyAlignment="1" applyProtection="1"/>
    <xf numFmtId="0" fontId="3" fillId="0" borderId="0" xfId="171" applyNumberFormat="1" applyFont="1" applyAlignment="1" applyProtection="1"/>
    <xf numFmtId="0" fontId="3" fillId="0" borderId="0" xfId="1" applyFont="1" applyProtection="1"/>
    <xf numFmtId="0" fontId="33" fillId="16" borderId="11" xfId="185" applyFont="1" applyFill="1" applyBorder="1" applyProtection="1"/>
    <xf numFmtId="0" fontId="33" fillId="0" borderId="0" xfId="171" applyFont="1" applyFill="1" applyProtection="1"/>
    <xf numFmtId="0" fontId="0" fillId="0" borderId="0" xfId="171" applyFont="1" applyAlignment="1" applyProtection="1"/>
    <xf numFmtId="0" fontId="33" fillId="28" borderId="0" xfId="185" applyFont="1" applyFill="1" applyBorder="1" applyProtection="1"/>
    <xf numFmtId="0" fontId="33" fillId="32" borderId="11" xfId="185" applyFont="1" applyFill="1" applyBorder="1" applyAlignment="1" applyProtection="1">
      <alignment horizontal="left" vertical="top" wrapText="1"/>
    </xf>
    <xf numFmtId="0" fontId="33" fillId="32" borderId="0" xfId="171" applyFont="1" applyFill="1" applyBorder="1" applyProtection="1"/>
    <xf numFmtId="0" fontId="33" fillId="0" borderId="0" xfId="171" applyFont="1" applyFill="1" applyAlignment="1" applyProtection="1"/>
    <xf numFmtId="0" fontId="34" fillId="28" borderId="0" xfId="185" applyFont="1" applyFill="1" applyBorder="1" applyProtection="1"/>
    <xf numFmtId="0" fontId="33" fillId="34" borderId="11" xfId="185" applyFont="1" applyFill="1" applyBorder="1" applyProtection="1"/>
    <xf numFmtId="0" fontId="33" fillId="0" borderId="0" xfId="1" applyFont="1" applyProtection="1"/>
    <xf numFmtId="0" fontId="33" fillId="35"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3" fillId="0" borderId="0" xfId="171" applyFont="1" applyFill="1" applyAlignment="1" applyProtection="1">
      <alignment vertical="top"/>
    </xf>
    <xf numFmtId="0" fontId="0" fillId="0" borderId="0" xfId="171" applyFont="1" applyFill="1" applyProtection="1"/>
    <xf numFmtId="0" fontId="20" fillId="32" borderId="0" xfId="186" applyFont="1" applyFill="1" applyProtection="1"/>
    <xf numFmtId="0" fontId="20" fillId="32" borderId="0" xfId="186" applyFont="1" applyFill="1" applyAlignment="1" applyProtection="1">
      <alignment horizontal="center"/>
    </xf>
    <xf numFmtId="0" fontId="0" fillId="32" borderId="0" xfId="0" applyFill="1" applyAlignment="1" applyProtection="1">
      <alignment vertical="top"/>
    </xf>
    <xf numFmtId="0" fontId="5" fillId="32" borderId="0" xfId="0" applyFont="1" applyFill="1" applyAlignment="1" applyProtection="1">
      <alignment vertical="top" wrapText="1"/>
    </xf>
    <xf numFmtId="0" fontId="0" fillId="32" borderId="0" xfId="0" applyFill="1" applyAlignment="1" applyProtection="1">
      <alignment horizontal="center" vertical="top"/>
    </xf>
    <xf numFmtId="0" fontId="6" fillId="32" borderId="0" xfId="0" applyFont="1" applyFill="1" applyAlignment="1" applyProtection="1">
      <alignment vertical="top"/>
    </xf>
    <xf numFmtId="0" fontId="7" fillId="32" borderId="0" xfId="186" applyFont="1" applyFill="1" applyProtection="1"/>
    <xf numFmtId="0" fontId="7" fillId="32" borderId="0" xfId="186" applyFont="1" applyFill="1" applyAlignment="1" applyProtection="1">
      <alignment horizontal="center"/>
    </xf>
    <xf numFmtId="0" fontId="3" fillId="32" borderId="0" xfId="186" applyFont="1" applyFill="1" applyProtection="1"/>
    <xf numFmtId="0" fontId="3" fillId="32" borderId="0" xfId="186" applyFont="1" applyFill="1" applyAlignment="1" applyProtection="1">
      <alignment horizontal="center"/>
    </xf>
    <xf numFmtId="4" fontId="32" fillId="32" borderId="0" xfId="186" applyNumberFormat="1" applyFont="1" applyFill="1" applyBorder="1" applyProtection="1"/>
    <xf numFmtId="4" fontId="5" fillId="32" borderId="16"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xf>
    <xf numFmtId="4" fontId="5" fillId="32" borderId="17" xfId="186" applyNumberFormat="1" applyFont="1" applyFill="1" applyBorder="1" applyAlignment="1" applyProtection="1">
      <alignment horizontal="center"/>
    </xf>
    <xf numFmtId="4" fontId="7" fillId="32" borderId="18" xfId="186" applyNumberFormat="1" applyFont="1" applyFill="1" applyBorder="1" applyAlignment="1" applyProtection="1">
      <alignment horizontal="center" vertical="center" wrapText="1"/>
    </xf>
    <xf numFmtId="4" fontId="7" fillId="32" borderId="18" xfId="186" applyNumberFormat="1" applyFont="1" applyFill="1" applyBorder="1" applyAlignment="1" applyProtection="1">
      <alignment horizontal="center" vertical="center"/>
    </xf>
    <xf numFmtId="4" fontId="7" fillId="32" borderId="17" xfId="186" applyNumberFormat="1" applyFont="1" applyFill="1" applyBorder="1" applyAlignment="1" applyProtection="1">
      <alignment horizontal="center" vertical="center"/>
    </xf>
    <xf numFmtId="4" fontId="3" fillId="32" borderId="16" xfId="186" applyNumberFormat="1" applyFont="1" applyFill="1" applyBorder="1" applyProtection="1"/>
    <xf numFmtId="4" fontId="3" fillId="32" borderId="0" xfId="186" applyNumberFormat="1" applyFont="1" applyFill="1" applyBorder="1" applyProtection="1"/>
    <xf numFmtId="4" fontId="3" fillId="32" borderId="17" xfId="186" applyNumberFormat="1" applyFont="1" applyFill="1" applyBorder="1" applyProtection="1"/>
    <xf numFmtId="4" fontId="5" fillId="32" borderId="16" xfId="186" applyNumberFormat="1" applyFont="1" applyFill="1" applyBorder="1" applyAlignment="1" applyProtection="1">
      <alignment horizontal="left" vertical="center"/>
    </xf>
    <xf numFmtId="4" fontId="5" fillId="32" borderId="0" xfId="186" applyNumberFormat="1" applyFont="1" applyFill="1" applyBorder="1" applyAlignment="1" applyProtection="1">
      <alignment vertical="center"/>
    </xf>
    <xf numFmtId="0" fontId="5" fillId="32" borderId="17" xfId="186" applyNumberFormat="1" applyFont="1" applyFill="1" applyBorder="1" applyAlignment="1" applyProtection="1">
      <alignment horizontal="center" vertical="center"/>
    </xf>
    <xf numFmtId="4" fontId="32" fillId="32" borderId="0" xfId="186" applyNumberFormat="1" applyFont="1" applyFill="1" applyBorder="1" applyAlignment="1" applyProtection="1">
      <alignment vertical="center"/>
    </xf>
    <xf numFmtId="4" fontId="3" fillId="32" borderId="16" xfId="186" applyNumberFormat="1" applyFont="1" applyFill="1" applyBorder="1" applyAlignment="1" applyProtection="1">
      <alignment horizontal="left" vertical="center"/>
    </xf>
    <xf numFmtId="4" fontId="3" fillId="32" borderId="0" xfId="186" applyNumberFormat="1" applyFont="1" applyFill="1" applyBorder="1" applyAlignment="1" applyProtection="1">
      <alignment vertical="center"/>
    </xf>
    <xf numFmtId="0" fontId="3" fillId="32" borderId="17" xfId="186" applyNumberFormat="1" applyFont="1" applyFill="1" applyBorder="1" applyAlignment="1" applyProtection="1">
      <alignment horizontal="center" vertical="center"/>
    </xf>
    <xf numFmtId="4" fontId="3" fillId="32" borderId="16" xfId="186" applyNumberFormat="1" applyFont="1" applyFill="1" applyBorder="1" applyAlignment="1" applyProtection="1">
      <alignment vertical="center"/>
    </xf>
    <xf numFmtId="4" fontId="3" fillId="32" borderId="0" xfId="186" applyNumberFormat="1" applyFont="1" applyFill="1" applyBorder="1" applyAlignment="1" applyProtection="1">
      <alignment horizontal="left" vertical="center"/>
    </xf>
    <xf numFmtId="4" fontId="5" fillId="32" borderId="16" xfId="186" applyNumberFormat="1" applyFont="1" applyFill="1" applyBorder="1" applyAlignment="1" applyProtection="1">
      <alignment vertical="center"/>
    </xf>
    <xf numFmtId="4" fontId="5" fillId="32" borderId="0" xfId="186" applyNumberFormat="1" applyFont="1" applyFill="1" applyBorder="1" applyAlignment="1" applyProtection="1">
      <alignment horizontal="left" vertical="center"/>
    </xf>
    <xf numFmtId="4" fontId="6" fillId="32" borderId="16" xfId="186" applyNumberFormat="1" applyFont="1" applyFill="1" applyBorder="1" applyAlignment="1" applyProtection="1">
      <alignment vertical="center"/>
    </xf>
    <xf numFmtId="4" fontId="6" fillId="32" borderId="0" xfId="186" applyNumberFormat="1" applyFont="1" applyFill="1" applyBorder="1" applyAlignment="1" applyProtection="1">
      <alignment horizontal="left" vertical="center"/>
    </xf>
    <xf numFmtId="4" fontId="6" fillId="32" borderId="0" xfId="186" applyNumberFormat="1" applyFont="1" applyFill="1" applyBorder="1" applyAlignment="1" applyProtection="1">
      <alignment vertical="center"/>
    </xf>
    <xf numFmtId="0" fontId="6" fillId="32" borderId="17" xfId="186" applyNumberFormat="1" applyFont="1" applyFill="1" applyBorder="1" applyAlignment="1" applyProtection="1">
      <alignment horizontal="center" vertical="center"/>
    </xf>
    <xf numFmtId="4" fontId="4" fillId="32" borderId="16" xfId="186" applyNumberFormat="1" applyFont="1" applyFill="1" applyBorder="1" applyAlignment="1" applyProtection="1">
      <alignment horizontal="right" vertical="center"/>
    </xf>
    <xf numFmtId="4" fontId="4" fillId="32" borderId="0" xfId="0" applyNumberFormat="1" applyFont="1" applyFill="1" applyBorder="1" applyAlignment="1" applyProtection="1">
      <alignment horizontal="right" vertical="center"/>
    </xf>
    <xf numFmtId="4" fontId="4" fillId="32" borderId="19" xfId="0" applyNumberFormat="1" applyFont="1" applyFill="1" applyBorder="1" applyAlignment="1" applyProtection="1">
      <alignment horizontal="right" vertical="center"/>
    </xf>
    <xf numFmtId="0" fontId="4" fillId="32" borderId="20" xfId="186" applyNumberFormat="1" applyFont="1" applyFill="1" applyBorder="1" applyAlignment="1" applyProtection="1">
      <alignment horizontal="center" vertical="center"/>
    </xf>
    <xf numFmtId="4" fontId="17" fillId="32" borderId="16" xfId="0" applyNumberFormat="1" applyFont="1" applyFill="1" applyBorder="1" applyAlignment="1" applyProtection="1">
      <alignment horizontal="right" vertical="center"/>
    </xf>
    <xf numFmtId="4" fontId="17" fillId="32" borderId="0" xfId="0" applyNumberFormat="1" applyFont="1" applyFill="1" applyBorder="1" applyAlignment="1" applyProtection="1">
      <alignment horizontal="right" vertical="center"/>
    </xf>
    <xf numFmtId="4" fontId="17" fillId="32" borderId="19" xfId="0" applyNumberFormat="1" applyFont="1" applyFill="1" applyBorder="1" applyAlignment="1" applyProtection="1">
      <alignment horizontal="right" vertical="center"/>
    </xf>
    <xf numFmtId="0" fontId="17" fillId="32" borderId="17" xfId="0" applyNumberFormat="1" applyFont="1" applyFill="1" applyBorder="1" applyAlignment="1" applyProtection="1">
      <alignment horizontal="center" vertical="center"/>
    </xf>
    <xf numFmtId="4" fontId="4" fillId="32" borderId="21" xfId="0" applyNumberFormat="1" applyFont="1" applyFill="1" applyBorder="1" applyAlignment="1" applyProtection="1">
      <alignment horizontal="right" vertical="center"/>
    </xf>
    <xf numFmtId="4" fontId="4" fillId="32" borderId="22" xfId="0" applyNumberFormat="1" applyFont="1" applyFill="1" applyBorder="1" applyAlignment="1" applyProtection="1">
      <alignment horizontal="right" vertical="center"/>
    </xf>
    <xf numFmtId="4" fontId="4" fillId="32" borderId="23" xfId="0" applyNumberFormat="1" applyFont="1" applyFill="1" applyBorder="1" applyAlignment="1" applyProtection="1">
      <alignment horizontal="right" vertical="center"/>
    </xf>
    <xf numFmtId="0" fontId="4" fillId="32" borderId="24" xfId="0" applyNumberFormat="1" applyFont="1" applyFill="1" applyBorder="1" applyAlignment="1" applyProtection="1">
      <alignment horizontal="center" vertical="center"/>
    </xf>
    <xf numFmtId="165" fontId="4" fillId="32" borderId="24" xfId="0" applyNumberFormat="1" applyFont="1" applyFill="1" applyBorder="1" applyAlignment="1" applyProtection="1">
      <alignment vertical="center"/>
    </xf>
    <xf numFmtId="4" fontId="7" fillId="32" borderId="0" xfId="186" applyNumberFormat="1" applyFont="1" applyFill="1" applyBorder="1" applyAlignment="1" applyProtection="1"/>
    <xf numFmtId="4" fontId="3" fillId="32" borderId="0" xfId="186" applyNumberFormat="1" applyFont="1" applyFill="1" applyProtection="1"/>
    <xf numFmtId="0" fontId="3" fillId="32" borderId="0" xfId="186" applyNumberFormat="1" applyFont="1" applyFill="1" applyAlignment="1" applyProtection="1">
      <alignment horizontal="center"/>
    </xf>
    <xf numFmtId="4" fontId="7" fillId="32" borderId="0" xfId="186" applyNumberFormat="1" applyFont="1" applyFill="1" applyProtection="1"/>
    <xf numFmtId="4" fontId="3" fillId="32" borderId="0" xfId="186" applyNumberFormat="1" applyFont="1" applyFill="1" applyAlignment="1" applyProtection="1">
      <alignment vertical="center"/>
    </xf>
    <xf numFmtId="4" fontId="3" fillId="32" borderId="0" xfId="186" applyNumberFormat="1" applyFont="1" applyFill="1" applyAlignment="1" applyProtection="1">
      <alignment horizontal="center" vertical="center"/>
    </xf>
    <xf numFmtId="165" fontId="3" fillId="32" borderId="0" xfId="186" applyNumberFormat="1" applyFont="1" applyFill="1" applyAlignment="1" applyProtection="1">
      <alignment vertical="center"/>
    </xf>
    <xf numFmtId="4" fontId="19" fillId="32" borderId="0" xfId="186" quotePrefix="1" applyNumberFormat="1" applyFont="1" applyFill="1" applyAlignment="1" applyProtection="1">
      <alignment vertical="center"/>
    </xf>
    <xf numFmtId="4" fontId="3" fillId="32" borderId="0" xfId="186" applyNumberFormat="1" applyFont="1" applyFill="1" applyAlignment="1" applyProtection="1">
      <alignment horizontal="center"/>
    </xf>
    <xf numFmtId="0" fontId="25" fillId="32" borderId="0" xfId="30" applyFont="1" applyFill="1" applyProtection="1"/>
    <xf numFmtId="0" fontId="3" fillId="32" borderId="11" xfId="30" applyFont="1" applyFill="1" applyBorder="1" applyAlignment="1" applyProtection="1">
      <alignment horizontal="center" vertical="center"/>
    </xf>
    <xf numFmtId="0" fontId="7" fillId="0" borderId="0" xfId="174" applyFont="1" applyFill="1" applyAlignment="1" applyProtection="1">
      <alignment horizontal="right" vertical="center"/>
    </xf>
    <xf numFmtId="0" fontId="21" fillId="0" borderId="0" xfId="174" applyFont="1" applyFill="1" applyAlignment="1" applyProtection="1">
      <alignment horizontal="right" vertical="center"/>
    </xf>
    <xf numFmtId="0" fontId="3" fillId="0" borderId="0" xfId="174" applyFont="1" applyFill="1" applyAlignment="1" applyProtection="1">
      <alignment vertical="center"/>
    </xf>
    <xf numFmtId="0" fontId="3" fillId="0" borderId="45" xfId="174" applyFont="1" applyFill="1" applyBorder="1" applyAlignment="1" applyProtection="1">
      <alignment vertical="center"/>
    </xf>
    <xf numFmtId="0" fontId="21" fillId="32" borderId="0" xfId="184" applyFont="1" applyFill="1" applyAlignment="1" applyProtection="1">
      <alignment vertical="center"/>
    </xf>
    <xf numFmtId="0" fontId="7" fillId="32" borderId="41" xfId="184" applyFont="1" applyFill="1" applyBorder="1" applyAlignment="1" applyProtection="1">
      <alignment vertical="center"/>
    </xf>
    <xf numFmtId="0" fontId="6" fillId="32" borderId="56" xfId="184" applyFont="1" applyFill="1" applyBorder="1" applyAlignment="1" applyProtection="1">
      <alignment horizontal="right" vertical="center"/>
    </xf>
    <xf numFmtId="0" fontId="3" fillId="32" borderId="0" xfId="184" applyFont="1" applyFill="1" applyAlignment="1" applyProtection="1">
      <alignment vertical="center"/>
    </xf>
    <xf numFmtId="0" fontId="3" fillId="32" borderId="54" xfId="171" applyFont="1" applyFill="1" applyBorder="1" applyAlignment="1" applyProtection="1">
      <alignment vertical="center"/>
    </xf>
    <xf numFmtId="0" fontId="3" fillId="32" borderId="56" xfId="171" applyFont="1" applyFill="1" applyBorder="1" applyAlignment="1" applyProtection="1">
      <alignment vertical="center"/>
    </xf>
    <xf numFmtId="0" fontId="3" fillId="32" borderId="14" xfId="171" applyFont="1" applyFill="1" applyBorder="1" applyAlignment="1" applyProtection="1">
      <alignment vertical="center"/>
    </xf>
    <xf numFmtId="0" fontId="3" fillId="32" borderId="53" xfId="171" applyFont="1" applyFill="1" applyBorder="1" applyAlignment="1" applyProtection="1">
      <alignment vertical="center"/>
    </xf>
    <xf numFmtId="0" fontId="7" fillId="32" borderId="53" xfId="171" applyFont="1" applyFill="1" applyBorder="1" applyAlignment="1" applyProtection="1">
      <alignment horizontal="right" vertical="center"/>
    </xf>
    <xf numFmtId="0" fontId="7" fillId="32" borderId="54" xfId="171" applyFont="1" applyFill="1" applyBorder="1" applyAlignment="1" applyProtection="1">
      <alignment vertical="center"/>
    </xf>
    <xf numFmtId="0" fontId="7" fillId="32" borderId="56" xfId="171" applyFont="1" applyFill="1" applyBorder="1" applyAlignment="1" applyProtection="1">
      <alignment vertical="center"/>
    </xf>
    <xf numFmtId="0" fontId="7" fillId="32" borderId="14" xfId="171" applyFont="1" applyFill="1" applyBorder="1" applyAlignment="1" applyProtection="1">
      <alignment vertical="center"/>
    </xf>
    <xf numFmtId="0" fontId="3" fillId="32" borderId="54" xfId="171" applyFont="1" applyFill="1" applyBorder="1" applyAlignment="1" applyProtection="1">
      <alignment horizontal="right" vertical="center"/>
    </xf>
    <xf numFmtId="3" fontId="6" fillId="32" borderId="56" xfId="192" applyNumberFormat="1" applyFont="1" applyFill="1" applyBorder="1" applyAlignment="1" applyProtection="1">
      <alignment horizontal="right" vertical="center"/>
    </xf>
    <xf numFmtId="3" fontId="6" fillId="32" borderId="14" xfId="192" applyNumberFormat="1" applyFont="1" applyFill="1" applyBorder="1" applyAlignment="1" applyProtection="1">
      <alignment horizontal="right" vertical="center"/>
    </xf>
    <xf numFmtId="0" fontId="3" fillId="32" borderId="56" xfId="171" applyFont="1" applyFill="1" applyBorder="1" applyAlignment="1" applyProtection="1">
      <alignment horizontal="right" vertical="center"/>
    </xf>
    <xf numFmtId="0" fontId="3" fillId="32" borderId="14" xfId="171" applyFont="1" applyFill="1" applyBorder="1" applyAlignment="1" applyProtection="1">
      <alignment horizontal="right" vertical="center"/>
    </xf>
    <xf numFmtId="0" fontId="7" fillId="32" borderId="44" xfId="171" applyFont="1" applyFill="1" applyBorder="1" applyAlignment="1" applyProtection="1">
      <alignment horizontal="right" vertical="center"/>
    </xf>
    <xf numFmtId="0" fontId="7" fillId="32" borderId="0" xfId="171" applyFont="1" applyFill="1" applyBorder="1" applyAlignment="1" applyProtection="1">
      <alignment vertical="center" wrapText="1"/>
    </xf>
    <xf numFmtId="3" fontId="6" fillId="32" borderId="40" xfId="192" applyNumberFormat="1" applyFont="1" applyFill="1" applyBorder="1" applyAlignment="1" applyProtection="1">
      <alignment horizontal="right" vertical="center"/>
    </xf>
    <xf numFmtId="0" fontId="7" fillId="32" borderId="34" xfId="171" applyFont="1" applyFill="1" applyBorder="1" applyAlignment="1" applyProtection="1">
      <alignment horizontal="right" vertical="center"/>
    </xf>
    <xf numFmtId="0" fontId="7" fillId="32" borderId="47" xfId="171" applyFont="1" applyFill="1" applyBorder="1" applyAlignment="1" applyProtection="1">
      <alignment vertical="center" wrapText="1"/>
    </xf>
    <xf numFmtId="3" fontId="6" fillId="32" borderId="39" xfId="192" applyNumberFormat="1" applyFont="1" applyFill="1" applyBorder="1" applyAlignment="1" applyProtection="1">
      <alignment horizontal="right" vertical="center"/>
    </xf>
    <xf numFmtId="0" fontId="3" fillId="32" borderId="0" xfId="171" applyFont="1" applyFill="1" applyAlignment="1" applyProtection="1">
      <alignment vertical="center"/>
    </xf>
    <xf numFmtId="0" fontId="3" fillId="32" borderId="0" xfId="0" applyFont="1" applyFill="1" applyBorder="1" applyAlignment="1" applyProtection="1">
      <alignment vertical="center" wrapText="1"/>
    </xf>
    <xf numFmtId="0" fontId="25" fillId="32" borderId="0" xfId="30" quotePrefix="1" applyFont="1" applyFill="1" applyProtection="1"/>
    <xf numFmtId="0" fontId="7" fillId="0" borderId="25" xfId="174" applyFont="1" applyFill="1" applyBorder="1" applyAlignment="1" applyProtection="1">
      <alignment horizontal="center" vertical="center" wrapText="1"/>
    </xf>
    <xf numFmtId="14" fontId="7" fillId="0" borderId="0" xfId="171" applyNumberFormat="1" applyFont="1" applyFill="1" applyProtection="1"/>
    <xf numFmtId="4" fontId="5" fillId="32" borderId="16" xfId="186" applyNumberFormat="1" applyFont="1" applyFill="1" applyBorder="1" applyAlignment="1" applyProtection="1">
      <alignment horizontal="center" vertical="center"/>
    </xf>
    <xf numFmtId="4" fontId="5" fillId="32" borderId="0" xfId="186" applyNumberFormat="1" applyFont="1" applyFill="1" applyBorder="1" applyAlignment="1" applyProtection="1">
      <alignment horizontal="center" vertical="center"/>
    </xf>
    <xf numFmtId="4" fontId="5" fillId="32" borderId="17"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wrapText="1"/>
    </xf>
    <xf numFmtId="165" fontId="5" fillId="32" borderId="17" xfId="186" applyNumberFormat="1" applyFont="1" applyFill="1" applyBorder="1" applyAlignment="1" applyProtection="1">
      <alignment vertical="center"/>
    </xf>
    <xf numFmtId="165" fontId="3" fillId="32" borderId="17" xfId="186" applyNumberFormat="1" applyFont="1" applyFill="1" applyBorder="1" applyAlignment="1" applyProtection="1">
      <alignment vertical="center"/>
    </xf>
    <xf numFmtId="165" fontId="3" fillId="32" borderId="17" xfId="186" applyNumberFormat="1" applyFont="1" applyFill="1" applyBorder="1" applyProtection="1"/>
    <xf numFmtId="165" fontId="6" fillId="32" borderId="17" xfId="186" applyNumberFormat="1" applyFont="1" applyFill="1" applyBorder="1" applyAlignment="1" applyProtection="1">
      <alignment vertical="center"/>
    </xf>
    <xf numFmtId="165" fontId="3" fillId="32" borderId="64" xfId="186" applyNumberFormat="1" applyFont="1" applyFill="1" applyBorder="1" applyAlignment="1" applyProtection="1">
      <alignment vertical="center"/>
    </xf>
    <xf numFmtId="165" fontId="4" fillId="32" borderId="20" xfId="186" applyNumberFormat="1" applyFont="1" applyFill="1" applyBorder="1" applyAlignment="1" applyProtection="1">
      <alignment vertical="center"/>
    </xf>
    <xf numFmtId="165" fontId="17" fillId="32" borderId="17" xfId="186" applyNumberFormat="1" applyFont="1" applyFill="1" applyBorder="1" applyAlignment="1" applyProtection="1">
      <alignment vertical="center"/>
    </xf>
    <xf numFmtId="165" fontId="7" fillId="32" borderId="0" xfId="186" applyNumberFormat="1" applyFont="1" applyFill="1" applyAlignment="1" applyProtection="1">
      <alignment vertical="center"/>
    </xf>
    <xf numFmtId="0" fontId="3" fillId="32" borderId="42" xfId="174" applyFont="1" applyFill="1" applyBorder="1" applyAlignment="1" applyProtection="1">
      <alignment vertical="center"/>
    </xf>
    <xf numFmtId="0" fontId="3" fillId="32" borderId="45" xfId="174" applyFont="1" applyFill="1" applyBorder="1" applyAlignment="1" applyProtection="1">
      <alignment vertical="center" wrapText="1"/>
    </xf>
    <xf numFmtId="0" fontId="64" fillId="32" borderId="0" xfId="186" applyFont="1" applyFill="1" applyProtection="1"/>
    <xf numFmtId="0" fontId="64" fillId="32" borderId="0" xfId="0" applyFont="1" applyFill="1" applyAlignment="1" applyProtection="1">
      <alignment vertical="top"/>
    </xf>
    <xf numFmtId="165" fontId="7" fillId="32" borderId="68" xfId="192" applyNumberFormat="1" applyFont="1" applyFill="1" applyBorder="1" applyAlignment="1" applyProtection="1">
      <alignment vertical="center"/>
    </xf>
    <xf numFmtId="165" fontId="3" fillId="32" borderId="68" xfId="192" applyNumberFormat="1" applyFont="1" applyFill="1" applyBorder="1" applyAlignment="1" applyProtection="1">
      <alignment vertical="center"/>
    </xf>
    <xf numFmtId="167" fontId="7" fillId="32" borderId="68" xfId="192" applyNumberFormat="1" applyFont="1" applyFill="1" applyBorder="1" applyAlignment="1" applyProtection="1">
      <alignment vertical="center"/>
    </xf>
    <xf numFmtId="165" fontId="7" fillId="32" borderId="71" xfId="171" applyNumberFormat="1" applyFont="1" applyFill="1" applyBorder="1" applyAlignment="1" applyProtection="1">
      <alignment vertical="center"/>
    </xf>
    <xf numFmtId="0" fontId="3" fillId="32" borderId="71" xfId="171" applyFont="1" applyFill="1" applyBorder="1" applyAlignment="1" applyProtection="1">
      <alignment vertical="center"/>
    </xf>
    <xf numFmtId="3" fontId="6" fillId="32" borderId="13" xfId="192" applyNumberFormat="1" applyFont="1" applyFill="1" applyBorder="1" applyAlignment="1" applyProtection="1">
      <alignment horizontal="right" vertical="center"/>
    </xf>
    <xf numFmtId="165" fontId="7" fillId="32" borderId="60" xfId="192" applyNumberFormat="1" applyFont="1" applyFill="1" applyBorder="1" applyAlignment="1" applyProtection="1">
      <alignment horizontal="right" vertical="center"/>
    </xf>
    <xf numFmtId="165" fontId="7" fillId="32" borderId="73" xfId="192" applyNumberFormat="1" applyFont="1" applyFill="1" applyBorder="1" applyAlignment="1" applyProtection="1">
      <alignment horizontal="right" vertical="center"/>
    </xf>
    <xf numFmtId="165" fontId="7" fillId="32" borderId="74" xfId="171" applyNumberFormat="1" applyFont="1" applyFill="1" applyBorder="1" applyAlignment="1" applyProtection="1">
      <alignment vertical="center"/>
    </xf>
    <xf numFmtId="0" fontId="3" fillId="32" borderId="74" xfId="171" applyFont="1" applyFill="1" applyBorder="1" applyAlignment="1" applyProtection="1">
      <alignment vertical="center"/>
    </xf>
    <xf numFmtId="165" fontId="3" fillId="32" borderId="74" xfId="171" applyNumberFormat="1" applyFont="1" applyFill="1" applyBorder="1" applyAlignment="1" applyProtection="1">
      <alignment vertical="center"/>
    </xf>
    <xf numFmtId="3" fontId="6" fillId="32" borderId="74" xfId="192" applyNumberFormat="1" applyFont="1" applyFill="1" applyBorder="1" applyAlignment="1" applyProtection="1">
      <alignment horizontal="right" vertical="center"/>
    </xf>
    <xf numFmtId="0" fontId="3" fillId="32" borderId="74" xfId="171" applyFont="1" applyFill="1" applyBorder="1" applyAlignment="1" applyProtection="1">
      <alignment horizontal="right" vertical="center"/>
    </xf>
    <xf numFmtId="165" fontId="3" fillId="29" borderId="74" xfId="171" applyNumberFormat="1" applyFont="1" applyFill="1" applyBorder="1" applyAlignment="1" applyProtection="1">
      <alignment vertical="center"/>
    </xf>
    <xf numFmtId="3" fontId="6" fillId="32" borderId="75" xfId="192" applyNumberFormat="1" applyFont="1" applyFill="1" applyBorder="1" applyAlignment="1" applyProtection="1">
      <alignment horizontal="right" vertical="center"/>
    </xf>
    <xf numFmtId="165" fontId="7" fillId="32" borderId="25" xfId="192" applyNumberFormat="1" applyFont="1" applyFill="1" applyBorder="1" applyAlignment="1" applyProtection="1">
      <alignment horizontal="right" vertical="center"/>
    </xf>
    <xf numFmtId="0" fontId="7" fillId="32" borderId="25" xfId="0" applyFont="1" applyFill="1" applyBorder="1" applyProtection="1"/>
    <xf numFmtId="0" fontId="52" fillId="29" borderId="11" xfId="13" applyFont="1" applyFill="1" applyBorder="1" applyAlignment="1" applyProtection="1">
      <alignment horizontal="center" vertical="center"/>
    </xf>
    <xf numFmtId="0" fontId="18" fillId="0" borderId="0" xfId="13" applyAlignment="1" applyProtection="1">
      <alignment horizontal="center" vertical="center"/>
    </xf>
    <xf numFmtId="3" fontId="6" fillId="32" borderId="53" xfId="192" applyNumberFormat="1" applyFont="1" applyFill="1" applyBorder="1" applyAlignment="1" applyProtection="1">
      <alignment horizontal="right" vertical="center"/>
    </xf>
    <xf numFmtId="0" fontId="3" fillId="32" borderId="53" xfId="171" applyFont="1" applyFill="1" applyBorder="1" applyAlignment="1" applyProtection="1">
      <alignment horizontal="right" vertical="center"/>
    </xf>
    <xf numFmtId="0" fontId="3" fillId="32" borderId="41" xfId="171" applyFont="1" applyFill="1" applyBorder="1" applyAlignment="1" applyProtection="1">
      <alignment horizontal="right" vertical="center"/>
    </xf>
    <xf numFmtId="165" fontId="3" fillId="29" borderId="41" xfId="192" applyNumberFormat="1" applyFont="1" applyFill="1" applyBorder="1" applyAlignment="1" applyProtection="1">
      <alignment vertical="center"/>
    </xf>
    <xf numFmtId="0" fontId="7" fillId="32" borderId="11" xfId="0" applyFont="1" applyFill="1" applyBorder="1" applyAlignment="1" applyProtection="1">
      <alignment horizontal="center" vertical="center" wrapText="1"/>
    </xf>
    <xf numFmtId="0" fontId="0" fillId="32" borderId="0" xfId="0" applyFill="1" applyAlignment="1" applyProtection="1">
      <alignment vertical="center"/>
    </xf>
    <xf numFmtId="0" fontId="0" fillId="32" borderId="11" xfId="0" applyFill="1" applyBorder="1" applyAlignment="1" applyProtection="1">
      <alignment vertical="center"/>
    </xf>
    <xf numFmtId="4" fontId="7" fillId="32" borderId="11" xfId="0" applyNumberFormat="1" applyFont="1" applyFill="1" applyBorder="1" applyAlignment="1" applyProtection="1">
      <alignment horizontal="right" vertical="center"/>
    </xf>
    <xf numFmtId="0" fontId="7" fillId="39" borderId="11" xfId="0" applyFont="1" applyFill="1" applyBorder="1" applyAlignment="1" applyProtection="1">
      <alignment vertical="center"/>
    </xf>
    <xf numFmtId="4" fontId="7" fillId="39" borderId="11" xfId="0" applyNumberFormat="1" applyFont="1" applyFill="1" applyBorder="1" applyAlignment="1" applyProtection="1">
      <alignment horizontal="center" vertical="center"/>
    </xf>
    <xf numFmtId="0" fontId="7" fillId="39" borderId="11" xfId="0" applyFont="1" applyFill="1" applyBorder="1" applyAlignment="1" applyProtection="1">
      <alignment horizontal="center" vertical="center"/>
    </xf>
    <xf numFmtId="0" fontId="19" fillId="39" borderId="11" xfId="0" applyFont="1" applyFill="1" applyBorder="1" applyAlignment="1" applyProtection="1">
      <alignment vertical="center"/>
    </xf>
    <xf numFmtId="4" fontId="19" fillId="39" borderId="11" xfId="0" applyNumberFormat="1" applyFont="1" applyFill="1" applyBorder="1" applyAlignment="1" applyProtection="1">
      <alignment vertical="center"/>
    </xf>
    <xf numFmtId="0" fontId="6" fillId="32" borderId="11" xfId="0" applyFont="1" applyFill="1" applyBorder="1" applyAlignment="1" applyProtection="1">
      <alignment horizontal="left" vertical="center" wrapText="1" indent="2"/>
    </xf>
    <xf numFmtId="0" fontId="0" fillId="32" borderId="0" xfId="0" applyFill="1" applyAlignment="1" applyProtection="1">
      <alignment horizontal="left" vertical="center"/>
    </xf>
    <xf numFmtId="4" fontId="6" fillId="32" borderId="11" xfId="192" applyNumberFormat="1" applyFont="1" applyFill="1" applyBorder="1" applyAlignment="1" applyProtection="1">
      <alignment vertical="center"/>
    </xf>
    <xf numFmtId="0" fontId="3" fillId="32" borderId="0" xfId="30" applyFill="1" applyAlignment="1" applyProtection="1">
      <alignment vertical="center"/>
    </xf>
    <xf numFmtId="0" fontId="3" fillId="0" borderId="0" xfId="30" applyAlignment="1" applyProtection="1">
      <alignment vertical="center"/>
    </xf>
    <xf numFmtId="0" fontId="0" fillId="32" borderId="11" xfId="0" applyFont="1" applyFill="1" applyBorder="1" applyAlignment="1" applyProtection="1">
      <alignment vertical="center" wrapText="1"/>
    </xf>
    <xf numFmtId="10" fontId="6" fillId="32" borderId="11" xfId="121" applyNumberFormat="1" applyFont="1" applyFill="1" applyBorder="1" applyAlignment="1" applyProtection="1">
      <alignment horizontal="right" vertical="center"/>
    </xf>
    <xf numFmtId="0" fontId="19" fillId="32" borderId="11" xfId="0" applyFont="1" applyFill="1" applyBorder="1" applyAlignment="1" applyProtection="1">
      <alignment vertical="center"/>
    </xf>
    <xf numFmtId="4" fontId="7" fillId="0" borderId="11" xfId="186" applyNumberFormat="1" applyFont="1" applyBorder="1" applyAlignment="1" applyProtection="1">
      <alignment horizontal="left" vertical="center" wrapText="1"/>
    </xf>
    <xf numFmtId="165" fontId="7" fillId="0" borderId="11" xfId="192" applyNumberFormat="1" applyFont="1" applyFill="1" applyBorder="1" applyAlignment="1" applyProtection="1">
      <alignment vertical="center"/>
    </xf>
    <xf numFmtId="165" fontId="7" fillId="32" borderId="11" xfId="0" quotePrefix="1" applyNumberFormat="1" applyFont="1" applyFill="1" applyBorder="1" applyAlignment="1" applyProtection="1">
      <alignment horizontal="right" vertical="center"/>
    </xf>
    <xf numFmtId="165" fontId="6" fillId="32" borderId="11" xfId="192" applyNumberFormat="1" applyFont="1" applyFill="1" applyBorder="1" applyAlignment="1" applyProtection="1">
      <alignment vertical="center"/>
    </xf>
    <xf numFmtId="0" fontId="5" fillId="30" borderId="41" xfId="174" applyFont="1" applyFill="1" applyBorder="1" applyAlignment="1" applyProtection="1">
      <alignment vertical="center"/>
    </xf>
    <xf numFmtId="0" fontId="6" fillId="32" borderId="11" xfId="0" applyFont="1" applyFill="1" applyBorder="1" applyAlignment="1" applyProtection="1">
      <alignment horizontal="left" vertical="center" wrapText="1"/>
    </xf>
    <xf numFmtId="0" fontId="18" fillId="32" borderId="11" xfId="13" applyNumberFormat="1" applyFill="1" applyBorder="1" applyAlignment="1" applyProtection="1">
      <alignment horizontal="left" vertical="center"/>
    </xf>
    <xf numFmtId="0" fontId="6" fillId="32" borderId="11" xfId="192" applyNumberFormat="1" applyFont="1" applyFill="1" applyBorder="1" applyAlignment="1" applyProtection="1">
      <alignment horizontal="center" vertical="center"/>
    </xf>
    <xf numFmtId="0" fontId="18" fillId="32" borderId="11" xfId="13" applyNumberFormat="1" applyFill="1" applyBorder="1" applyAlignment="1" applyProtection="1">
      <alignment horizontal="center" vertical="center"/>
    </xf>
    <xf numFmtId="0" fontId="3" fillId="32" borderId="11" xfId="192" applyNumberFormat="1" applyFont="1" applyFill="1" applyBorder="1" applyAlignment="1" applyProtection="1">
      <alignment horizontal="center" vertical="center"/>
    </xf>
    <xf numFmtId="165" fontId="3" fillId="31" borderId="11" xfId="192" applyNumberFormat="1" applyFont="1" applyFill="1" applyBorder="1" applyAlignment="1" applyProtection="1">
      <alignment vertical="center"/>
      <protection locked="0"/>
    </xf>
    <xf numFmtId="165" fontId="3" fillId="32" borderId="11" xfId="192" applyNumberFormat="1" applyFont="1" applyFill="1" applyBorder="1" applyAlignment="1" applyProtection="1">
      <alignment vertical="center"/>
    </xf>
    <xf numFmtId="0" fontId="7" fillId="32" borderId="0" xfId="171" applyFont="1" applyFill="1" applyAlignment="1" applyProtection="1"/>
    <xf numFmtId="0" fontId="0" fillId="32" borderId="0" xfId="0" applyFill="1"/>
    <xf numFmtId="0" fontId="7" fillId="32" borderId="11" xfId="0" applyFont="1" applyFill="1" applyBorder="1" applyAlignment="1" applyProtection="1">
      <alignment vertical="center" wrapText="1"/>
    </xf>
    <xf numFmtId="0" fontId="6" fillId="35" borderId="11" xfId="0" applyFont="1" applyFill="1" applyBorder="1" applyAlignment="1" applyProtection="1">
      <alignment horizontal="center" vertical="center" wrapText="1"/>
    </xf>
    <xf numFmtId="165" fontId="7" fillId="32" borderId="11" xfId="192" applyNumberFormat="1" applyFont="1" applyFill="1" applyBorder="1" applyAlignment="1" applyProtection="1">
      <alignment horizontal="right" vertical="center"/>
    </xf>
    <xf numFmtId="0" fontId="0" fillId="32" borderId="11" xfId="0" applyFont="1" applyFill="1" applyBorder="1" applyAlignment="1" applyProtection="1">
      <alignment horizontal="center" vertical="center" wrapText="1"/>
    </xf>
    <xf numFmtId="0" fontId="3" fillId="32" borderId="29" xfId="192" applyNumberFormat="1" applyFont="1" applyFill="1" applyBorder="1" applyAlignment="1" applyProtection="1">
      <alignment horizontal="center" vertical="center"/>
    </xf>
    <xf numFmtId="0" fontId="6" fillId="32" borderId="29" xfId="192" applyNumberFormat="1" applyFont="1" applyFill="1" applyBorder="1" applyAlignment="1" applyProtection="1">
      <alignment horizontal="center" vertical="center"/>
    </xf>
    <xf numFmtId="0" fontId="52" fillId="29" borderId="28" xfId="13" applyFont="1" applyFill="1" applyBorder="1" applyAlignment="1" applyProtection="1">
      <alignment horizontal="center" vertical="center"/>
    </xf>
    <xf numFmtId="0" fontId="64" fillId="32" borderId="0" xfId="0" applyFont="1" applyFill="1" applyAlignment="1" applyProtection="1">
      <alignment vertical="center"/>
    </xf>
    <xf numFmtId="0" fontId="64" fillId="32" borderId="0" xfId="0" applyFont="1" applyFill="1" applyAlignment="1" applyProtection="1">
      <alignment horizontal="center" vertical="center"/>
    </xf>
    <xf numFmtId="0" fontId="72" fillId="32" borderId="0" xfId="0" applyFont="1" applyFill="1" applyAlignment="1" applyProtection="1">
      <alignment vertical="center"/>
    </xf>
    <xf numFmtId="0" fontId="0" fillId="32" borderId="0" xfId="0" applyFont="1" applyFill="1" applyAlignment="1" applyProtection="1">
      <alignment vertical="center"/>
    </xf>
    <xf numFmtId="4" fontId="3" fillId="31" borderId="11" xfId="192" applyNumberFormat="1" applyFont="1" applyFill="1" applyBorder="1" applyAlignment="1" applyProtection="1">
      <alignment vertical="center"/>
      <protection locked="0"/>
    </xf>
    <xf numFmtId="4" fontId="7" fillId="32" borderId="11" xfId="0" applyNumberFormat="1" applyFont="1" applyFill="1" applyBorder="1" applyProtection="1"/>
    <xf numFmtId="0" fontId="7" fillId="32" borderId="90" xfId="184" applyFont="1" applyFill="1" applyBorder="1" applyAlignment="1" applyProtection="1">
      <alignment horizontal="center" vertical="center" wrapText="1"/>
    </xf>
    <xf numFmtId="0" fontId="4" fillId="32" borderId="14" xfId="171" applyFont="1" applyFill="1" applyBorder="1" applyAlignment="1" applyProtection="1">
      <alignment horizontal="center" vertical="center"/>
    </xf>
    <xf numFmtId="0" fontId="7" fillId="32" borderId="78" xfId="171" applyFont="1" applyFill="1" applyBorder="1" applyAlignment="1" applyProtection="1">
      <alignment horizontal="center" vertical="center" wrapText="1"/>
    </xf>
    <xf numFmtId="0" fontId="0" fillId="32" borderId="0" xfId="0" applyFill="1" applyAlignment="1" applyProtection="1">
      <alignment horizontal="center" vertical="center"/>
    </xf>
    <xf numFmtId="0" fontId="7" fillId="32" borderId="11" xfId="0" applyFont="1" applyFill="1" applyBorder="1" applyAlignment="1" applyProtection="1">
      <alignment horizontal="right" vertical="center" wrapText="1"/>
    </xf>
    <xf numFmtId="0" fontId="0" fillId="32" borderId="0" xfId="0" applyFill="1" applyAlignment="1" applyProtection="1">
      <alignment horizontal="right" vertical="center"/>
    </xf>
    <xf numFmtId="0" fontId="6" fillId="32" borderId="0" xfId="192" applyNumberFormat="1" applyFont="1" applyFill="1" applyBorder="1" applyAlignment="1" applyProtection="1">
      <alignment horizontal="center" vertical="center"/>
    </xf>
    <xf numFmtId="0" fontId="6" fillId="32" borderId="0" xfId="0" applyFont="1" applyFill="1" applyAlignment="1" applyProtection="1">
      <alignment vertical="center"/>
    </xf>
    <xf numFmtId="0" fontId="6" fillId="32" borderId="0" xfId="0" applyFont="1" applyFill="1" applyAlignment="1" applyProtection="1">
      <alignment horizontal="center" vertical="center"/>
    </xf>
    <xf numFmtId="0" fontId="6" fillId="32" borderId="0" xfId="0" applyFont="1" applyFill="1" applyBorder="1" applyAlignment="1" applyProtection="1">
      <alignment vertical="center"/>
    </xf>
    <xf numFmtId="0" fontId="6" fillId="0" borderId="0" xfId="0" applyFont="1" applyAlignment="1" applyProtection="1">
      <alignment vertical="center"/>
    </xf>
    <xf numFmtId="0" fontId="7" fillId="32" borderId="0" xfId="0" applyFont="1" applyFill="1" applyBorder="1" applyAlignment="1" applyProtection="1">
      <alignment horizontal="center" vertical="center" wrapText="1"/>
    </xf>
    <xf numFmtId="0" fontId="20" fillId="32" borderId="0" xfId="186" applyFont="1" applyFill="1" applyAlignment="1" applyProtection="1">
      <alignment vertical="center"/>
    </xf>
    <xf numFmtId="0" fontId="75" fillId="32" borderId="0" xfId="186" applyFont="1" applyFill="1" applyAlignment="1" applyProtection="1">
      <alignment vertical="center"/>
    </xf>
    <xf numFmtId="0" fontId="74" fillId="32" borderId="0" xfId="30" applyFont="1" applyFill="1" applyAlignment="1" applyProtection="1">
      <alignment vertical="center"/>
    </xf>
    <xf numFmtId="0" fontId="21" fillId="32" borderId="0" xfId="186" applyFont="1" applyFill="1" applyAlignment="1" applyProtection="1">
      <alignment vertical="center"/>
    </xf>
    <xf numFmtId="0" fontId="58" fillId="32" borderId="0" xfId="186" applyFont="1" applyFill="1" applyAlignment="1" applyProtection="1">
      <alignment vertical="center"/>
    </xf>
    <xf numFmtId="0" fontId="73" fillId="32" borderId="0" xfId="186" applyFont="1" applyFill="1" applyAlignment="1" applyProtection="1">
      <alignment vertical="center"/>
    </xf>
    <xf numFmtId="0" fontId="22" fillId="32" borderId="0" xfId="30" applyFont="1" applyFill="1" applyAlignment="1" applyProtection="1">
      <alignment horizontal="center" vertical="center"/>
    </xf>
    <xf numFmtId="0" fontId="77" fillId="32" borderId="0" xfId="30" applyFont="1" applyFill="1" applyAlignment="1" applyProtection="1">
      <alignment horizontal="center" vertical="center"/>
    </xf>
    <xf numFmtId="0" fontId="64" fillId="32" borderId="0" xfId="30" applyFont="1" applyFill="1" applyAlignment="1" applyProtection="1">
      <alignment vertical="center"/>
    </xf>
    <xf numFmtId="0" fontId="7" fillId="32" borderId="60" xfId="30" applyFont="1" applyFill="1" applyBorder="1" applyAlignment="1" applyProtection="1">
      <alignment horizontal="center" vertical="center"/>
    </xf>
    <xf numFmtId="0" fontId="7" fillId="32" borderId="80" xfId="30" applyFont="1" applyFill="1" applyBorder="1" applyAlignment="1" applyProtection="1">
      <alignment horizontal="center" vertical="center"/>
    </xf>
    <xf numFmtId="0" fontId="3" fillId="32" borderId="0" xfId="30" applyFont="1" applyFill="1" applyAlignment="1" applyProtection="1">
      <alignment vertical="center"/>
    </xf>
    <xf numFmtId="0" fontId="6" fillId="32" borderId="0" xfId="30" quotePrefix="1" applyFont="1" applyFill="1" applyAlignment="1" applyProtection="1">
      <alignment vertical="center"/>
    </xf>
    <xf numFmtId="4" fontId="24" fillId="32" borderId="0" xfId="30" applyNumberFormat="1" applyFont="1" applyFill="1" applyBorder="1" applyAlignment="1" applyProtection="1">
      <alignment vertical="center"/>
    </xf>
    <xf numFmtId="0" fontId="6" fillId="32" borderId="0" xfId="30" applyFont="1" applyFill="1" applyAlignment="1" applyProtection="1">
      <alignment vertical="center"/>
    </xf>
    <xf numFmtId="0" fontId="25" fillId="32" borderId="0" xfId="30" applyFont="1" applyFill="1" applyAlignment="1" applyProtection="1">
      <alignment vertical="center"/>
    </xf>
    <xf numFmtId="0" fontId="3" fillId="32" borderId="33" xfId="30" applyFont="1" applyFill="1" applyBorder="1" applyAlignment="1" applyProtection="1">
      <alignment horizontal="center" vertical="center"/>
    </xf>
    <xf numFmtId="0" fontId="3" fillId="32" borderId="33" xfId="30" applyFill="1" applyBorder="1" applyAlignment="1" applyProtection="1">
      <alignment horizontal="center" vertical="center"/>
    </xf>
    <xf numFmtId="0" fontId="3" fillId="32" borderId="11" xfId="30" applyFill="1" applyBorder="1" applyAlignment="1" applyProtection="1">
      <alignment horizontal="center" vertical="center"/>
    </xf>
    <xf numFmtId="0" fontId="3" fillId="32" borderId="28" xfId="30" quotePrefix="1" applyFill="1" applyBorder="1" applyAlignment="1" applyProtection="1">
      <alignment horizontal="center" vertical="center"/>
    </xf>
    <xf numFmtId="1" fontId="3" fillId="0" borderId="29" xfId="30" applyNumberFormat="1" applyBorder="1" applyAlignment="1" applyProtection="1">
      <alignment horizontal="center" vertical="center"/>
    </xf>
    <xf numFmtId="4" fontId="3" fillId="32" borderId="32" xfId="30" applyNumberFormat="1" applyFont="1" applyFill="1" applyBorder="1" applyAlignment="1" applyProtection="1">
      <alignment vertical="center"/>
    </xf>
    <xf numFmtId="4" fontId="3" fillId="32" borderId="35" xfId="30" applyNumberFormat="1" applyFont="1" applyFill="1" applyBorder="1" applyAlignment="1" applyProtection="1">
      <alignment vertical="center"/>
    </xf>
    <xf numFmtId="4" fontId="3" fillId="32" borderId="0" xfId="30" applyNumberFormat="1" applyFill="1" applyAlignment="1" applyProtection="1">
      <alignment vertical="center"/>
    </xf>
    <xf numFmtId="4" fontId="59" fillId="32" borderId="11" xfId="30" applyNumberFormat="1" applyFont="1" applyFill="1" applyBorder="1" applyAlignment="1" applyProtection="1">
      <alignment vertical="center"/>
    </xf>
    <xf numFmtId="1" fontId="3" fillId="0" borderId="37" xfId="30" applyNumberFormat="1" applyBorder="1" applyAlignment="1" applyProtection="1">
      <alignment horizontal="center" vertical="center"/>
    </xf>
    <xf numFmtId="4" fontId="3" fillId="32" borderId="11" xfId="192" applyNumberFormat="1" applyFont="1" applyFill="1" applyBorder="1" applyAlignment="1" applyProtection="1">
      <alignment vertical="center"/>
    </xf>
    <xf numFmtId="4" fontId="3" fillId="32" borderId="0" xfId="30" applyNumberFormat="1" applyFont="1" applyFill="1" applyBorder="1" applyAlignment="1" applyProtection="1">
      <alignment vertical="center"/>
    </xf>
    <xf numFmtId="4" fontId="3" fillId="32" borderId="36" xfId="30" applyNumberFormat="1" applyFont="1" applyFill="1" applyBorder="1" applyAlignment="1" applyProtection="1">
      <alignment vertical="center"/>
    </xf>
    <xf numFmtId="4" fontId="3" fillId="32" borderId="81" xfId="30" applyNumberFormat="1" applyFont="1" applyFill="1" applyBorder="1" applyAlignment="1" applyProtection="1">
      <alignment vertical="center"/>
    </xf>
    <xf numFmtId="4" fontId="3" fillId="32" borderId="0" xfId="192" applyNumberFormat="1" applyFont="1" applyFill="1" applyBorder="1" applyAlignment="1" applyProtection="1">
      <alignment vertical="center"/>
    </xf>
    <xf numFmtId="4" fontId="60" fillId="32" borderId="37" xfId="30" applyNumberFormat="1" applyFont="1" applyFill="1" applyBorder="1" applyAlignment="1" applyProtection="1">
      <alignment vertical="center"/>
    </xf>
    <xf numFmtId="4" fontId="27" fillId="32" borderId="0" xfId="30" applyNumberFormat="1" applyFont="1" applyFill="1" applyAlignment="1" applyProtection="1">
      <alignment vertical="center"/>
    </xf>
    <xf numFmtId="4" fontId="61" fillId="32" borderId="11" xfId="30" applyNumberFormat="1" applyFont="1" applyFill="1" applyBorder="1" applyAlignment="1" applyProtection="1">
      <alignment vertical="center"/>
    </xf>
    <xf numFmtId="0" fontId="27" fillId="32" borderId="0" xfId="30" applyFont="1" applyFill="1" applyAlignment="1" applyProtection="1">
      <alignment vertical="center"/>
    </xf>
    <xf numFmtId="0" fontId="27" fillId="0" borderId="0" xfId="30" applyFont="1" applyAlignment="1" applyProtection="1">
      <alignment vertical="center"/>
    </xf>
    <xf numFmtId="4" fontId="62" fillId="32" borderId="0" xfId="30" applyNumberFormat="1" applyFont="1" applyFill="1" applyAlignment="1" applyProtection="1">
      <alignment horizontal="left" vertical="center"/>
    </xf>
    <xf numFmtId="4" fontId="62" fillId="32" borderId="0" xfId="30" applyNumberFormat="1" applyFont="1" applyFill="1" applyAlignment="1" applyProtection="1">
      <alignment horizontal="right" vertical="center"/>
    </xf>
    <xf numFmtId="0" fontId="6" fillId="0" borderId="0" xfId="30" applyFont="1" applyAlignment="1" applyProtection="1">
      <alignment vertical="center"/>
    </xf>
    <xf numFmtId="1" fontId="3" fillId="0" borderId="26" xfId="30" applyNumberFormat="1" applyBorder="1" applyAlignment="1" applyProtection="1">
      <alignment horizontal="center" vertical="center"/>
    </xf>
    <xf numFmtId="4" fontId="3" fillId="32" borderId="0" xfId="30" applyNumberFormat="1" applyFill="1" applyBorder="1" applyAlignment="1" applyProtection="1">
      <alignment vertical="center"/>
    </xf>
    <xf numFmtId="4" fontId="3" fillId="32" borderId="35" xfId="30" applyNumberFormat="1" applyFill="1" applyBorder="1" applyAlignment="1" applyProtection="1">
      <alignment vertical="center"/>
    </xf>
    <xf numFmtId="4" fontId="63" fillId="32" borderId="11" xfId="30" applyNumberFormat="1" applyFont="1" applyFill="1" applyBorder="1" applyAlignment="1" applyProtection="1">
      <alignment vertical="center"/>
    </xf>
    <xf numFmtId="0" fontId="3" fillId="0" borderId="26" xfId="30" applyBorder="1" applyAlignment="1" applyProtection="1">
      <alignment horizontal="center" vertical="center"/>
    </xf>
    <xf numFmtId="4" fontId="3" fillId="32" borderId="36" xfId="30" applyNumberFormat="1" applyFill="1" applyBorder="1" applyAlignment="1" applyProtection="1">
      <alignment vertical="center"/>
    </xf>
    <xf numFmtId="4" fontId="61" fillId="0" borderId="11" xfId="30" applyNumberFormat="1" applyFont="1" applyBorder="1" applyAlignment="1" applyProtection="1">
      <alignment vertical="center"/>
    </xf>
    <xf numFmtId="1" fontId="3" fillId="32" borderId="11" xfId="30" applyNumberFormat="1" applyFill="1" applyBorder="1" applyAlignment="1" applyProtection="1">
      <alignment horizontal="center" vertical="center"/>
    </xf>
    <xf numFmtId="4" fontId="3" fillId="32" borderId="32" xfId="30" applyNumberFormat="1" applyFill="1" applyBorder="1" applyAlignment="1" applyProtection="1">
      <alignment vertical="center"/>
    </xf>
    <xf numFmtId="4" fontId="3" fillId="32" borderId="11" xfId="30" applyNumberFormat="1" applyFill="1" applyBorder="1" applyAlignment="1" applyProtection="1">
      <alignment vertical="center"/>
    </xf>
    <xf numFmtId="4" fontId="59" fillId="32" borderId="0" xfId="30" applyNumberFormat="1" applyFont="1" applyFill="1" applyBorder="1" applyAlignment="1" applyProtection="1">
      <alignment vertical="center"/>
    </xf>
    <xf numFmtId="4" fontId="59" fillId="32" borderId="36" xfId="30" applyNumberFormat="1" applyFont="1" applyFill="1" applyBorder="1" applyAlignment="1" applyProtection="1">
      <alignment vertical="center"/>
    </xf>
    <xf numFmtId="4" fontId="3" fillId="32" borderId="36" xfId="192" applyNumberFormat="1" applyFont="1" applyFill="1" applyBorder="1" applyAlignment="1" applyProtection="1">
      <alignment vertical="center"/>
    </xf>
    <xf numFmtId="0" fontId="7" fillId="32" borderId="0" xfId="0" applyFont="1" applyFill="1" applyAlignment="1" applyProtection="1">
      <alignment vertical="center"/>
    </xf>
    <xf numFmtId="0" fontId="69" fillId="32" borderId="11" xfId="0" applyFont="1" applyFill="1" applyBorder="1" applyAlignment="1" applyProtection="1">
      <alignment vertical="center"/>
    </xf>
    <xf numFmtId="0" fontId="6" fillId="32" borderId="11" xfId="0" applyFont="1" applyFill="1" applyBorder="1" applyAlignment="1" applyProtection="1">
      <alignment vertical="center"/>
    </xf>
    <xf numFmtId="4" fontId="7" fillId="32" borderId="11" xfId="0" applyNumberFormat="1" applyFont="1" applyFill="1" applyBorder="1" applyAlignment="1" applyProtection="1">
      <alignment vertical="center"/>
    </xf>
    <xf numFmtId="4" fontId="7" fillId="32" borderId="11"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6" fillId="32" borderId="11" xfId="0" applyNumberFormat="1" applyFont="1" applyFill="1" applyBorder="1" applyAlignment="1" applyProtection="1">
      <alignment vertical="center"/>
    </xf>
    <xf numFmtId="0" fontId="65" fillId="32" borderId="0" xfId="186" applyFont="1" applyFill="1" applyAlignment="1" applyProtection="1">
      <alignment vertical="center"/>
    </xf>
    <xf numFmtId="1" fontId="3" fillId="0" borderId="11" xfId="30" applyNumberFormat="1" applyBorder="1" applyAlignment="1" applyProtection="1">
      <alignment horizontal="center" vertical="center"/>
    </xf>
    <xf numFmtId="4" fontId="60" fillId="32" borderId="11" xfId="30" applyNumberFormat="1" applyFont="1" applyFill="1" applyBorder="1" applyAlignment="1" applyProtection="1">
      <alignment vertical="center"/>
    </xf>
    <xf numFmtId="4" fontId="59" fillId="32" borderId="81" xfId="30" applyNumberFormat="1" applyFont="1" applyFill="1" applyBorder="1" applyAlignment="1" applyProtection="1">
      <alignment vertical="center"/>
    </xf>
    <xf numFmtId="4" fontId="59" fillId="32" borderId="31" xfId="30" applyNumberFormat="1" applyFont="1" applyFill="1" applyBorder="1" applyAlignment="1" applyProtection="1">
      <alignment vertical="center"/>
    </xf>
    <xf numFmtId="4" fontId="59" fillId="32" borderId="30" xfId="30" applyNumberFormat="1" applyFont="1" applyFill="1" applyBorder="1" applyAlignment="1" applyProtection="1">
      <alignment vertical="center"/>
    </xf>
    <xf numFmtId="4" fontId="7" fillId="32" borderId="11" xfId="0" applyNumberFormat="1" applyFont="1" applyFill="1" applyBorder="1" applyAlignment="1" applyProtection="1">
      <alignment horizontal="right"/>
    </xf>
    <xf numFmtId="0" fontId="79" fillId="32" borderId="14" xfId="0" applyFont="1" applyFill="1" applyBorder="1" applyAlignment="1" applyProtection="1">
      <alignment vertical="center"/>
    </xf>
    <xf numFmtId="0" fontId="79" fillId="32" borderId="0" xfId="0" applyFont="1" applyFill="1" applyBorder="1" applyAlignment="1" applyProtection="1">
      <alignment vertical="center"/>
    </xf>
    <xf numFmtId="0" fontId="4" fillId="32" borderId="0" xfId="0" applyFont="1" applyFill="1" applyBorder="1" applyAlignment="1" applyProtection="1">
      <alignment vertical="center"/>
    </xf>
    <xf numFmtId="0" fontId="80" fillId="32" borderId="0" xfId="30" quotePrefix="1" applyFont="1" applyFill="1" applyAlignment="1" applyProtection="1">
      <alignment vertical="center"/>
    </xf>
    <xf numFmtId="0" fontId="74" fillId="32" borderId="0" xfId="0" applyFont="1" applyFill="1" applyAlignment="1" applyProtection="1">
      <alignment vertical="center"/>
    </xf>
    <xf numFmtId="0" fontId="3" fillId="32" borderId="0" xfId="0" applyFont="1" applyFill="1" applyAlignment="1" applyProtection="1">
      <alignment vertical="center"/>
    </xf>
    <xf numFmtId="0" fontId="25" fillId="32" borderId="0" xfId="30" quotePrefix="1" applyFont="1" applyFill="1" applyAlignment="1" applyProtection="1">
      <alignment vertical="center"/>
    </xf>
    <xf numFmtId="0" fontId="35" fillId="32" borderId="0" xfId="35" quotePrefix="1" applyFont="1" applyFill="1" applyAlignment="1" applyProtection="1">
      <alignment vertical="center"/>
    </xf>
    <xf numFmtId="0" fontId="35" fillId="32" borderId="0" xfId="30" quotePrefix="1" applyFont="1" applyFill="1" applyAlignment="1" applyProtection="1">
      <alignment vertical="center"/>
    </xf>
    <xf numFmtId="0" fontId="0" fillId="32" borderId="0" xfId="0" applyFill="1" applyBorder="1" applyAlignment="1" applyProtection="1">
      <alignment vertical="center"/>
    </xf>
    <xf numFmtId="0" fontId="7" fillId="32" borderId="32" xfId="0" applyFont="1" applyFill="1" applyBorder="1" applyAlignment="1" applyProtection="1">
      <alignment horizontal="left" vertical="center"/>
    </xf>
    <xf numFmtId="0" fontId="0" fillId="32" borderId="32" xfId="0" applyFill="1" applyBorder="1" applyAlignment="1" applyProtection="1">
      <alignment vertical="center"/>
    </xf>
    <xf numFmtId="0" fontId="7" fillId="32" borderId="32" xfId="0" applyFont="1" applyFill="1" applyBorder="1" applyAlignment="1" applyProtection="1">
      <alignment horizontal="center" vertical="center" wrapText="1"/>
    </xf>
    <xf numFmtId="0" fontId="64" fillId="32" borderId="0" xfId="0" applyFont="1" applyFill="1" applyBorder="1" applyAlignment="1" applyProtection="1">
      <alignment vertical="center"/>
    </xf>
    <xf numFmtId="4" fontId="0" fillId="32" borderId="0" xfId="0" applyNumberFormat="1" applyFill="1" applyAlignment="1" applyProtection="1">
      <alignment vertical="center"/>
    </xf>
    <xf numFmtId="4" fontId="7" fillId="32" borderId="0" xfId="0" applyNumberFormat="1" applyFont="1" applyFill="1" applyAlignment="1" applyProtection="1">
      <alignment vertical="center"/>
    </xf>
    <xf numFmtId="4" fontId="6" fillId="32" borderId="0" xfId="0" applyNumberFormat="1" applyFont="1" applyFill="1" applyBorder="1" applyAlignment="1" applyProtection="1">
      <alignment vertical="center"/>
    </xf>
    <xf numFmtId="4" fontId="6" fillId="32" borderId="0" xfId="0" applyNumberFormat="1" applyFont="1" applyFill="1" applyAlignment="1" applyProtection="1">
      <alignment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vertical="center"/>
    </xf>
    <xf numFmtId="165" fontId="19" fillId="32" borderId="0" xfId="0" applyNumberFormat="1" applyFont="1" applyFill="1" applyBorder="1" applyAlignment="1" applyProtection="1">
      <alignment vertical="center"/>
    </xf>
    <xf numFmtId="0" fontId="25" fillId="32" borderId="0" xfId="35" quotePrefix="1" applyFont="1" applyFill="1" applyAlignment="1" applyProtection="1">
      <alignment vertical="center"/>
    </xf>
    <xf numFmtId="0" fontId="0" fillId="35" borderId="11" xfId="0" applyFill="1" applyBorder="1" applyAlignment="1" applyProtection="1">
      <alignment vertical="center"/>
    </xf>
    <xf numFmtId="0" fontId="6" fillId="32" borderId="37" xfId="0" applyFont="1" applyFill="1" applyBorder="1" applyAlignment="1" applyProtection="1">
      <alignment horizontal="center" vertical="center"/>
    </xf>
    <xf numFmtId="0" fontId="6" fillId="32" borderId="29" xfId="0" applyFont="1" applyFill="1" applyBorder="1" applyAlignment="1" applyProtection="1">
      <alignment horizontal="center" vertical="center"/>
    </xf>
    <xf numFmtId="0" fontId="6" fillId="32" borderId="26" xfId="0" applyFont="1" applyFill="1" applyBorder="1" applyAlignment="1" applyProtection="1">
      <alignment horizontal="center" vertical="center"/>
    </xf>
    <xf numFmtId="0" fontId="6" fillId="39" borderId="11" xfId="0" applyFont="1" applyFill="1" applyBorder="1" applyAlignment="1" applyProtection="1">
      <alignment vertical="center"/>
    </xf>
    <xf numFmtId="4" fontId="71" fillId="32" borderId="0" xfId="0" applyNumberFormat="1" applyFont="1" applyFill="1" applyAlignment="1" applyProtection="1">
      <alignment vertical="center"/>
    </xf>
    <xf numFmtId="0" fontId="70" fillId="32" borderId="32" xfId="0" applyFont="1" applyFill="1" applyBorder="1" applyAlignment="1" applyProtection="1">
      <alignment horizontal="left" vertical="center"/>
    </xf>
    <xf numFmtId="0" fontId="69" fillId="32" borderId="32" xfId="0" applyFont="1" applyFill="1" applyBorder="1" applyAlignment="1" applyProtection="1">
      <alignment vertical="center"/>
    </xf>
    <xf numFmtId="0" fontId="70" fillId="32" borderId="32" xfId="0" applyFont="1" applyFill="1" applyBorder="1" applyAlignment="1" applyProtection="1">
      <alignment horizontal="center" vertical="center" wrapText="1"/>
    </xf>
    <xf numFmtId="0" fontId="70" fillId="32" borderId="0" xfId="0" applyFont="1" applyFill="1" applyBorder="1" applyAlignment="1" applyProtection="1">
      <alignment horizontal="center" vertical="center" wrapText="1"/>
    </xf>
    <xf numFmtId="0" fontId="69" fillId="32" borderId="0" xfId="0" applyFont="1" applyFill="1" applyBorder="1" applyAlignment="1" applyProtection="1">
      <alignment vertical="center"/>
    </xf>
    <xf numFmtId="0" fontId="7" fillId="32" borderId="82" xfId="0" applyFont="1" applyFill="1" applyBorder="1" applyAlignment="1" applyProtection="1">
      <alignment horizontal="left" vertical="center"/>
    </xf>
    <xf numFmtId="0" fontId="5" fillId="34" borderId="0" xfId="0" applyFont="1" applyFill="1" applyAlignment="1" applyProtection="1">
      <alignment vertical="center"/>
    </xf>
    <xf numFmtId="0" fontId="7" fillId="34" borderId="0" xfId="0" applyFont="1" applyFill="1" applyAlignment="1" applyProtection="1">
      <alignment vertical="center"/>
    </xf>
    <xf numFmtId="0" fontId="0" fillId="34" borderId="0" xfId="0" applyFill="1" applyAlignment="1" applyProtection="1">
      <alignment vertical="center"/>
    </xf>
    <xf numFmtId="0" fontId="0" fillId="34" borderId="0" xfId="0" applyFont="1" applyFill="1" applyAlignment="1" applyProtection="1">
      <alignment vertical="center"/>
    </xf>
    <xf numFmtId="4" fontId="60" fillId="32" borderId="91" xfId="30" applyNumberFormat="1" applyFont="1" applyFill="1" applyBorder="1" applyAlignment="1" applyProtection="1">
      <alignment vertical="center"/>
    </xf>
    <xf numFmtId="4" fontId="60" fillId="32" borderId="37" xfId="30" applyNumberFormat="1" applyFont="1" applyFill="1" applyBorder="1" applyAlignment="1" applyProtection="1">
      <alignment horizontal="center" vertical="center"/>
    </xf>
    <xf numFmtId="4" fontId="60" fillId="0" borderId="11" xfId="30" applyNumberFormat="1" applyFont="1" applyBorder="1" applyAlignment="1" applyProtection="1">
      <alignment vertical="center"/>
    </xf>
    <xf numFmtId="0" fontId="15" fillId="32" borderId="0" xfId="30" applyFont="1" applyFill="1" applyAlignment="1" applyProtection="1">
      <alignment horizontal="center" vertical="center"/>
    </xf>
    <xf numFmtId="0" fontId="7" fillId="32" borderId="34" xfId="30" applyFont="1" applyFill="1" applyBorder="1" applyAlignment="1" applyProtection="1">
      <alignment horizontal="center" vertical="center"/>
    </xf>
    <xf numFmtId="0" fontId="7" fillId="32" borderId="25" xfId="30" applyFont="1" applyFill="1" applyBorder="1" applyAlignment="1" applyProtection="1">
      <alignment horizontal="center" vertical="center"/>
    </xf>
    <xf numFmtId="4" fontId="3" fillId="32" borderId="31" xfId="192" applyNumberFormat="1" applyFont="1" applyFill="1" applyBorder="1" applyAlignment="1" applyProtection="1">
      <alignment vertical="center"/>
    </xf>
    <xf numFmtId="0" fontId="57" fillId="32" borderId="0" xfId="46" applyFill="1" applyBorder="1" applyAlignment="1" applyProtection="1">
      <alignment vertical="center"/>
    </xf>
    <xf numFmtId="4" fontId="6" fillId="32" borderId="0" xfId="30" applyNumberFormat="1" applyFont="1" applyFill="1" applyAlignment="1" applyProtection="1">
      <alignment vertical="center"/>
    </xf>
    <xf numFmtId="4" fontId="6" fillId="35" borderId="11" xfId="192" applyNumberFormat="1" applyFont="1" applyFill="1" applyBorder="1" applyAlignment="1" applyProtection="1">
      <alignment vertical="center"/>
    </xf>
    <xf numFmtId="4" fontId="3" fillId="38" borderId="11" xfId="192" applyNumberFormat="1" applyFont="1" applyFill="1" applyBorder="1" applyAlignment="1" applyProtection="1">
      <alignment vertical="center"/>
    </xf>
    <xf numFmtId="0" fontId="6" fillId="35" borderId="11" xfId="0" applyFont="1" applyFill="1" applyBorder="1" applyAlignment="1" applyProtection="1">
      <alignment vertical="center"/>
    </xf>
    <xf numFmtId="4" fontId="6" fillId="35" borderId="11" xfId="0" applyNumberFormat="1" applyFont="1" applyFill="1" applyBorder="1" applyAlignment="1" applyProtection="1">
      <alignment vertical="center"/>
    </xf>
    <xf numFmtId="165" fontId="3" fillId="32" borderId="92" xfId="192" applyNumberFormat="1" applyFont="1" applyFill="1" applyBorder="1" applyAlignment="1" applyProtection="1">
      <alignment vertical="center"/>
    </xf>
    <xf numFmtId="165" fontId="3" fillId="32" borderId="72" xfId="192" applyNumberFormat="1" applyFont="1" applyFill="1" applyBorder="1" applyAlignment="1" applyProtection="1">
      <alignment vertical="center"/>
    </xf>
    <xf numFmtId="0" fontId="21" fillId="0" borderId="0" xfId="174" applyFont="1" applyFill="1" applyAlignment="1" applyProtection="1">
      <alignment vertical="center"/>
    </xf>
    <xf numFmtId="0" fontId="51" fillId="0" borderId="14" xfId="174" applyFont="1" applyFill="1" applyBorder="1" applyAlignment="1" applyProtection="1">
      <alignment horizontal="center" vertical="center"/>
    </xf>
    <xf numFmtId="0" fontId="21" fillId="0" borderId="0" xfId="174" applyFont="1" applyFill="1" applyBorder="1" applyAlignment="1" applyProtection="1">
      <alignment horizontal="center" vertical="center"/>
    </xf>
    <xf numFmtId="0" fontId="21" fillId="0" borderId="40" xfId="174" applyFont="1" applyFill="1" applyBorder="1" applyAlignment="1" applyProtection="1">
      <alignment horizontal="center" vertical="center"/>
    </xf>
    <xf numFmtId="0" fontId="21" fillId="0" borderId="0" xfId="174" applyFont="1" applyFill="1" applyAlignment="1" applyProtection="1">
      <alignment horizontal="center" vertical="center"/>
    </xf>
    <xf numFmtId="165" fontId="7" fillId="32" borderId="60" xfId="192" applyNumberFormat="1" applyFont="1" applyFill="1" applyBorder="1" applyAlignment="1" applyProtection="1">
      <alignment horizontal="center" vertical="center"/>
    </xf>
    <xf numFmtId="165" fontId="7" fillId="32" borderId="80" xfId="192" applyNumberFormat="1" applyFont="1" applyFill="1" applyBorder="1" applyAlignment="1" applyProtection="1">
      <alignment horizontal="center" vertical="center"/>
    </xf>
    <xf numFmtId="165" fontId="7" fillId="32" borderId="47" xfId="192" applyNumberFormat="1" applyFont="1" applyFill="1" applyBorder="1" applyAlignment="1" applyProtection="1">
      <alignment horizontal="center" vertical="center"/>
    </xf>
    <xf numFmtId="165" fontId="7" fillId="32" borderId="42" xfId="192" applyNumberFormat="1" applyFont="1" applyFill="1" applyBorder="1" applyAlignment="1" applyProtection="1">
      <alignment vertical="center"/>
    </xf>
    <xf numFmtId="0" fontId="28" fillId="32" borderId="0" xfId="174" applyFont="1" applyFill="1" applyAlignment="1" applyProtection="1">
      <alignment vertical="center"/>
    </xf>
    <xf numFmtId="0" fontId="68" fillId="32" borderId="0" xfId="174" applyFont="1" applyFill="1" applyAlignment="1" applyProtection="1">
      <alignment vertical="center"/>
    </xf>
    <xf numFmtId="0" fontId="29" fillId="32" borderId="0" xfId="174" applyFont="1" applyFill="1" applyAlignment="1" applyProtection="1">
      <alignment vertical="center"/>
    </xf>
    <xf numFmtId="0" fontId="66" fillId="32" borderId="0" xfId="174" applyFont="1" applyFill="1" applyAlignment="1" applyProtection="1">
      <alignment vertical="center"/>
    </xf>
    <xf numFmtId="0" fontId="5" fillId="32" borderId="0" xfId="0" applyFont="1" applyFill="1" applyAlignment="1" applyProtection="1">
      <alignment vertical="center"/>
    </xf>
    <xf numFmtId="0" fontId="3" fillId="0" borderId="0" xfId="174" applyFill="1" applyBorder="1" applyAlignment="1" applyProtection="1">
      <alignment vertical="center"/>
    </xf>
    <xf numFmtId="0" fontId="3" fillId="0" borderId="0" xfId="174" applyFill="1" applyAlignment="1" applyProtection="1">
      <alignment vertical="center"/>
    </xf>
    <xf numFmtId="0" fontId="3" fillId="0" borderId="0" xfId="174" applyFill="1" applyAlignment="1" applyProtection="1">
      <alignment horizontal="right" vertical="center"/>
    </xf>
    <xf numFmtId="0" fontId="4" fillId="0" borderId="34" xfId="174" applyFont="1" applyFill="1" applyBorder="1" applyAlignment="1" applyProtection="1">
      <alignment vertical="center"/>
    </xf>
    <xf numFmtId="0" fontId="4" fillId="0" borderId="47" xfId="174" applyFont="1" applyFill="1" applyBorder="1" applyAlignment="1" applyProtection="1">
      <alignment vertical="center"/>
    </xf>
    <xf numFmtId="0" fontId="4" fillId="0" borderId="39" xfId="174" applyFont="1" applyFill="1" applyBorder="1" applyAlignment="1" applyProtection="1">
      <alignment horizontal="right" vertical="center"/>
    </xf>
    <xf numFmtId="0" fontId="4" fillId="0" borderId="0" xfId="174" applyFont="1" applyFill="1" applyBorder="1" applyAlignment="1" applyProtection="1">
      <alignment vertical="center"/>
    </xf>
    <xf numFmtId="0" fontId="4" fillId="0" borderId="0" xfId="174" applyFont="1" applyFill="1" applyAlignment="1" applyProtection="1">
      <alignment vertical="center"/>
    </xf>
    <xf numFmtId="0" fontId="5" fillId="0" borderId="41" xfId="174" applyFont="1" applyFill="1" applyBorder="1" applyAlignment="1" applyProtection="1">
      <alignment vertical="center"/>
    </xf>
    <xf numFmtId="0" fontId="5" fillId="0" borderId="42" xfId="174" applyFont="1" applyFill="1" applyBorder="1" applyAlignment="1" applyProtection="1">
      <alignment vertical="center"/>
    </xf>
    <xf numFmtId="0" fontId="5" fillId="0" borderId="43" xfId="174" applyFont="1" applyFill="1" applyBorder="1" applyAlignment="1" applyProtection="1">
      <alignment horizontal="right" vertical="center"/>
    </xf>
    <xf numFmtId="0" fontId="3" fillId="29" borderId="0" xfId="174" applyFont="1" applyFill="1" applyAlignment="1" applyProtection="1">
      <alignment vertical="center"/>
    </xf>
    <xf numFmtId="0" fontId="3" fillId="0" borderId="41" xfId="174" applyFont="1" applyFill="1" applyBorder="1" applyAlignment="1" applyProtection="1">
      <alignment vertical="center"/>
    </xf>
    <xf numFmtId="3" fontId="6" fillId="32" borderId="43" xfId="192" applyNumberFormat="1" applyFont="1" applyFill="1" applyBorder="1" applyAlignment="1" applyProtection="1">
      <alignment horizontal="left" vertical="center"/>
    </xf>
    <xf numFmtId="4" fontId="6" fillId="32" borderId="92" xfId="192" applyNumberFormat="1" applyFont="1" applyFill="1" applyBorder="1" applyAlignment="1" applyProtection="1">
      <alignment horizontal="right" vertical="center"/>
    </xf>
    <xf numFmtId="4" fontId="6" fillId="32" borderId="72" xfId="192" applyNumberFormat="1" applyFont="1" applyFill="1" applyBorder="1" applyAlignment="1" applyProtection="1">
      <alignment horizontal="right" vertical="center"/>
    </xf>
    <xf numFmtId="4" fontId="19" fillId="32" borderId="42" xfId="192" applyNumberFormat="1" applyFont="1" applyFill="1" applyBorder="1" applyAlignment="1" applyProtection="1">
      <alignment horizontal="right" vertical="center"/>
    </xf>
    <xf numFmtId="4" fontId="6" fillId="32" borderId="68" xfId="192" applyNumberFormat="1" applyFont="1" applyFill="1" applyBorder="1" applyAlignment="1" applyProtection="1">
      <alignment horizontal="right" vertical="center"/>
    </xf>
    <xf numFmtId="0" fontId="53" fillId="0" borderId="41" xfId="174" applyFont="1" applyFill="1" applyBorder="1" applyAlignment="1" applyProtection="1">
      <alignment vertical="center"/>
    </xf>
    <xf numFmtId="0" fontId="53" fillId="0" borderId="42" xfId="174" applyFont="1" applyFill="1" applyBorder="1" applyAlignment="1" applyProtection="1">
      <alignment vertical="center"/>
    </xf>
    <xf numFmtId="0" fontId="3" fillId="0" borderId="42" xfId="174" applyFont="1" applyFill="1" applyBorder="1" applyAlignment="1" applyProtection="1">
      <alignment horizontal="left" vertical="center"/>
    </xf>
    <xf numFmtId="4" fontId="3" fillId="0" borderId="0" xfId="174" applyNumberFormat="1" applyFont="1" applyFill="1" applyAlignment="1" applyProtection="1">
      <alignment vertical="center"/>
    </xf>
    <xf numFmtId="0" fontId="53" fillId="29" borderId="0" xfId="174" applyFont="1" applyFill="1" applyAlignment="1" applyProtection="1">
      <alignment vertical="center"/>
    </xf>
    <xf numFmtId="0" fontId="53" fillId="0" borderId="0" xfId="174" applyFont="1" applyFill="1" applyAlignment="1" applyProtection="1">
      <alignment vertical="center"/>
    </xf>
    <xf numFmtId="0" fontId="3" fillId="0" borderId="43" xfId="174" applyFont="1" applyFill="1" applyBorder="1" applyAlignment="1" applyProtection="1">
      <alignment horizontal="left" vertical="center"/>
    </xf>
    <xf numFmtId="4" fontId="53" fillId="32" borderId="92" xfId="174" applyNumberFormat="1" applyFont="1" applyFill="1" applyBorder="1" applyAlignment="1" applyProtection="1">
      <alignment horizontal="right" vertical="center"/>
    </xf>
    <xf numFmtId="4" fontId="53" fillId="32" borderId="72" xfId="174" applyNumberFormat="1" applyFont="1" applyFill="1" applyBorder="1" applyAlignment="1" applyProtection="1">
      <alignment horizontal="right" vertical="center"/>
    </xf>
    <xf numFmtId="4" fontId="81" fillId="32" borderId="42" xfId="174" applyNumberFormat="1" applyFont="1" applyFill="1" applyBorder="1" applyAlignment="1" applyProtection="1">
      <alignment horizontal="right" vertical="center"/>
    </xf>
    <xf numFmtId="4" fontId="53" fillId="32" borderId="68" xfId="174" applyNumberFormat="1" applyFont="1" applyFill="1" applyBorder="1" applyAlignment="1" applyProtection="1">
      <alignment horizontal="right" vertical="center"/>
    </xf>
    <xf numFmtId="0" fontId="5" fillId="32" borderId="43" xfId="174" applyFont="1" applyFill="1" applyBorder="1" applyAlignment="1" applyProtection="1">
      <alignment horizontal="right" vertical="center"/>
    </xf>
    <xf numFmtId="0" fontId="3" fillId="0" borderId="0" xfId="174" applyFont="1" applyFill="1" applyAlignment="1" applyProtection="1">
      <alignment horizontal="center" vertical="center"/>
    </xf>
    <xf numFmtId="0" fontId="3" fillId="32" borderId="43" xfId="174" applyFont="1" applyFill="1" applyBorder="1" applyAlignment="1" applyProtection="1">
      <alignment horizontal="right" vertical="center"/>
    </xf>
    <xf numFmtId="165" fontId="7" fillId="35" borderId="42" xfId="192" applyNumberFormat="1" applyFont="1" applyFill="1" applyBorder="1" applyAlignment="1" applyProtection="1">
      <alignment vertical="center"/>
    </xf>
    <xf numFmtId="0" fontId="3" fillId="0" borderId="44" xfId="174" applyFont="1" applyFill="1" applyBorder="1" applyAlignment="1" applyProtection="1">
      <alignment vertical="center"/>
    </xf>
    <xf numFmtId="0" fontId="3" fillId="32" borderId="44" xfId="174" applyFont="1" applyFill="1" applyBorder="1" applyAlignment="1" applyProtection="1">
      <alignment vertical="center"/>
    </xf>
    <xf numFmtId="0" fontId="5" fillId="32" borderId="45" xfId="174" applyFont="1" applyFill="1" applyBorder="1" applyAlignment="1" applyProtection="1">
      <alignment vertical="center"/>
    </xf>
    <xf numFmtId="3" fontId="6" fillId="32" borderId="46" xfId="192" applyNumberFormat="1" applyFont="1" applyFill="1" applyBorder="1" applyAlignment="1" applyProtection="1">
      <alignment horizontal="left" vertical="center"/>
    </xf>
    <xf numFmtId="0" fontId="3" fillId="32" borderId="0" xfId="174" applyFont="1" applyFill="1" applyAlignment="1" applyProtection="1">
      <alignment vertical="center"/>
    </xf>
    <xf numFmtId="4" fontId="6" fillId="32" borderId="93" xfId="192" applyNumberFormat="1" applyFont="1" applyFill="1" applyBorder="1" applyAlignment="1" applyProtection="1">
      <alignment horizontal="right" vertical="center"/>
    </xf>
    <xf numFmtId="4" fontId="6" fillId="32" borderId="94" xfId="192" applyNumberFormat="1" applyFont="1" applyFill="1" applyBorder="1" applyAlignment="1" applyProtection="1">
      <alignment horizontal="right" vertical="center"/>
    </xf>
    <xf numFmtId="4" fontId="19" fillId="32" borderId="45" xfId="192" applyNumberFormat="1" applyFont="1" applyFill="1" applyBorder="1" applyAlignment="1" applyProtection="1">
      <alignment horizontal="right" vertical="center"/>
    </xf>
    <xf numFmtId="4" fontId="6" fillId="32" borderId="69" xfId="192" applyNumberFormat="1" applyFont="1" applyFill="1" applyBorder="1" applyAlignment="1" applyProtection="1">
      <alignment horizontal="right" vertical="center"/>
    </xf>
    <xf numFmtId="165" fontId="7" fillId="38" borderId="92" xfId="192" applyNumberFormat="1" applyFont="1" applyFill="1" applyBorder="1" applyAlignment="1" applyProtection="1">
      <alignment vertical="center"/>
    </xf>
    <xf numFmtId="165" fontId="7" fillId="38" borderId="72" xfId="192" applyNumberFormat="1" applyFont="1" applyFill="1" applyBorder="1" applyAlignment="1" applyProtection="1">
      <alignment vertical="center"/>
    </xf>
    <xf numFmtId="165" fontId="7" fillId="35" borderId="68" xfId="192" applyNumberFormat="1" applyFont="1" applyFill="1" applyBorder="1" applyAlignment="1" applyProtection="1">
      <alignment vertical="center"/>
    </xf>
    <xf numFmtId="0" fontId="51" fillId="0" borderId="34" xfId="174" applyFont="1" applyFill="1" applyBorder="1" applyAlignment="1" applyProtection="1">
      <alignment vertical="center"/>
    </xf>
    <xf numFmtId="0" fontId="7" fillId="0" borderId="47" xfId="174" applyFont="1" applyFill="1" applyBorder="1" applyAlignment="1" applyProtection="1">
      <alignment vertical="center"/>
    </xf>
    <xf numFmtId="0" fontId="21" fillId="0" borderId="47" xfId="174" applyFont="1" applyFill="1" applyBorder="1" applyAlignment="1" applyProtection="1">
      <alignment vertical="center"/>
    </xf>
    <xf numFmtId="0" fontId="21" fillId="0" borderId="39" xfId="174" applyFont="1" applyFill="1" applyBorder="1" applyAlignment="1" applyProtection="1">
      <alignment horizontal="right" vertical="center"/>
    </xf>
    <xf numFmtId="165" fontId="7" fillId="32" borderId="60" xfId="174" applyNumberFormat="1" applyFont="1" applyFill="1" applyBorder="1" applyAlignment="1" applyProtection="1">
      <alignment horizontal="right" vertical="center"/>
    </xf>
    <xf numFmtId="165" fontId="7" fillId="32" borderId="80" xfId="174" applyNumberFormat="1" applyFont="1" applyFill="1" applyBorder="1" applyAlignment="1" applyProtection="1">
      <alignment horizontal="right" vertical="center"/>
    </xf>
    <xf numFmtId="165" fontId="7" fillId="32" borderId="47" xfId="174" applyNumberFormat="1" applyFont="1" applyFill="1" applyBorder="1" applyAlignment="1" applyProtection="1">
      <alignment horizontal="right" vertical="center"/>
    </xf>
    <xf numFmtId="0" fontId="21" fillId="29" borderId="0" xfId="174" applyFont="1" applyFill="1" applyAlignment="1" applyProtection="1">
      <alignment vertical="center"/>
    </xf>
    <xf numFmtId="165" fontId="7" fillId="32" borderId="25" xfId="174" applyNumberFormat="1" applyFont="1" applyFill="1" applyBorder="1" applyAlignment="1" applyProtection="1">
      <alignment horizontal="right" vertical="center"/>
    </xf>
    <xf numFmtId="0" fontId="29" fillId="0" borderId="0" xfId="174" applyFont="1" applyFill="1" applyAlignment="1" applyProtection="1">
      <alignment vertical="center"/>
    </xf>
    <xf numFmtId="0" fontId="29" fillId="0" borderId="0" xfId="174" applyFont="1" applyFill="1" applyAlignment="1" applyProtection="1">
      <alignment horizontal="right" vertical="center"/>
    </xf>
    <xf numFmtId="0" fontId="21" fillId="0" borderId="0" xfId="174" applyFont="1" applyFill="1" applyAlignment="1" applyProtection="1">
      <alignment horizontal="left" vertical="center"/>
    </xf>
    <xf numFmtId="0" fontId="6" fillId="0" borderId="0" xfId="174" applyFont="1" applyFill="1" applyAlignment="1" applyProtection="1">
      <alignment vertical="center"/>
    </xf>
    <xf numFmtId="165" fontId="6" fillId="0" borderId="0" xfId="174" applyNumberFormat="1" applyFont="1" applyFill="1" applyAlignment="1" applyProtection="1">
      <alignment vertical="center"/>
    </xf>
    <xf numFmtId="0" fontId="28" fillId="32" borderId="0" xfId="176" applyFont="1" applyFill="1" applyAlignment="1" applyProtection="1">
      <alignment vertical="center"/>
    </xf>
    <xf numFmtId="0" fontId="21" fillId="32" borderId="0" xfId="187" applyFont="1" applyFill="1" applyAlignment="1" applyProtection="1">
      <alignment vertical="center"/>
    </xf>
    <xf numFmtId="0" fontId="29" fillId="32" borderId="0" xfId="176" applyFont="1" applyFill="1" applyAlignment="1" applyProtection="1">
      <alignment horizontal="right" vertical="center"/>
    </xf>
    <xf numFmtId="0" fontId="29" fillId="32" borderId="0" xfId="176" applyFont="1" applyFill="1" applyAlignment="1" applyProtection="1">
      <alignment vertical="center"/>
    </xf>
    <xf numFmtId="0" fontId="20" fillId="32" borderId="0" xfId="184" applyFont="1" applyFill="1" applyAlignment="1" applyProtection="1">
      <alignment vertical="center"/>
    </xf>
    <xf numFmtId="0" fontId="3" fillId="32" borderId="0" xfId="184" applyFont="1" applyFill="1" applyAlignment="1" applyProtection="1">
      <alignment horizontal="right" vertical="center"/>
    </xf>
    <xf numFmtId="0" fontId="3" fillId="32" borderId="0" xfId="184" applyFill="1" applyAlignment="1" applyProtection="1">
      <alignment vertical="center"/>
    </xf>
    <xf numFmtId="0" fontId="64" fillId="32" borderId="0" xfId="184" applyFont="1" applyFill="1" applyAlignment="1" applyProtection="1">
      <alignment vertical="center"/>
    </xf>
    <xf numFmtId="0" fontId="4" fillId="32" borderId="48" xfId="184" applyFont="1" applyFill="1" applyBorder="1" applyAlignment="1" applyProtection="1">
      <alignment vertical="center"/>
    </xf>
    <xf numFmtId="0" fontId="4" fillId="32" borderId="49" xfId="184" applyFont="1" applyFill="1" applyBorder="1" applyAlignment="1" applyProtection="1">
      <alignment vertical="center"/>
    </xf>
    <xf numFmtId="0" fontId="4" fillId="32" borderId="50" xfId="184" applyFont="1" applyFill="1" applyBorder="1" applyAlignment="1" applyProtection="1">
      <alignment horizontal="right" vertical="center"/>
    </xf>
    <xf numFmtId="0" fontId="4" fillId="32" borderId="0" xfId="184" applyFont="1" applyFill="1" applyAlignment="1" applyProtection="1">
      <alignment vertical="center"/>
    </xf>
    <xf numFmtId="0" fontId="67" fillId="32" borderId="0" xfId="184" applyFont="1" applyFill="1" applyAlignment="1" applyProtection="1">
      <alignment vertical="center"/>
    </xf>
    <xf numFmtId="0" fontId="21" fillId="32" borderId="51" xfId="184" applyFont="1" applyFill="1" applyBorder="1" applyAlignment="1" applyProtection="1">
      <alignment vertical="center"/>
    </xf>
    <xf numFmtId="0" fontId="21" fillId="32" borderId="15" xfId="184" applyFont="1" applyFill="1" applyBorder="1" applyAlignment="1" applyProtection="1">
      <alignment vertical="center"/>
    </xf>
    <xf numFmtId="0" fontId="21" fillId="32" borderId="52" xfId="184" applyFont="1" applyFill="1" applyBorder="1" applyAlignment="1" applyProtection="1">
      <alignment horizontal="right" vertical="center"/>
    </xf>
    <xf numFmtId="0" fontId="5" fillId="32" borderId="53" xfId="184" applyFont="1" applyFill="1" applyBorder="1" applyAlignment="1" applyProtection="1">
      <alignment vertical="center"/>
    </xf>
    <xf numFmtId="0" fontId="7" fillId="32" borderId="54" xfId="184" applyFont="1" applyFill="1" applyBorder="1" applyAlignment="1" applyProtection="1">
      <alignment vertical="center"/>
    </xf>
    <xf numFmtId="0" fontId="3" fillId="32" borderId="55" xfId="184" applyFont="1" applyFill="1" applyBorder="1" applyAlignment="1" applyProtection="1">
      <alignment vertical="center"/>
    </xf>
    <xf numFmtId="0" fontId="3" fillId="32" borderId="56" xfId="184" applyFont="1" applyFill="1" applyBorder="1" applyAlignment="1" applyProtection="1">
      <alignment horizontal="right" vertical="center"/>
    </xf>
    <xf numFmtId="0" fontId="7" fillId="32" borderId="53" xfId="184" applyFont="1" applyFill="1" applyBorder="1" applyAlignment="1" applyProtection="1">
      <alignment vertical="center"/>
    </xf>
    <xf numFmtId="0" fontId="7" fillId="32" borderId="42" xfId="174" applyFont="1" applyFill="1" applyBorder="1" applyAlignment="1" applyProtection="1">
      <alignment vertical="center"/>
    </xf>
    <xf numFmtId="0" fontId="5" fillId="32" borderId="42" xfId="174" applyFont="1" applyFill="1" applyBorder="1" applyAlignment="1" applyProtection="1">
      <alignment vertical="center"/>
    </xf>
    <xf numFmtId="0" fontId="19" fillId="32" borderId="68" xfId="184" applyFont="1" applyFill="1" applyBorder="1" applyAlignment="1" applyProtection="1">
      <alignment horizontal="right" vertical="center"/>
    </xf>
    <xf numFmtId="0" fontId="3" fillId="32" borderId="0" xfId="184" applyFont="1" applyFill="1" applyBorder="1" applyAlignment="1" applyProtection="1">
      <alignment vertical="center"/>
    </xf>
    <xf numFmtId="0" fontId="3" fillId="32" borderId="42" xfId="184" applyFont="1" applyFill="1" applyBorder="1" applyAlignment="1" applyProtection="1">
      <alignment vertical="center"/>
    </xf>
    <xf numFmtId="3" fontId="19" fillId="32" borderId="68" xfId="192" applyNumberFormat="1" applyFont="1" applyFill="1" applyBorder="1" applyAlignment="1" applyProtection="1">
      <alignment horizontal="left" vertical="center"/>
    </xf>
    <xf numFmtId="0" fontId="3" fillId="32" borderId="0" xfId="184" applyFont="1" applyFill="1" applyAlignment="1" applyProtection="1">
      <alignment horizontal="center" vertical="center"/>
    </xf>
    <xf numFmtId="0" fontId="3" fillId="32" borderId="41" xfId="184" applyFont="1" applyFill="1" applyBorder="1" applyAlignment="1" applyProtection="1">
      <alignment vertical="center"/>
    </xf>
    <xf numFmtId="0" fontId="21" fillId="32" borderId="57" xfId="184" applyFont="1" applyFill="1" applyBorder="1" applyAlignment="1" applyProtection="1">
      <alignment vertical="center"/>
    </xf>
    <xf numFmtId="0" fontId="21" fillId="32" borderId="58" xfId="184" applyFont="1" applyFill="1" applyBorder="1" applyAlignment="1" applyProtection="1">
      <alignment vertical="center"/>
    </xf>
    <xf numFmtId="0" fontId="21" fillId="32" borderId="59" xfId="184" applyFont="1" applyFill="1" applyBorder="1" applyAlignment="1" applyProtection="1">
      <alignment horizontal="right" vertical="center"/>
    </xf>
    <xf numFmtId="0" fontId="21" fillId="32" borderId="70" xfId="184" applyFont="1" applyFill="1" applyBorder="1" applyAlignment="1" applyProtection="1">
      <alignment horizontal="right" vertical="center"/>
    </xf>
    <xf numFmtId="0" fontId="51" fillId="32" borderId="34" xfId="174" applyFont="1" applyFill="1" applyBorder="1" applyAlignment="1" applyProtection="1">
      <alignment vertical="center"/>
    </xf>
    <xf numFmtId="0" fontId="7" fillId="32" borderId="47" xfId="174" applyFont="1" applyFill="1" applyBorder="1" applyAlignment="1" applyProtection="1">
      <alignment vertical="center"/>
    </xf>
    <xf numFmtId="0" fontId="21" fillId="32" borderId="47" xfId="174" applyFont="1" applyFill="1" applyBorder="1" applyAlignment="1" applyProtection="1">
      <alignment vertical="center"/>
    </xf>
    <xf numFmtId="0" fontId="21" fillId="32" borderId="39" xfId="174" applyFont="1" applyFill="1" applyBorder="1" applyAlignment="1" applyProtection="1">
      <alignment horizontal="right" vertical="center"/>
    </xf>
    <xf numFmtId="165" fontId="7" fillId="29" borderId="25" xfId="174" applyNumberFormat="1" applyFont="1" applyFill="1" applyBorder="1" applyAlignment="1" applyProtection="1">
      <alignment vertical="center"/>
    </xf>
    <xf numFmtId="0" fontId="21" fillId="32" borderId="0" xfId="174" applyFont="1" applyFill="1" applyAlignment="1" applyProtection="1">
      <alignment vertical="center"/>
    </xf>
    <xf numFmtId="0" fontId="29" fillId="32" borderId="0" xfId="184" applyFont="1" applyFill="1" applyAlignment="1" applyProtection="1">
      <alignment vertical="center"/>
    </xf>
    <xf numFmtId="0" fontId="21" fillId="32" borderId="0" xfId="184" applyFont="1" applyFill="1" applyAlignment="1" applyProtection="1">
      <alignment horizontal="left" vertical="center"/>
    </xf>
    <xf numFmtId="0" fontId="29" fillId="32" borderId="0" xfId="184" applyFont="1" applyFill="1" applyAlignment="1" applyProtection="1">
      <alignment horizontal="right" vertical="center"/>
    </xf>
    <xf numFmtId="0" fontId="3" fillId="32" borderId="0" xfId="184" applyFill="1" applyAlignment="1" applyProtection="1">
      <alignment horizontal="right" vertical="center"/>
    </xf>
    <xf numFmtId="0" fontId="6" fillId="32" borderId="0" xfId="0" applyFont="1" applyFill="1" applyAlignment="1" applyProtection="1">
      <alignment vertical="center" wrapText="1"/>
    </xf>
    <xf numFmtId="0" fontId="7" fillId="32" borderId="74" xfId="184" applyFont="1" applyFill="1" applyBorder="1" applyAlignment="1" applyProtection="1">
      <alignment horizontal="right" vertical="center"/>
    </xf>
    <xf numFmtId="0" fontId="7" fillId="32" borderId="55" xfId="184" applyFont="1" applyFill="1" applyBorder="1" applyAlignment="1" applyProtection="1">
      <alignment horizontal="right" vertical="center"/>
    </xf>
    <xf numFmtId="0" fontId="19" fillId="32" borderId="42" xfId="184" applyFont="1" applyFill="1" applyBorder="1" applyAlignment="1" applyProtection="1">
      <alignment horizontal="right" vertical="center"/>
    </xf>
    <xf numFmtId="3" fontId="19" fillId="32" borderId="42" xfId="192" applyNumberFormat="1" applyFont="1" applyFill="1" applyBorder="1" applyAlignment="1" applyProtection="1">
      <alignment horizontal="left" vertical="center"/>
    </xf>
    <xf numFmtId="0" fontId="21" fillId="32" borderId="58" xfId="184" applyFont="1" applyFill="1" applyBorder="1" applyAlignment="1" applyProtection="1">
      <alignment horizontal="right" vertical="center"/>
    </xf>
    <xf numFmtId="165" fontId="7" fillId="29" borderId="47" xfId="174" applyNumberFormat="1" applyFont="1" applyFill="1" applyBorder="1" applyAlignment="1" applyProtection="1">
      <alignment vertical="center"/>
    </xf>
    <xf numFmtId="0" fontId="7" fillId="32" borderId="95" xfId="184" applyFont="1" applyFill="1" applyBorder="1" applyAlignment="1" applyProtection="1">
      <alignment horizontal="right" vertical="center"/>
    </xf>
    <xf numFmtId="0" fontId="19" fillId="32" borderId="92" xfId="184" applyFont="1" applyFill="1" applyBorder="1" applyAlignment="1" applyProtection="1">
      <alignment horizontal="right" vertical="center"/>
    </xf>
    <xf numFmtId="167" fontId="7" fillId="32" borderId="92" xfId="192" applyNumberFormat="1" applyFont="1" applyFill="1" applyBorder="1" applyAlignment="1" applyProtection="1">
      <alignment vertical="center"/>
    </xf>
    <xf numFmtId="3" fontId="19" fillId="32" borderId="92" xfId="192" applyNumberFormat="1" applyFont="1" applyFill="1" applyBorder="1" applyAlignment="1" applyProtection="1">
      <alignment horizontal="left" vertical="center"/>
    </xf>
    <xf numFmtId="0" fontId="21" fillId="32" borderId="96" xfId="184" applyFont="1" applyFill="1" applyBorder="1" applyAlignment="1" applyProtection="1">
      <alignment horizontal="right" vertical="center"/>
    </xf>
    <xf numFmtId="165" fontId="7" fillId="29" borderId="60" xfId="174" applyNumberFormat="1" applyFont="1" applyFill="1" applyBorder="1" applyAlignment="1" applyProtection="1">
      <alignment vertical="center"/>
    </xf>
    <xf numFmtId="0" fontId="7" fillId="32" borderId="97" xfId="184" applyFont="1" applyFill="1" applyBorder="1" applyAlignment="1" applyProtection="1">
      <alignment horizontal="right" vertical="center"/>
    </xf>
    <xf numFmtId="0" fontId="19" fillId="32" borderId="72" xfId="184" applyFont="1" applyFill="1" applyBorder="1" applyAlignment="1" applyProtection="1">
      <alignment horizontal="right" vertical="center"/>
    </xf>
    <xf numFmtId="167" fontId="7" fillId="32" borderId="72" xfId="192" applyNumberFormat="1" applyFont="1" applyFill="1" applyBorder="1" applyAlignment="1" applyProtection="1">
      <alignment vertical="center"/>
    </xf>
    <xf numFmtId="3" fontId="19" fillId="32" borderId="72" xfId="192" applyNumberFormat="1" applyFont="1" applyFill="1" applyBorder="1" applyAlignment="1" applyProtection="1">
      <alignment horizontal="left" vertical="center"/>
    </xf>
    <xf numFmtId="0" fontId="21" fillId="32" borderId="98" xfId="184" applyFont="1" applyFill="1" applyBorder="1" applyAlignment="1" applyProtection="1">
      <alignment horizontal="right" vertical="center"/>
    </xf>
    <xf numFmtId="165" fontId="7" fillId="29" borderId="80" xfId="174" applyNumberFormat="1" applyFont="1" applyFill="1" applyBorder="1" applyAlignment="1" applyProtection="1">
      <alignment vertical="center"/>
    </xf>
    <xf numFmtId="0" fontId="7" fillId="0" borderId="15" xfId="174" applyFont="1" applyFill="1" applyBorder="1" applyAlignment="1" applyProtection="1">
      <alignment horizontal="center" vertical="center" wrapText="1"/>
    </xf>
    <xf numFmtId="167" fontId="7" fillId="32" borderId="42" xfId="192" applyNumberFormat="1" applyFont="1" applyFill="1" applyBorder="1" applyAlignment="1" applyProtection="1">
      <alignment vertical="center"/>
    </xf>
    <xf numFmtId="0" fontId="82" fillId="32" borderId="0" xfId="174" applyFont="1" applyFill="1" applyAlignment="1" applyProtection="1">
      <alignment vertical="center"/>
    </xf>
    <xf numFmtId="0" fontId="83" fillId="32" borderId="0" xfId="174" applyFont="1" applyFill="1" applyAlignment="1" applyProtection="1">
      <alignment vertical="center"/>
    </xf>
    <xf numFmtId="0" fontId="74" fillId="0" borderId="0" xfId="174" applyFont="1" applyFill="1" applyAlignment="1" applyProtection="1">
      <alignment vertical="center"/>
    </xf>
    <xf numFmtId="0" fontId="79" fillId="0" borderId="0" xfId="174" applyFont="1" applyFill="1" applyBorder="1" applyAlignment="1" applyProtection="1">
      <alignment vertical="center"/>
    </xf>
    <xf numFmtId="0" fontId="79" fillId="0" borderId="0" xfId="174" applyFont="1" applyFill="1" applyAlignment="1" applyProtection="1">
      <alignment vertical="center"/>
    </xf>
    <xf numFmtId="0" fontId="73" fillId="0" borderId="0" xfId="174" applyFont="1" applyFill="1" applyAlignment="1" applyProtection="1">
      <alignment horizontal="center" vertical="center"/>
    </xf>
    <xf numFmtId="0" fontId="83" fillId="32" borderId="0" xfId="176" applyFont="1" applyFill="1" applyAlignment="1" applyProtection="1">
      <alignment vertical="center"/>
    </xf>
    <xf numFmtId="0" fontId="82" fillId="32" borderId="0" xfId="176" applyFont="1" applyFill="1" applyAlignment="1" applyProtection="1">
      <alignment vertical="center"/>
    </xf>
    <xf numFmtId="0" fontId="74" fillId="32" borderId="0" xfId="184" applyFont="1" applyFill="1" applyAlignment="1" applyProtection="1">
      <alignment vertical="center"/>
    </xf>
    <xf numFmtId="0" fontId="79" fillId="32" borderId="0" xfId="184" applyFont="1" applyFill="1" applyAlignment="1" applyProtection="1">
      <alignment vertical="center"/>
    </xf>
    <xf numFmtId="0" fontId="73" fillId="32" borderId="0" xfId="184" applyFont="1" applyFill="1" applyAlignment="1" applyProtection="1">
      <alignment vertical="center"/>
    </xf>
    <xf numFmtId="0" fontId="80" fillId="32" borderId="0" xfId="0" applyFont="1" applyFill="1" applyAlignment="1" applyProtection="1">
      <alignment vertical="center" wrapText="1"/>
    </xf>
    <xf numFmtId="0" fontId="3" fillId="32" borderId="0" xfId="171" applyFill="1" applyAlignment="1" applyProtection="1">
      <alignment vertical="center"/>
    </xf>
    <xf numFmtId="0" fontId="64" fillId="32" borderId="0" xfId="171" applyFont="1" applyFill="1" applyAlignment="1" applyProtection="1">
      <alignment vertical="center"/>
    </xf>
    <xf numFmtId="0" fontId="7" fillId="32" borderId="0" xfId="171" applyFont="1" applyFill="1" applyAlignment="1" applyProtection="1">
      <alignment vertical="center"/>
    </xf>
    <xf numFmtId="0" fontId="6" fillId="32" borderId="0" xfId="171" applyFont="1" applyFill="1" applyAlignment="1" applyProtection="1">
      <alignment vertical="center"/>
    </xf>
    <xf numFmtId="165" fontId="6" fillId="32" borderId="0" xfId="171" applyNumberFormat="1" applyFont="1" applyFill="1" applyAlignment="1" applyProtection="1">
      <alignment vertical="center"/>
    </xf>
    <xf numFmtId="0" fontId="5" fillId="32" borderId="53" xfId="171" applyFont="1" applyFill="1" applyBorder="1" applyAlignment="1" applyProtection="1">
      <alignment vertical="center"/>
    </xf>
    <xf numFmtId="0" fontId="5" fillId="32" borderId="54" xfId="171" applyFont="1" applyFill="1" applyBorder="1" applyAlignment="1" applyProtection="1">
      <alignment vertical="center"/>
    </xf>
    <xf numFmtId="165" fontId="7" fillId="32" borderId="53" xfId="171" applyNumberFormat="1" applyFont="1" applyFill="1" applyBorder="1" applyAlignment="1" applyProtection="1">
      <alignment vertical="center"/>
    </xf>
    <xf numFmtId="165" fontId="7" fillId="32" borderId="34" xfId="192" applyNumberFormat="1" applyFont="1" applyFill="1" applyBorder="1" applyAlignment="1" applyProtection="1">
      <alignment horizontal="right" vertical="center"/>
    </xf>
    <xf numFmtId="165" fontId="7" fillId="32" borderId="79" xfId="171" applyNumberFormat="1" applyFont="1" applyFill="1" applyBorder="1" applyAlignment="1" applyProtection="1">
      <alignment vertical="center"/>
    </xf>
    <xf numFmtId="0" fontId="3" fillId="32" borderId="79" xfId="171" applyFont="1" applyFill="1" applyBorder="1" applyAlignment="1" applyProtection="1">
      <alignment vertical="center"/>
    </xf>
    <xf numFmtId="3" fontId="6" fillId="32" borderId="101" xfId="192" applyNumberFormat="1" applyFont="1" applyFill="1" applyBorder="1" applyAlignment="1" applyProtection="1">
      <alignment horizontal="right" vertical="center"/>
    </xf>
    <xf numFmtId="0" fontId="3" fillId="32" borderId="101" xfId="171" applyFont="1" applyFill="1" applyBorder="1" applyAlignment="1" applyProtection="1">
      <alignment horizontal="right" vertical="center"/>
    </xf>
    <xf numFmtId="165" fontId="3" fillId="29" borderId="101" xfId="192" applyNumberFormat="1" applyFont="1" applyFill="1" applyBorder="1" applyAlignment="1" applyProtection="1">
      <alignment vertical="center"/>
    </xf>
    <xf numFmtId="3" fontId="6" fillId="32" borderId="27" xfId="192" applyNumberFormat="1" applyFont="1" applyFill="1" applyBorder="1" applyAlignment="1" applyProtection="1">
      <alignment horizontal="right" vertical="center"/>
    </xf>
    <xf numFmtId="165" fontId="7" fillId="32" borderId="99" xfId="192" applyNumberFormat="1" applyFont="1" applyFill="1" applyBorder="1" applyAlignment="1" applyProtection="1">
      <alignment horizontal="right" vertical="center"/>
    </xf>
    <xf numFmtId="165" fontId="7" fillId="32" borderId="101" xfId="171" applyNumberFormat="1" applyFont="1" applyFill="1" applyBorder="1" applyAlignment="1" applyProtection="1">
      <alignment vertical="center"/>
    </xf>
    <xf numFmtId="0" fontId="3" fillId="32" borderId="101" xfId="171" applyFont="1" applyFill="1" applyBorder="1" applyAlignment="1" applyProtection="1">
      <alignment vertical="center"/>
    </xf>
    <xf numFmtId="3" fontId="6" fillId="32" borderId="81" xfId="192" applyNumberFormat="1" applyFont="1" applyFill="1" applyBorder="1" applyAlignment="1" applyProtection="1">
      <alignment horizontal="right" vertical="center"/>
    </xf>
    <xf numFmtId="165" fontId="3" fillId="32" borderId="100" xfId="192" applyNumberFormat="1" applyFont="1" applyFill="1" applyBorder="1" applyAlignment="1" applyProtection="1">
      <alignment vertical="center"/>
    </xf>
    <xf numFmtId="165" fontId="7" fillId="32" borderId="100" xfId="192" applyNumberFormat="1" applyFont="1" applyFill="1" applyBorder="1" applyAlignment="1" applyProtection="1">
      <alignment vertical="center"/>
    </xf>
    <xf numFmtId="165" fontId="3" fillId="32" borderId="101" xfId="192" applyNumberFormat="1" applyFont="1" applyFill="1" applyBorder="1" applyAlignment="1" applyProtection="1">
      <alignment vertical="center"/>
    </xf>
    <xf numFmtId="0" fontId="75" fillId="32" borderId="0" xfId="186" applyFont="1" applyFill="1" applyBorder="1" applyAlignment="1" applyProtection="1">
      <alignment vertical="center"/>
    </xf>
    <xf numFmtId="0" fontId="74" fillId="32" borderId="0" xfId="171" applyFont="1" applyFill="1" applyAlignment="1" applyProtection="1">
      <alignment vertical="center"/>
    </xf>
    <xf numFmtId="0" fontId="84" fillId="32" borderId="0" xfId="171" applyFont="1" applyFill="1" applyAlignment="1" applyProtection="1">
      <alignment vertical="center"/>
    </xf>
    <xf numFmtId="0" fontId="3" fillId="32" borderId="92" xfId="171" applyFont="1" applyFill="1" applyBorder="1" applyAlignment="1" applyProtection="1">
      <alignment horizontal="right" vertical="center"/>
    </xf>
    <xf numFmtId="165" fontId="3" fillId="29" borderId="92" xfId="192" applyNumberFormat="1" applyFont="1" applyFill="1" applyBorder="1" applyAlignment="1" applyProtection="1">
      <alignment vertical="center"/>
    </xf>
    <xf numFmtId="4" fontId="3" fillId="35" borderId="11" xfId="121" applyNumberFormat="1" applyFont="1" applyFill="1" applyBorder="1" applyAlignment="1" applyProtection="1">
      <alignment vertical="center"/>
    </xf>
    <xf numFmtId="10" fontId="3" fillId="32" borderId="11" xfId="121" applyNumberFormat="1" applyFont="1" applyFill="1" applyBorder="1" applyAlignment="1" applyProtection="1">
      <alignment vertical="center"/>
    </xf>
    <xf numFmtId="4" fontId="3" fillId="32" borderId="81" xfId="30" applyNumberFormat="1" applyFill="1" applyBorder="1" applyAlignment="1" applyProtection="1">
      <alignment vertical="center"/>
    </xf>
    <xf numFmtId="0" fontId="0" fillId="32" borderId="0" xfId="0" applyFont="1" applyFill="1" applyAlignment="1" applyProtection="1">
      <alignment horizontal="center" vertical="center"/>
    </xf>
    <xf numFmtId="4" fontId="3" fillId="35" borderId="11" xfId="192" applyNumberFormat="1" applyFont="1" applyFill="1" applyBorder="1" applyAlignment="1" applyProtection="1">
      <alignment vertical="center"/>
    </xf>
    <xf numFmtId="4" fontId="6" fillId="32" borderId="11" xfId="192" applyNumberFormat="1" applyFont="1" applyFill="1" applyBorder="1" applyAlignment="1" applyProtection="1">
      <alignment horizontal="right" vertical="center"/>
    </xf>
    <xf numFmtId="169" fontId="3" fillId="32" borderId="11" xfId="192" applyNumberFormat="1" applyFont="1" applyFill="1" applyBorder="1" applyAlignment="1" applyProtection="1">
      <alignment vertical="center"/>
    </xf>
    <xf numFmtId="4" fontId="3" fillId="32" borderId="77" xfId="30" applyNumberFormat="1" applyFill="1" applyBorder="1" applyAlignment="1" applyProtection="1">
      <alignment vertical="center"/>
    </xf>
    <xf numFmtId="4" fontId="3" fillId="32" borderId="81" xfId="192" applyNumberFormat="1" applyFont="1" applyFill="1" applyBorder="1" applyAlignment="1" applyProtection="1">
      <alignment vertical="center"/>
    </xf>
    <xf numFmtId="4" fontId="3" fillId="32" borderId="30" xfId="192" applyNumberFormat="1" applyFont="1" applyFill="1" applyBorder="1" applyAlignment="1" applyProtection="1">
      <alignment vertical="center"/>
    </xf>
    <xf numFmtId="4" fontId="6" fillId="35" borderId="11" xfId="192" applyNumberFormat="1" applyFont="1" applyFill="1" applyBorder="1" applyAlignment="1" applyProtection="1">
      <alignment horizontal="right" vertical="center"/>
    </xf>
    <xf numFmtId="0" fontId="0" fillId="34" borderId="0" xfId="0" applyFill="1" applyAlignment="1" applyProtection="1">
      <alignment horizontal="right" vertical="center"/>
    </xf>
    <xf numFmtId="4" fontId="7" fillId="0" borderId="11" xfId="0" applyNumberFormat="1" applyFont="1" applyFill="1" applyBorder="1" applyAlignment="1" applyProtection="1">
      <alignment horizontal="right" vertical="center"/>
    </xf>
    <xf numFmtId="0" fontId="0" fillId="32" borderId="0" xfId="0" applyFill="1" applyAlignment="1" applyProtection="1">
      <alignment horizontal="right"/>
    </xf>
    <xf numFmtId="0" fontId="6" fillId="41" borderId="0" xfId="0" applyFont="1" applyFill="1" applyAlignment="1" applyProtection="1">
      <alignment vertical="center"/>
    </xf>
    <xf numFmtId="0" fontId="85" fillId="32" borderId="0" xfId="186" applyFont="1" applyFill="1" applyAlignment="1" applyProtection="1">
      <alignment vertical="center"/>
    </xf>
    <xf numFmtId="4" fontId="3" fillId="32" borderId="31" xfId="30" applyNumberFormat="1" applyFill="1" applyBorder="1" applyAlignment="1" applyProtection="1">
      <alignment vertical="center"/>
    </xf>
    <xf numFmtId="4" fontId="3" fillId="32" borderId="30" xfId="30" applyNumberFormat="1" applyFill="1" applyBorder="1" applyAlignment="1" applyProtection="1">
      <alignment vertical="center"/>
    </xf>
    <xf numFmtId="4" fontId="60" fillId="32" borderId="29" xfId="30" applyNumberFormat="1" applyFont="1" applyFill="1" applyBorder="1" applyAlignment="1" applyProtection="1">
      <alignment vertical="center"/>
    </xf>
    <xf numFmtId="4" fontId="60" fillId="32" borderId="11" xfId="30" applyNumberFormat="1" applyFont="1" applyFill="1" applyBorder="1" applyAlignment="1" applyProtection="1">
      <alignment horizontal="center" vertical="center"/>
    </xf>
    <xf numFmtId="0" fontId="18" fillId="32" borderId="0" xfId="13" applyFill="1" applyAlignment="1" applyProtection="1">
      <alignment horizontal="center" vertical="center"/>
    </xf>
    <xf numFmtId="0" fontId="80" fillId="32" borderId="0" xfId="0" applyFont="1" applyFill="1" applyAlignment="1" applyProtection="1">
      <alignment vertical="center"/>
    </xf>
    <xf numFmtId="0" fontId="0" fillId="32" borderId="0" xfId="0" applyFill="1" applyAlignment="1" applyProtection="1">
      <alignment vertical="center" wrapText="1"/>
    </xf>
    <xf numFmtId="0" fontId="5" fillId="32" borderId="0" xfId="0" applyFont="1" applyFill="1" applyAlignment="1" applyProtection="1">
      <alignment vertical="center" wrapText="1"/>
    </xf>
    <xf numFmtId="0" fontId="80" fillId="32" borderId="0" xfId="0" applyFont="1" applyFill="1" applyAlignment="1" applyProtection="1">
      <alignment horizontal="center" vertical="center"/>
    </xf>
    <xf numFmtId="0" fontId="0" fillId="32" borderId="27" xfId="0" applyFill="1" applyBorder="1" applyAlignment="1" applyProtection="1">
      <alignment horizontal="center" vertical="center"/>
    </xf>
    <xf numFmtId="0" fontId="0" fillId="32" borderId="28" xfId="0" applyFill="1" applyBorder="1" applyAlignment="1" applyProtection="1">
      <alignment vertical="center"/>
    </xf>
    <xf numFmtId="0" fontId="3" fillId="32" borderId="29" xfId="0" applyFont="1" applyFill="1" applyBorder="1" applyAlignment="1" applyProtection="1">
      <alignment vertical="center" wrapText="1"/>
    </xf>
    <xf numFmtId="44" fontId="3" fillId="32" borderId="29" xfId="192" applyFont="1" applyFill="1" applyBorder="1" applyAlignment="1" applyProtection="1">
      <alignment vertical="center"/>
    </xf>
    <xf numFmtId="165" fontId="3" fillId="32" borderId="0" xfId="192" applyNumberFormat="1" applyFont="1" applyFill="1" applyBorder="1" applyAlignment="1" applyProtection="1">
      <alignment vertical="center"/>
    </xf>
    <xf numFmtId="0" fontId="3" fillId="0" borderId="11" xfId="186" applyNumberFormat="1" applyFont="1" applyBorder="1" applyAlignment="1" applyProtection="1">
      <alignment horizontal="center" vertical="center"/>
    </xf>
    <xf numFmtId="3" fontId="3" fillId="31" borderId="11" xfId="192" applyNumberFormat="1" applyFont="1" applyFill="1" applyBorder="1" applyAlignment="1" applyProtection="1">
      <alignment vertical="center"/>
      <protection locked="0"/>
    </xf>
    <xf numFmtId="165" fontId="6" fillId="31" borderId="11" xfId="192" applyNumberFormat="1" applyFont="1" applyFill="1" applyBorder="1" applyAlignment="1" applyProtection="1">
      <alignment vertical="center"/>
      <protection locked="0"/>
    </xf>
    <xf numFmtId="0" fontId="3" fillId="32" borderId="30" xfId="0" applyFont="1" applyFill="1" applyBorder="1" applyAlignment="1" applyProtection="1">
      <alignment vertical="center" wrapText="1"/>
    </xf>
    <xf numFmtId="0" fontId="3" fillId="32" borderId="30" xfId="186" applyNumberFormat="1" applyFont="1" applyFill="1" applyBorder="1" applyAlignment="1" applyProtection="1">
      <alignment horizontal="center" vertical="center"/>
    </xf>
    <xf numFmtId="165" fontId="3" fillId="32" borderId="30" xfId="192" applyNumberFormat="1" applyFont="1" applyFill="1" applyBorder="1" applyAlignment="1" applyProtection="1">
      <alignment vertical="center"/>
    </xf>
    <xf numFmtId="0" fontId="0" fillId="0" borderId="11" xfId="0" applyFont="1" applyBorder="1" applyAlignment="1" applyProtection="1">
      <alignment vertical="center" wrapText="1"/>
    </xf>
    <xf numFmtId="165" fontId="3" fillId="0" borderId="11" xfId="192" applyNumberFormat="1" applyFont="1" applyFill="1" applyBorder="1" applyAlignment="1" applyProtection="1">
      <alignment vertical="center"/>
    </xf>
    <xf numFmtId="165" fontId="0" fillId="29" borderId="11" xfId="192" applyNumberFormat="1" applyFont="1" applyFill="1" applyBorder="1" applyAlignment="1" applyProtection="1">
      <alignment vertical="center"/>
    </xf>
    <xf numFmtId="0" fontId="6" fillId="32" borderId="31" xfId="192" applyNumberFormat="1" applyFont="1" applyFill="1" applyBorder="1" applyAlignment="1" applyProtection="1">
      <alignment horizontal="center" vertical="center"/>
    </xf>
    <xf numFmtId="0" fontId="6" fillId="32" borderId="29" xfId="0" applyFont="1" applyFill="1" applyBorder="1" applyAlignment="1" applyProtection="1">
      <alignment horizontal="right" vertical="center" wrapText="1"/>
    </xf>
    <xf numFmtId="0" fontId="3" fillId="32" borderId="29" xfId="186" applyNumberFormat="1" applyFont="1" applyFill="1" applyBorder="1" applyAlignment="1" applyProtection="1">
      <alignment horizontal="center" vertical="center"/>
    </xf>
    <xf numFmtId="165" fontId="3" fillId="32" borderId="29" xfId="192" applyNumberFormat="1" applyFont="1" applyFill="1" applyBorder="1" applyAlignment="1" applyProtection="1">
      <alignment vertical="center"/>
    </xf>
    <xf numFmtId="0" fontId="6" fillId="32" borderId="32" xfId="192" applyNumberFormat="1" applyFont="1" applyFill="1" applyBorder="1" applyAlignment="1" applyProtection="1">
      <alignment horizontal="center" vertical="center"/>
    </xf>
    <xf numFmtId="0" fontId="0" fillId="0" borderId="11" xfId="0" applyFont="1" applyBorder="1" applyAlignment="1" applyProtection="1">
      <alignment horizontal="left" vertical="center" wrapText="1"/>
    </xf>
    <xf numFmtId="0" fontId="3" fillId="0" borderId="11" xfId="0" applyFont="1" applyBorder="1" applyAlignment="1" applyProtection="1">
      <alignment vertical="center" wrapText="1"/>
    </xf>
    <xf numFmtId="0" fontId="6" fillId="32" borderId="0" xfId="192" applyNumberFormat="1" applyFont="1" applyFill="1" applyBorder="1" applyAlignment="1" applyProtection="1">
      <alignment vertical="center"/>
    </xf>
    <xf numFmtId="3" fontId="6" fillId="32" borderId="0" xfId="192" applyNumberFormat="1" applyFont="1" applyFill="1" applyBorder="1" applyAlignment="1" applyProtection="1">
      <alignment vertical="center"/>
    </xf>
    <xf numFmtId="0" fontId="3" fillId="32" borderId="0" xfId="186" applyNumberFormat="1" applyFont="1" applyFill="1" applyBorder="1" applyAlignment="1" applyProtection="1">
      <alignment horizontal="center" vertical="center"/>
    </xf>
    <xf numFmtId="0" fontId="3" fillId="32" borderId="11" xfId="0" applyFont="1" applyFill="1" applyBorder="1" applyAlignment="1" applyProtection="1">
      <alignment vertical="center" wrapText="1"/>
    </xf>
    <xf numFmtId="3" fontId="6" fillId="32" borderId="11" xfId="192" applyNumberFormat="1" applyFont="1" applyFill="1" applyBorder="1" applyAlignment="1" applyProtection="1">
      <alignment vertical="center"/>
    </xf>
    <xf numFmtId="0" fontId="6" fillId="32" borderId="11" xfId="0" applyFont="1" applyFill="1" applyBorder="1" applyAlignment="1" applyProtection="1">
      <alignment horizontal="center" vertical="center"/>
    </xf>
    <xf numFmtId="0" fontId="6" fillId="32" borderId="33" xfId="0" applyFont="1" applyFill="1" applyBorder="1" applyAlignment="1" applyProtection="1">
      <alignment horizontal="left" vertical="center" wrapText="1"/>
    </xf>
    <xf numFmtId="0" fontId="0" fillId="32" borderId="33" xfId="0" applyFill="1" applyBorder="1" applyAlignment="1" applyProtection="1">
      <alignment vertical="center"/>
    </xf>
    <xf numFmtId="165" fontId="6" fillId="32" borderId="11" xfId="192" applyNumberFormat="1" applyFont="1" applyFill="1" applyBorder="1" applyAlignment="1" applyProtection="1">
      <alignment horizontal="right" vertical="center"/>
    </xf>
    <xf numFmtId="3" fontId="6" fillId="32" borderId="33" xfId="192" applyNumberFormat="1" applyFont="1" applyFill="1" applyBorder="1" applyAlignment="1" applyProtection="1">
      <alignment vertical="center"/>
    </xf>
    <xf numFmtId="44" fontId="3" fillId="32" borderId="0" xfId="192" applyFont="1" applyFill="1" applyBorder="1" applyAlignment="1" applyProtection="1">
      <alignment vertical="center"/>
    </xf>
    <xf numFmtId="44" fontId="7" fillId="32" borderId="11" xfId="192" applyFont="1" applyFill="1" applyBorder="1" applyAlignment="1" applyProtection="1">
      <alignment horizontal="center" vertical="center"/>
    </xf>
    <xf numFmtId="0" fontId="0" fillId="32" borderId="11" xfId="0" applyFill="1" applyBorder="1" applyAlignment="1" applyProtection="1">
      <alignment vertical="center" wrapText="1"/>
    </xf>
    <xf numFmtId="0" fontId="0" fillId="32" borderId="11" xfId="0"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0" fillId="32" borderId="0" xfId="0" applyFill="1" applyBorder="1" applyAlignment="1" applyProtection="1">
      <alignment horizontal="center" vertical="center"/>
    </xf>
    <xf numFmtId="0" fontId="0" fillId="32" borderId="33" xfId="0" applyFill="1" applyBorder="1" applyAlignment="1" applyProtection="1">
      <alignment vertical="center" wrapText="1"/>
    </xf>
    <xf numFmtId="0" fontId="0" fillId="32" borderId="33" xfId="0" applyFill="1" applyBorder="1" applyAlignment="1" applyProtection="1">
      <alignment horizontal="center" vertical="center"/>
    </xf>
    <xf numFmtId="0" fontId="0" fillId="32" borderId="33" xfId="0" applyFont="1" applyFill="1" applyBorder="1" applyAlignment="1" applyProtection="1">
      <alignment horizontal="center" vertical="center"/>
    </xf>
    <xf numFmtId="0" fontId="0" fillId="32" borderId="27" xfId="0" applyFill="1" applyBorder="1" applyAlignment="1" applyProtection="1">
      <alignment vertical="center" wrapText="1"/>
    </xf>
    <xf numFmtId="0" fontId="0" fillId="32" borderId="28" xfId="0" applyFont="1" applyFill="1" applyBorder="1" applyAlignment="1" applyProtection="1">
      <alignment horizontal="center" vertical="center"/>
    </xf>
    <xf numFmtId="0" fontId="19" fillId="32" borderId="11" xfId="0" applyFont="1" applyFill="1" applyBorder="1" applyAlignment="1" applyProtection="1">
      <alignment vertical="center" wrapText="1"/>
    </xf>
    <xf numFmtId="165" fontId="19" fillId="32" borderId="11" xfId="192" applyNumberFormat="1" applyFont="1" applyFill="1" applyBorder="1" applyAlignment="1" applyProtection="1">
      <alignment vertical="center"/>
    </xf>
    <xf numFmtId="4" fontId="19" fillId="0" borderId="11" xfId="186" applyNumberFormat="1" applyFont="1" applyBorder="1" applyAlignment="1" applyProtection="1">
      <alignment horizontal="left" vertical="center" wrapText="1"/>
    </xf>
    <xf numFmtId="4" fontId="19" fillId="32" borderId="11" xfId="186" applyNumberFormat="1" applyFont="1" applyFill="1" applyBorder="1" applyAlignment="1" applyProtection="1">
      <alignment horizontal="left" vertical="center" wrapText="1"/>
    </xf>
    <xf numFmtId="0" fontId="3" fillId="32" borderId="11" xfId="186" applyNumberFormat="1" applyFont="1" applyFill="1" applyBorder="1" applyAlignment="1" applyProtection="1">
      <alignment horizontal="center" vertical="center"/>
    </xf>
    <xf numFmtId="165" fontId="19" fillId="0" borderId="11" xfId="192" applyNumberFormat="1" applyFont="1" applyFill="1" applyBorder="1" applyAlignment="1" applyProtection="1">
      <alignment vertical="center"/>
    </xf>
    <xf numFmtId="165" fontId="19" fillId="29" borderId="11" xfId="192" applyNumberFormat="1" applyFont="1" applyFill="1" applyBorder="1" applyAlignment="1" applyProtection="1">
      <alignment vertical="center"/>
    </xf>
    <xf numFmtId="44" fontId="0" fillId="32" borderId="0" xfId="0" applyNumberFormat="1" applyFill="1" applyBorder="1" applyAlignment="1" applyProtection="1">
      <alignment vertical="center"/>
    </xf>
    <xf numFmtId="165" fontId="6" fillId="32" borderId="0" xfId="0" applyNumberFormat="1" applyFont="1" applyFill="1" applyAlignment="1" applyProtection="1">
      <alignment vertical="center"/>
    </xf>
    <xf numFmtId="0" fontId="0" fillId="32" borderId="0" xfId="0" applyFont="1" applyFill="1" applyAlignment="1" applyProtection="1">
      <alignment vertical="center" wrapText="1"/>
    </xf>
    <xf numFmtId="165" fontId="7" fillId="32" borderId="0" xfId="0" applyNumberFormat="1" applyFont="1" applyFill="1" applyAlignment="1" applyProtection="1">
      <alignment vertical="center"/>
    </xf>
    <xf numFmtId="165" fontId="7" fillId="32" borderId="0" xfId="0" applyNumberFormat="1" applyFont="1" applyFill="1" applyAlignment="1" applyProtection="1">
      <alignment horizontal="right" vertical="center"/>
    </xf>
    <xf numFmtId="165" fontId="6" fillId="32" borderId="11" xfId="0" quotePrefix="1" applyNumberFormat="1" applyFont="1" applyFill="1" applyBorder="1" applyAlignment="1" applyProtection="1">
      <alignment horizontal="right" vertical="center"/>
    </xf>
    <xf numFmtId="0" fontId="6" fillId="32" borderId="0" xfId="30" applyFont="1" applyFill="1" applyAlignment="1" applyProtection="1">
      <alignment vertical="center" wrapText="1"/>
    </xf>
    <xf numFmtId="0" fontId="18" fillId="32" borderId="11" xfId="13" applyFill="1" applyBorder="1" applyAlignment="1" applyProtection="1">
      <alignment horizontal="center" vertical="center"/>
    </xf>
    <xf numFmtId="165" fontId="3" fillId="32" borderId="11" xfId="192" applyNumberFormat="1" applyFont="1" applyFill="1" applyBorder="1" applyAlignment="1" applyProtection="1">
      <alignment horizontal="center" vertical="center"/>
    </xf>
    <xf numFmtId="0" fontId="6" fillId="0" borderId="11" xfId="0" applyFont="1" applyBorder="1" applyAlignment="1" applyProtection="1">
      <alignment horizontal="left" vertical="center" wrapText="1" indent="2"/>
    </xf>
    <xf numFmtId="1" fontId="3" fillId="41" borderId="26" xfId="30" applyNumberFormat="1" applyFill="1" applyBorder="1" applyAlignment="1" applyProtection="1">
      <alignment horizontal="center" vertical="center"/>
    </xf>
    <xf numFmtId="0" fontId="3" fillId="41" borderId="26" xfId="30" applyFill="1" applyBorder="1" applyAlignment="1" applyProtection="1">
      <alignment horizontal="center" vertical="center"/>
    </xf>
    <xf numFmtId="4" fontId="60" fillId="41" borderId="37" xfId="30" applyNumberFormat="1" applyFont="1" applyFill="1" applyBorder="1" applyAlignment="1" applyProtection="1">
      <alignment horizontal="center" vertical="center"/>
    </xf>
    <xf numFmtId="0" fontId="3" fillId="41" borderId="0" xfId="30" applyFill="1" applyAlignment="1" applyProtection="1">
      <alignment vertical="center"/>
    </xf>
    <xf numFmtId="0" fontId="7" fillId="32" borderId="27" xfId="0" applyFont="1" applyFill="1" applyBorder="1" applyAlignment="1" applyProtection="1">
      <alignment horizontal="center" vertical="center"/>
    </xf>
    <xf numFmtId="0" fontId="7" fillId="32" borderId="28" xfId="0" applyFont="1" applyFill="1" applyBorder="1" applyAlignment="1" applyProtection="1">
      <alignment vertical="center"/>
    </xf>
    <xf numFmtId="0" fontId="7" fillId="32" borderId="0" xfId="30" applyFont="1" applyFill="1" applyAlignment="1" applyProtection="1">
      <alignment vertical="center"/>
    </xf>
    <xf numFmtId="10" fontId="3" fillId="31" borderId="11" xfId="121" applyNumberFormat="1" applyFill="1" applyBorder="1" applyAlignment="1" applyProtection="1">
      <alignment horizontal="right" vertical="center"/>
      <protection locked="0"/>
    </xf>
    <xf numFmtId="0" fontId="0" fillId="32" borderId="0" xfId="0" applyFill="1" applyAlignment="1">
      <alignment vertical="center"/>
    </xf>
    <xf numFmtId="0" fontId="64" fillId="32" borderId="0" xfId="0" applyFont="1" applyFill="1" applyAlignment="1">
      <alignment vertical="center"/>
    </xf>
    <xf numFmtId="168" fontId="19" fillId="31" borderId="11" xfId="121" applyNumberFormat="1" applyFont="1" applyFill="1" applyBorder="1" applyAlignment="1" applyProtection="1">
      <alignment horizontal="right" vertical="center"/>
      <protection locked="0"/>
    </xf>
    <xf numFmtId="165" fontId="3" fillId="31" borderId="66" xfId="192" applyNumberFormat="1" applyFill="1" applyBorder="1" applyAlignment="1" applyProtection="1">
      <alignment vertical="center"/>
      <protection locked="0"/>
    </xf>
    <xf numFmtId="165" fontId="3" fillId="31" borderId="43" xfId="192" applyNumberFormat="1" applyFill="1" applyBorder="1" applyAlignment="1" applyProtection="1">
      <alignment vertical="center"/>
      <protection locked="0"/>
    </xf>
    <xf numFmtId="165" fontId="3" fillId="31" borderId="68" xfId="192" applyNumberFormat="1" applyFill="1" applyBorder="1" applyAlignment="1" applyProtection="1">
      <alignment vertical="center"/>
      <protection locked="0"/>
    </xf>
    <xf numFmtId="165" fontId="3" fillId="31" borderId="52" xfId="192" applyNumberFormat="1" applyFill="1" applyBorder="1" applyAlignment="1" applyProtection="1">
      <alignment vertical="center"/>
      <protection locked="0"/>
    </xf>
    <xf numFmtId="0" fontId="74" fillId="32" borderId="0" xfId="0" applyFont="1" applyFill="1" applyAlignment="1">
      <alignment vertical="center"/>
    </xf>
    <xf numFmtId="165" fontId="3" fillId="31" borderId="46" xfId="192" applyNumberFormat="1" applyFill="1" applyBorder="1" applyAlignment="1" applyProtection="1">
      <alignment vertical="center"/>
      <protection locked="0"/>
    </xf>
    <xf numFmtId="165" fontId="3" fillId="31" borderId="59" xfId="192" applyNumberFormat="1" applyFill="1" applyBorder="1" applyAlignment="1" applyProtection="1">
      <alignment vertical="center"/>
      <protection locked="0"/>
    </xf>
    <xf numFmtId="10" fontId="7" fillId="32" borderId="25" xfId="121" applyNumberFormat="1" applyFont="1" applyFill="1" applyBorder="1" applyAlignment="1">
      <alignment vertical="center"/>
    </xf>
    <xf numFmtId="10" fontId="7" fillId="32" borderId="39" xfId="121" applyNumberFormat="1" applyFont="1" applyFill="1" applyBorder="1" applyAlignment="1">
      <alignment vertical="center"/>
    </xf>
    <xf numFmtId="0" fontId="84" fillId="32" borderId="0" xfId="0" applyFont="1" applyFill="1" applyBorder="1" applyAlignment="1">
      <alignment vertical="center"/>
    </xf>
    <xf numFmtId="165" fontId="7" fillId="32" borderId="25" xfId="194" applyNumberFormat="1" applyFont="1" applyFill="1" applyBorder="1" applyAlignment="1">
      <alignment vertical="center"/>
    </xf>
    <xf numFmtId="165" fontId="7" fillId="32" borderId="39" xfId="194" applyNumberFormat="1" applyFont="1" applyFill="1" applyBorder="1" applyAlignment="1">
      <alignment vertical="center"/>
    </xf>
    <xf numFmtId="0" fontId="3" fillId="32" borderId="48" xfId="0" applyFont="1" applyFill="1" applyBorder="1" applyAlignment="1">
      <alignment vertical="center"/>
    </xf>
    <xf numFmtId="0" fontId="3" fillId="32" borderId="49" xfId="0" applyFont="1" applyFill="1" applyBorder="1" applyAlignment="1">
      <alignment vertical="center"/>
    </xf>
    <xf numFmtId="0" fontId="3" fillId="32" borderId="51" xfId="0" applyFont="1" applyFill="1" applyBorder="1" applyAlignment="1">
      <alignment vertical="center"/>
    </xf>
    <xf numFmtId="0" fontId="3" fillId="32" borderId="15" xfId="0" applyFont="1" applyFill="1" applyBorder="1" applyAlignment="1">
      <alignment vertical="center"/>
    </xf>
    <xf numFmtId="1" fontId="7" fillId="32" borderId="90" xfId="0" applyNumberFormat="1" applyFont="1" applyFill="1" applyBorder="1" applyAlignment="1">
      <alignment horizontal="center" vertical="center"/>
    </xf>
    <xf numFmtId="0" fontId="3" fillId="32" borderId="103" xfId="0" applyFont="1" applyFill="1" applyBorder="1" applyAlignment="1">
      <alignment horizontal="left" vertical="center"/>
    </xf>
    <xf numFmtId="7" fontId="3" fillId="32" borderId="104" xfId="192" applyNumberFormat="1" applyFill="1" applyBorder="1" applyAlignment="1">
      <alignment vertical="center"/>
    </xf>
    <xf numFmtId="7" fontId="3" fillId="32" borderId="105" xfId="192" applyNumberFormat="1" applyFill="1" applyBorder="1" applyAlignment="1">
      <alignment vertical="center"/>
    </xf>
    <xf numFmtId="0" fontId="3" fillId="32" borderId="14" xfId="0" applyFont="1" applyFill="1" applyBorder="1" applyAlignment="1">
      <alignment vertical="center"/>
    </xf>
    <xf numFmtId="0" fontId="3" fillId="32" borderId="108" xfId="0" applyFont="1" applyFill="1" applyBorder="1" applyAlignment="1">
      <alignment horizontal="left" vertical="center"/>
    </xf>
    <xf numFmtId="7" fontId="3" fillId="32" borderId="109" xfId="192" applyNumberFormat="1" applyFill="1" applyBorder="1" applyAlignment="1">
      <alignment vertical="center"/>
    </xf>
    <xf numFmtId="7" fontId="3" fillId="32" borderId="106" xfId="192" applyNumberFormat="1" applyFill="1" applyBorder="1" applyAlignment="1">
      <alignment vertical="center"/>
    </xf>
    <xf numFmtId="0" fontId="3" fillId="32" borderId="107" xfId="0" applyFont="1" applyFill="1" applyBorder="1" applyAlignment="1">
      <alignment vertical="center"/>
    </xf>
    <xf numFmtId="0" fontId="3" fillId="32" borderId="32" xfId="0" applyFont="1" applyFill="1" applyBorder="1" applyAlignment="1">
      <alignment horizontal="left" vertical="center"/>
    </xf>
    <xf numFmtId="7" fontId="3" fillId="32" borderId="110" xfId="192" applyNumberFormat="1" applyFill="1" applyBorder="1" applyAlignment="1">
      <alignment vertical="center"/>
    </xf>
    <xf numFmtId="7" fontId="3" fillId="32" borderId="62" xfId="192" applyNumberFormat="1" applyFill="1" applyBorder="1" applyAlignment="1">
      <alignment vertical="center"/>
    </xf>
    <xf numFmtId="0" fontId="3" fillId="32" borderId="0" xfId="0" applyFont="1" applyFill="1" applyBorder="1" applyAlignment="1">
      <alignment vertical="center"/>
    </xf>
    <xf numFmtId="7" fontId="3" fillId="32" borderId="75" xfId="192" applyNumberFormat="1" applyFill="1" applyBorder="1" applyAlignment="1">
      <alignment vertical="center"/>
    </xf>
    <xf numFmtId="7" fontId="3" fillId="32" borderId="40" xfId="192" applyNumberFormat="1" applyFill="1" applyBorder="1" applyAlignment="1">
      <alignment vertical="center"/>
    </xf>
    <xf numFmtId="0" fontId="3" fillId="32" borderId="32" xfId="0" applyFont="1" applyFill="1" applyBorder="1" applyAlignment="1">
      <alignment vertical="center"/>
    </xf>
    <xf numFmtId="0" fontId="3" fillId="32" borderId="61" xfId="0" applyFont="1" applyFill="1" applyBorder="1" applyAlignment="1">
      <alignment vertical="center"/>
    </xf>
    <xf numFmtId="0" fontId="3" fillId="32" borderId="30" xfId="0" applyFont="1" applyFill="1" applyBorder="1" applyAlignment="1">
      <alignment vertical="center"/>
    </xf>
    <xf numFmtId="7" fontId="3" fillId="32" borderId="111" xfId="192" applyNumberFormat="1" applyFill="1" applyBorder="1" applyAlignment="1">
      <alignment vertical="center"/>
    </xf>
    <xf numFmtId="7" fontId="3" fillId="32" borderId="63" xfId="192" applyNumberFormat="1" applyFill="1" applyBorder="1" applyAlignment="1">
      <alignment vertical="center"/>
    </xf>
    <xf numFmtId="0" fontId="35" fillId="32" borderId="61" xfId="0" applyFont="1" applyFill="1" applyBorder="1" applyAlignment="1">
      <alignment vertical="center"/>
    </xf>
    <xf numFmtId="0" fontId="35" fillId="32" borderId="30" xfId="0" applyFont="1" applyFill="1" applyBorder="1" applyAlignment="1">
      <alignment vertical="center"/>
    </xf>
    <xf numFmtId="7" fontId="35" fillId="32" borderId="111" xfId="192" applyNumberFormat="1" applyFont="1" applyFill="1" applyBorder="1" applyAlignment="1">
      <alignment vertical="center"/>
    </xf>
    <xf numFmtId="7" fontId="35" fillId="32" borderId="63" xfId="192" applyNumberFormat="1" applyFont="1" applyFill="1" applyBorder="1" applyAlignment="1">
      <alignment vertical="center"/>
    </xf>
    <xf numFmtId="7" fontId="7" fillId="32" borderId="75" xfId="192" applyNumberFormat="1" applyFont="1" applyFill="1" applyBorder="1" applyAlignment="1">
      <alignment vertical="center"/>
    </xf>
    <xf numFmtId="7" fontId="7" fillId="32" borderId="40" xfId="192" applyNumberFormat="1" applyFont="1" applyFill="1" applyBorder="1" applyAlignment="1">
      <alignment vertical="center"/>
    </xf>
    <xf numFmtId="0" fontId="3" fillId="32" borderId="102" xfId="0" applyFont="1" applyFill="1" applyBorder="1" applyAlignment="1">
      <alignment vertical="center"/>
    </xf>
    <xf numFmtId="0" fontId="3" fillId="32" borderId="52" xfId="0" applyFont="1" applyFill="1" applyBorder="1" applyAlignment="1">
      <alignment vertical="center"/>
    </xf>
    <xf numFmtId="0" fontId="18" fillId="0" borderId="0" xfId="13" applyFill="1" applyAlignment="1" applyProtection="1"/>
    <xf numFmtId="0" fontId="19" fillId="32" borderId="0" xfId="171" applyFont="1" applyFill="1" applyAlignment="1" applyProtection="1"/>
    <xf numFmtId="0" fontId="89" fillId="0" borderId="0" xfId="13" applyFont="1" applyFill="1" applyAlignment="1" applyProtection="1"/>
    <xf numFmtId="0" fontId="90" fillId="0" borderId="0" xfId="171" applyFont="1" applyFill="1" applyProtection="1"/>
    <xf numFmtId="0" fontId="89" fillId="32" borderId="0" xfId="13" applyFont="1" applyFill="1" applyAlignment="1" applyProtection="1"/>
    <xf numFmtId="0" fontId="90" fillId="32" borderId="0" xfId="171" applyFont="1" applyFill="1" applyProtection="1"/>
    <xf numFmtId="0" fontId="6" fillId="32" borderId="11" xfId="0" applyFont="1" applyFill="1" applyBorder="1" applyAlignment="1" applyProtection="1">
      <alignment horizontal="left" vertical="center" wrapText="1" indent="4"/>
    </xf>
    <xf numFmtId="0" fontId="0" fillId="32" borderId="25" xfId="0" applyFill="1" applyBorder="1" applyAlignment="1" applyProtection="1">
      <alignment vertical="center"/>
    </xf>
    <xf numFmtId="0" fontId="0" fillId="0" borderId="0" xfId="0" applyAlignment="1" applyProtection="1">
      <alignment vertical="center"/>
    </xf>
    <xf numFmtId="165" fontId="3" fillId="35" borderId="11" xfId="192" applyNumberFormat="1" applyFont="1" applyFill="1" applyBorder="1" applyAlignment="1" applyProtection="1">
      <alignment vertical="center"/>
    </xf>
    <xf numFmtId="0" fontId="7" fillId="29" borderId="0" xfId="174" applyFont="1" applyFill="1" applyAlignment="1" applyProtection="1">
      <alignment vertical="center"/>
    </xf>
    <xf numFmtId="0" fontId="6" fillId="32" borderId="11" xfId="30" applyFont="1" applyFill="1" applyBorder="1" applyAlignment="1" applyProtection="1">
      <alignment horizontal="right" vertical="center"/>
    </xf>
    <xf numFmtId="7" fontId="6" fillId="32" borderId="11" xfId="30" applyNumberFormat="1" applyFont="1" applyFill="1" applyBorder="1" applyAlignment="1" applyProtection="1">
      <alignment vertical="center"/>
    </xf>
    <xf numFmtId="0" fontId="7" fillId="32" borderId="33" xfId="30" applyFont="1" applyFill="1" applyBorder="1" applyAlignment="1" applyProtection="1">
      <alignment horizontal="center" vertical="center"/>
    </xf>
    <xf numFmtId="4" fontId="3" fillId="38" borderId="116" xfId="192" applyNumberFormat="1" applyFont="1" applyFill="1" applyBorder="1" applyAlignment="1" applyProtection="1">
      <alignment vertical="center"/>
    </xf>
    <xf numFmtId="0" fontId="6" fillId="32" borderId="47" xfId="0" applyFont="1" applyFill="1" applyBorder="1" applyAlignment="1" applyProtection="1">
      <alignment horizontal="left" vertical="center" wrapText="1"/>
    </xf>
    <xf numFmtId="4" fontId="3" fillId="32" borderId="47" xfId="192" applyNumberFormat="1" applyFont="1" applyFill="1" applyBorder="1" applyAlignment="1" applyProtection="1">
      <alignment vertical="center"/>
    </xf>
    <xf numFmtId="4" fontId="6" fillId="32" borderId="116" xfId="192" applyNumberFormat="1" applyFont="1" applyFill="1" applyBorder="1" applyAlignment="1" applyProtection="1">
      <alignment vertical="center"/>
    </xf>
    <xf numFmtId="4" fontId="6" fillId="35" borderId="116" xfId="192" applyNumberFormat="1" applyFont="1" applyFill="1" applyBorder="1" applyAlignment="1" applyProtection="1">
      <alignment vertical="center"/>
    </xf>
    <xf numFmtId="4" fontId="6" fillId="32" borderId="119" xfId="192" applyNumberFormat="1" applyFont="1" applyFill="1" applyBorder="1" applyAlignment="1" applyProtection="1">
      <alignment vertical="center"/>
    </xf>
    <xf numFmtId="4" fontId="6" fillId="32" borderId="120" xfId="192" applyNumberFormat="1" applyFont="1" applyFill="1" applyBorder="1" applyAlignment="1" applyProtection="1">
      <alignment vertical="center"/>
    </xf>
    <xf numFmtId="4" fontId="6" fillId="32" borderId="28" xfId="192" applyNumberFormat="1" applyFont="1" applyFill="1" applyBorder="1" applyAlignment="1" applyProtection="1">
      <alignment vertical="center"/>
    </xf>
    <xf numFmtId="4" fontId="6" fillId="32" borderId="121" xfId="192" applyNumberFormat="1" applyFont="1" applyFill="1" applyBorder="1" applyAlignment="1" applyProtection="1">
      <alignment vertical="center"/>
    </xf>
    <xf numFmtId="4" fontId="19" fillId="32" borderId="38" xfId="192" applyNumberFormat="1" applyFont="1" applyFill="1" applyBorder="1" applyAlignment="1" applyProtection="1">
      <alignment horizontal="right" vertical="center"/>
    </xf>
    <xf numFmtId="4" fontId="19" fillId="32" borderId="73" xfId="192" applyNumberFormat="1" applyFont="1" applyFill="1" applyBorder="1" applyAlignment="1" applyProtection="1">
      <alignment horizontal="right" vertical="center"/>
    </xf>
    <xf numFmtId="4" fontId="7" fillId="32" borderId="38" xfId="192" applyNumberFormat="1" applyFont="1" applyFill="1" applyBorder="1" applyAlignment="1" applyProtection="1">
      <alignment horizontal="right" vertical="center"/>
    </xf>
    <xf numFmtId="4" fontId="7" fillId="32" borderId="73" xfId="192" applyNumberFormat="1" applyFont="1" applyFill="1" applyBorder="1" applyAlignment="1" applyProtection="1">
      <alignment horizontal="right" vertical="center"/>
    </xf>
    <xf numFmtId="165" fontId="7" fillId="32" borderId="25" xfId="192" applyNumberFormat="1" applyFont="1" applyFill="1" applyBorder="1" applyAlignment="1" applyProtection="1">
      <alignment horizontal="center" vertical="center"/>
    </xf>
    <xf numFmtId="0" fontId="7" fillId="32" borderId="25" xfId="184" applyFont="1" applyFill="1" applyBorder="1" applyAlignment="1" applyProtection="1">
      <alignment horizontal="center" vertical="center" wrapText="1"/>
    </xf>
    <xf numFmtId="0" fontId="7" fillId="32" borderId="122" xfId="171" applyFont="1" applyFill="1" applyBorder="1" applyAlignment="1" applyProtection="1">
      <alignment horizontal="center" vertical="center" wrapText="1"/>
    </xf>
    <xf numFmtId="10" fontId="7" fillId="29" borderId="43" xfId="121" applyNumberFormat="1" applyFont="1" applyFill="1" applyBorder="1" applyAlignment="1" applyProtection="1">
      <alignment vertical="center"/>
    </xf>
    <xf numFmtId="10" fontId="3" fillId="32" borderId="56" xfId="121" applyNumberFormat="1" applyFont="1" applyFill="1" applyBorder="1" applyAlignment="1" applyProtection="1">
      <alignment horizontal="right" vertical="center"/>
    </xf>
    <xf numFmtId="10" fontId="6" fillId="32" borderId="124" xfId="121" applyNumberFormat="1" applyFont="1" applyFill="1" applyBorder="1" applyAlignment="1" applyProtection="1">
      <alignment horizontal="right" vertical="center"/>
    </xf>
    <xf numFmtId="10" fontId="3" fillId="32" borderId="124" xfId="121" applyNumberFormat="1" applyFont="1" applyFill="1" applyBorder="1" applyAlignment="1" applyProtection="1">
      <alignment horizontal="right" vertical="center"/>
    </xf>
    <xf numFmtId="10" fontId="3" fillId="29" borderId="124" xfId="121" applyNumberFormat="1" applyFont="1" applyFill="1" applyBorder="1" applyAlignment="1" applyProtection="1">
      <alignment horizontal="right" vertical="center"/>
    </xf>
    <xf numFmtId="10" fontId="6" fillId="32" borderId="40" xfId="121" applyNumberFormat="1" applyFont="1" applyFill="1" applyBorder="1" applyAlignment="1" applyProtection="1">
      <alignment horizontal="right" vertical="center"/>
    </xf>
    <xf numFmtId="0" fontId="7" fillId="32" borderId="122" xfId="184" applyFont="1" applyFill="1" applyBorder="1" applyAlignment="1" applyProtection="1">
      <alignment horizontal="center" vertical="center" wrapText="1"/>
    </xf>
    <xf numFmtId="0" fontId="7" fillId="32" borderId="73" xfId="184" applyFont="1" applyFill="1" applyBorder="1" applyAlignment="1" applyProtection="1">
      <alignment vertical="center" wrapText="1"/>
    </xf>
    <xf numFmtId="0" fontId="7" fillId="32" borderId="124" xfId="184" applyFont="1" applyFill="1" applyBorder="1" applyAlignment="1" applyProtection="1">
      <alignment horizontal="right" vertical="center"/>
    </xf>
    <xf numFmtId="0" fontId="19" fillId="32" borderId="123" xfId="184" applyFont="1" applyFill="1" applyBorder="1" applyAlignment="1" applyProtection="1">
      <alignment horizontal="right" vertical="center"/>
    </xf>
    <xf numFmtId="10" fontId="7" fillId="32" borderId="123" xfId="121" applyNumberFormat="1" applyFont="1" applyFill="1" applyBorder="1" applyAlignment="1" applyProtection="1">
      <alignment vertical="center"/>
    </xf>
    <xf numFmtId="10" fontId="19" fillId="32" borderId="123" xfId="121" applyNumberFormat="1" applyFont="1" applyFill="1" applyBorder="1" applyAlignment="1" applyProtection="1">
      <alignment horizontal="left" vertical="center"/>
    </xf>
    <xf numFmtId="167" fontId="7" fillId="32" borderId="123" xfId="192" applyNumberFormat="1" applyFont="1" applyFill="1" applyBorder="1" applyAlignment="1" applyProtection="1">
      <alignment vertical="center"/>
    </xf>
    <xf numFmtId="0" fontId="21" fillId="32" borderId="125" xfId="184" applyFont="1" applyFill="1" applyBorder="1" applyAlignment="1" applyProtection="1">
      <alignment horizontal="right" vertical="center"/>
    </xf>
    <xf numFmtId="165" fontId="7" fillId="32" borderId="73" xfId="174" applyNumberFormat="1" applyFont="1" applyFill="1" applyBorder="1" applyAlignment="1" applyProtection="1">
      <alignment horizontal="right" vertical="center"/>
    </xf>
    <xf numFmtId="0" fontId="7" fillId="0" borderId="73" xfId="174" applyFont="1" applyFill="1" applyBorder="1" applyAlignment="1" applyProtection="1">
      <alignment horizontal="center" vertical="center" wrapText="1"/>
    </xf>
    <xf numFmtId="165" fontId="35" fillId="32" borderId="73" xfId="192" applyNumberFormat="1" applyFont="1" applyFill="1" applyBorder="1" applyAlignment="1" applyProtection="1">
      <alignment horizontal="center" vertical="center"/>
    </xf>
    <xf numFmtId="10" fontId="6" fillId="32" borderId="123" xfId="121" applyNumberFormat="1" applyFont="1" applyFill="1" applyBorder="1" applyAlignment="1" applyProtection="1">
      <alignment horizontal="right" vertical="center"/>
    </xf>
    <xf numFmtId="10" fontId="53" fillId="32" borderId="123" xfId="121" applyNumberFormat="1" applyFont="1" applyFill="1" applyBorder="1" applyAlignment="1" applyProtection="1">
      <alignment horizontal="right" vertical="center"/>
    </xf>
    <xf numFmtId="10" fontId="3" fillId="32" borderId="123" xfId="121" applyNumberFormat="1" applyFont="1" applyFill="1" applyBorder="1" applyAlignment="1" applyProtection="1">
      <alignment vertical="center"/>
    </xf>
    <xf numFmtId="10" fontId="6" fillId="32" borderId="126" xfId="121" applyNumberFormat="1" applyFont="1" applyFill="1" applyBorder="1" applyAlignment="1" applyProtection="1">
      <alignment horizontal="right" vertical="center"/>
    </xf>
    <xf numFmtId="10" fontId="7" fillId="38" borderId="123" xfId="121" applyNumberFormat="1" applyFont="1" applyFill="1" applyBorder="1" applyAlignment="1" applyProtection="1">
      <alignment vertical="center"/>
    </xf>
    <xf numFmtId="10" fontId="6" fillId="32" borderId="126" xfId="126" applyNumberFormat="1" applyFont="1" applyFill="1" applyBorder="1" applyAlignment="1" applyProtection="1">
      <alignment horizontal="right" vertical="center"/>
    </xf>
    <xf numFmtId="10" fontId="7" fillId="32" borderId="73" xfId="126" applyNumberFormat="1" applyFont="1" applyFill="1" applyBorder="1" applyAlignment="1" applyProtection="1">
      <alignment horizontal="right" vertical="center"/>
    </xf>
    <xf numFmtId="0" fontId="3" fillId="32" borderId="0" xfId="171" applyFont="1" applyFill="1" applyAlignment="1" applyProtection="1">
      <alignment horizontal="center" vertical="center"/>
    </xf>
    <xf numFmtId="0" fontId="7" fillId="32" borderId="50" xfId="171" applyFont="1" applyFill="1" applyBorder="1" applyAlignment="1" applyProtection="1">
      <alignment horizontal="center" vertical="center" wrapText="1"/>
    </xf>
    <xf numFmtId="10" fontId="3" fillId="29" borderId="56" xfId="121" applyNumberFormat="1" applyFont="1" applyFill="1" applyBorder="1" applyAlignment="1" applyProtection="1">
      <alignment horizontal="right" vertical="center"/>
    </xf>
    <xf numFmtId="165" fontId="7" fillId="32" borderId="39" xfId="192" applyNumberFormat="1" applyFont="1" applyFill="1" applyBorder="1" applyAlignment="1" applyProtection="1">
      <alignment horizontal="right" vertical="center"/>
    </xf>
    <xf numFmtId="0" fontId="7" fillId="32" borderId="60"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7" fillId="32" borderId="34" xfId="171" applyFont="1" applyFill="1" applyBorder="1" applyAlignment="1" applyProtection="1">
      <alignment horizontal="center" vertical="center"/>
    </xf>
    <xf numFmtId="0" fontId="7" fillId="32" borderId="99" xfId="171" applyFont="1" applyFill="1" applyBorder="1" applyAlignment="1" applyProtection="1">
      <alignment horizontal="center" vertical="center"/>
    </xf>
    <xf numFmtId="0" fontId="7" fillId="32" borderId="38" xfId="171" applyFont="1" applyFill="1" applyBorder="1" applyAlignment="1" applyProtection="1">
      <alignment horizontal="center" vertical="center"/>
    </xf>
    <xf numFmtId="0" fontId="7" fillId="32" borderId="73" xfId="171" applyFont="1" applyFill="1" applyBorder="1" applyAlignment="1" applyProtection="1">
      <alignment horizontal="center" vertical="center"/>
    </xf>
    <xf numFmtId="4" fontId="3" fillId="32" borderId="119" xfId="192" applyNumberFormat="1" applyFont="1" applyFill="1" applyBorder="1" applyAlignment="1" applyProtection="1">
      <alignment vertical="center"/>
    </xf>
    <xf numFmtId="4" fontId="6" fillId="32" borderId="116" xfId="192" applyNumberFormat="1" applyFont="1" applyFill="1" applyBorder="1" applyAlignment="1" applyProtection="1">
      <alignment horizontal="right" vertical="center"/>
    </xf>
    <xf numFmtId="4" fontId="6" fillId="35" borderId="116" xfId="192" applyNumberFormat="1" applyFont="1" applyFill="1" applyBorder="1" applyAlignment="1" applyProtection="1">
      <alignment horizontal="right" vertical="center"/>
    </xf>
    <xf numFmtId="4" fontId="6" fillId="32" borderId="119" xfId="192" applyNumberFormat="1" applyFont="1" applyFill="1" applyBorder="1" applyAlignment="1" applyProtection="1">
      <alignment horizontal="right" vertical="center"/>
    </xf>
    <xf numFmtId="4" fontId="6" fillId="32" borderId="120" xfId="192" applyNumberFormat="1" applyFont="1" applyFill="1" applyBorder="1" applyAlignment="1" applyProtection="1">
      <alignment horizontal="right" vertical="center"/>
    </xf>
    <xf numFmtId="10" fontId="3" fillId="32" borderId="91" xfId="121" applyNumberFormat="1" applyFont="1" applyFill="1" applyBorder="1" applyAlignment="1" applyProtection="1">
      <alignment vertical="center"/>
    </xf>
    <xf numFmtId="4" fontId="3" fillId="35" borderId="116" xfId="121" applyNumberFormat="1" applyFont="1" applyFill="1" applyBorder="1" applyAlignment="1" applyProtection="1">
      <alignment vertical="center"/>
    </xf>
    <xf numFmtId="4" fontId="3" fillId="35" borderId="119" xfId="192" applyNumberFormat="1" applyFont="1" applyFill="1" applyBorder="1" applyAlignment="1" applyProtection="1">
      <alignment vertical="center"/>
    </xf>
    <xf numFmtId="0" fontId="7" fillId="0" borderId="0" xfId="0" applyFont="1" applyFill="1" applyAlignment="1" applyProtection="1">
      <alignment vertical="center"/>
    </xf>
    <xf numFmtId="0" fontId="4" fillId="32" borderId="0" xfId="0" applyFont="1" applyFill="1" applyBorder="1" applyAlignment="1">
      <alignment vertical="center"/>
    </xf>
    <xf numFmtId="0" fontId="7" fillId="32" borderId="25" xfId="0" applyFont="1" applyFill="1" applyBorder="1" applyAlignment="1" applyProtection="1">
      <alignment horizontal="center" vertical="center" wrapText="1"/>
    </xf>
    <xf numFmtId="44" fontId="7" fillId="32" borderId="127" xfId="192" applyFont="1" applyFill="1" applyBorder="1" applyAlignment="1" applyProtection="1">
      <alignment horizontal="center" vertical="center"/>
    </xf>
    <xf numFmtId="44" fontId="7" fillId="32" borderId="121" xfId="192" applyFont="1" applyFill="1" applyBorder="1" applyAlignment="1" applyProtection="1">
      <alignment horizontal="center" vertical="center"/>
    </xf>
    <xf numFmtId="165" fontId="19" fillId="32" borderId="128" xfId="0" applyNumberFormat="1" applyFont="1" applyFill="1" applyBorder="1" applyAlignment="1" applyProtection="1">
      <alignment vertical="center"/>
    </xf>
    <xf numFmtId="165" fontId="19" fillId="32" borderId="116" xfId="0" applyNumberFormat="1" applyFont="1" applyFill="1" applyBorder="1" applyAlignment="1" applyProtection="1">
      <alignment vertical="center"/>
    </xf>
    <xf numFmtId="165" fontId="0" fillId="32" borderId="128" xfId="0" applyNumberFormat="1" applyFont="1" applyFill="1" applyBorder="1" applyAlignment="1" applyProtection="1">
      <alignment vertical="center"/>
    </xf>
    <xf numFmtId="165" fontId="7" fillId="32" borderId="129" xfId="186" applyNumberFormat="1" applyFont="1" applyFill="1" applyBorder="1" applyAlignment="1" applyProtection="1">
      <alignment horizontal="right" vertical="center"/>
    </xf>
    <xf numFmtId="165" fontId="7" fillId="32" borderId="120" xfId="186" applyNumberFormat="1" applyFont="1" applyFill="1" applyBorder="1" applyAlignment="1" applyProtection="1">
      <alignment horizontal="right" vertical="center"/>
    </xf>
    <xf numFmtId="165" fontId="19" fillId="32" borderId="130" xfId="0" applyNumberFormat="1" applyFont="1" applyFill="1" applyBorder="1" applyAlignment="1" applyProtection="1">
      <alignment vertical="center"/>
    </xf>
    <xf numFmtId="165" fontId="0" fillId="32" borderId="130" xfId="0" applyNumberFormat="1" applyFont="1" applyFill="1" applyBorder="1" applyAlignment="1" applyProtection="1">
      <alignment vertical="center"/>
    </xf>
    <xf numFmtId="165" fontId="7" fillId="32" borderId="131" xfId="186" applyNumberFormat="1" applyFont="1" applyFill="1" applyBorder="1" applyAlignment="1" applyProtection="1">
      <alignment horizontal="right" vertical="center"/>
    </xf>
    <xf numFmtId="165" fontId="19" fillId="32" borderId="127" xfId="0" applyNumberFormat="1" applyFont="1" applyFill="1" applyBorder="1" applyAlignment="1" applyProtection="1">
      <alignment vertical="center"/>
    </xf>
    <xf numFmtId="165" fontId="19" fillId="32" borderId="121" xfId="0" applyNumberFormat="1" applyFont="1" applyFill="1" applyBorder="1" applyAlignment="1" applyProtection="1">
      <alignment vertical="center"/>
    </xf>
    <xf numFmtId="165" fontId="19" fillId="32" borderId="111" xfId="0" applyNumberFormat="1" applyFont="1" applyFill="1" applyBorder="1" applyAlignment="1" applyProtection="1">
      <alignment vertical="center"/>
    </xf>
    <xf numFmtId="0" fontId="7" fillId="32" borderId="129" xfId="0" applyFont="1" applyFill="1" applyBorder="1" applyAlignment="1" applyProtection="1">
      <alignment horizontal="center" vertical="center"/>
    </xf>
    <xf numFmtId="0" fontId="7" fillId="32" borderId="120" xfId="0" applyFont="1" applyFill="1" applyBorder="1" applyAlignment="1" applyProtection="1">
      <alignment horizontal="center" vertical="center"/>
    </xf>
    <xf numFmtId="0" fontId="19" fillId="32" borderId="130" xfId="0" applyFont="1" applyFill="1" applyBorder="1" applyAlignment="1" applyProtection="1">
      <alignment vertical="center" wrapText="1"/>
    </xf>
    <xf numFmtId="4" fontId="19" fillId="0" borderId="130" xfId="186" applyNumberFormat="1" applyFont="1" applyBorder="1" applyAlignment="1" applyProtection="1">
      <alignment horizontal="left" vertical="center" wrapText="1"/>
    </xf>
    <xf numFmtId="4" fontId="19" fillId="32" borderId="130" xfId="186" applyNumberFormat="1" applyFont="1" applyFill="1" applyBorder="1" applyAlignment="1" applyProtection="1">
      <alignment horizontal="left" vertical="center" wrapText="1"/>
    </xf>
    <xf numFmtId="4" fontId="3" fillId="0" borderId="130" xfId="186" applyNumberFormat="1" applyFont="1" applyBorder="1" applyAlignment="1" applyProtection="1">
      <alignment horizontal="left" vertical="center" wrapText="1"/>
    </xf>
    <xf numFmtId="4" fontId="7" fillId="0" borderId="131" xfId="186" applyNumberFormat="1" applyFont="1" applyBorder="1" applyAlignment="1" applyProtection="1">
      <alignment horizontal="left" vertical="center" wrapText="1"/>
    </xf>
    <xf numFmtId="0" fontId="19" fillId="32" borderId="111" xfId="0" applyFont="1" applyFill="1" applyBorder="1" applyAlignment="1" applyProtection="1">
      <alignment vertical="center" wrapText="1"/>
    </xf>
    <xf numFmtId="0" fontId="7" fillId="32" borderId="25" xfId="0" applyFont="1" applyFill="1" applyBorder="1" applyAlignment="1" applyProtection="1">
      <alignment horizontal="right" vertical="center"/>
    </xf>
    <xf numFmtId="4" fontId="3" fillId="38" borderId="133" xfId="192" applyNumberFormat="1" applyFont="1" applyFill="1" applyBorder="1" applyAlignment="1" applyProtection="1">
      <alignment vertical="center"/>
    </xf>
    <xf numFmtId="4" fontId="3" fillId="35" borderId="28" xfId="192" applyNumberFormat="1" applyFont="1" applyFill="1" applyBorder="1" applyAlignment="1" applyProtection="1">
      <alignment vertical="center"/>
    </xf>
    <xf numFmtId="4" fontId="3" fillId="32" borderId="28" xfId="192" applyNumberFormat="1" applyFont="1" applyFill="1" applyBorder="1" applyAlignment="1" applyProtection="1">
      <alignment vertical="center"/>
    </xf>
    <xf numFmtId="4" fontId="6" fillId="32" borderId="28" xfId="192" applyNumberFormat="1" applyFont="1" applyFill="1" applyBorder="1" applyAlignment="1" applyProtection="1">
      <alignment horizontal="right" vertical="center"/>
    </xf>
    <xf numFmtId="4" fontId="6" fillId="32" borderId="121" xfId="192" applyNumberFormat="1" applyFont="1" applyFill="1" applyBorder="1" applyAlignment="1" applyProtection="1">
      <alignment horizontal="right" vertical="center"/>
    </xf>
    <xf numFmtId="0" fontId="7" fillId="32" borderId="112" xfId="0" applyFont="1" applyFill="1" applyBorder="1" applyAlignment="1" applyProtection="1">
      <alignment horizontal="center" vertical="center"/>
    </xf>
    <xf numFmtId="0" fontId="7" fillId="32" borderId="113" xfId="0" applyFont="1" applyFill="1" applyBorder="1" applyAlignment="1" applyProtection="1">
      <alignment horizontal="center" vertical="center"/>
    </xf>
    <xf numFmtId="0" fontId="7" fillId="32" borderId="91" xfId="192" applyNumberFormat="1" applyFont="1" applyFill="1" applyBorder="1" applyAlignment="1" applyProtection="1">
      <alignment horizontal="center" vertical="center"/>
    </xf>
    <xf numFmtId="0" fontId="7" fillId="32" borderId="114" xfId="192" applyNumberFormat="1" applyFont="1" applyFill="1" applyBorder="1" applyAlignment="1" applyProtection="1">
      <alignment horizontal="center" vertical="center"/>
    </xf>
    <xf numFmtId="4" fontId="7" fillId="32" borderId="119" xfId="192" applyNumberFormat="1" applyFont="1" applyFill="1" applyBorder="1" applyAlignment="1" applyProtection="1">
      <alignment horizontal="right" vertical="center"/>
    </xf>
    <xf numFmtId="4" fontId="7" fillId="32" borderId="119" xfId="192" applyNumberFormat="1" applyFont="1" applyFill="1" applyBorder="1" applyAlignment="1" applyProtection="1">
      <alignment vertical="center"/>
    </xf>
    <xf numFmtId="4" fontId="7" fillId="32" borderId="120" xfId="192" applyNumberFormat="1" applyFont="1" applyFill="1" applyBorder="1" applyAlignment="1" applyProtection="1">
      <alignment horizontal="right" vertical="center"/>
    </xf>
    <xf numFmtId="0" fontId="7" fillId="32" borderId="38" xfId="30" applyFont="1" applyFill="1" applyBorder="1" applyAlignment="1" applyProtection="1">
      <alignment horizontal="center" vertical="center"/>
    </xf>
    <xf numFmtId="0" fontId="7" fillId="32" borderId="73" xfId="30" applyFont="1" applyFill="1" applyBorder="1" applyAlignment="1" applyProtection="1">
      <alignment horizontal="center" vertical="center"/>
    </xf>
    <xf numFmtId="168" fontId="3" fillId="32" borderId="11" xfId="121" applyNumberFormat="1" applyFont="1" applyFill="1" applyBorder="1" applyAlignment="1" applyProtection="1">
      <alignment vertical="center"/>
    </xf>
    <xf numFmtId="168" fontId="3" fillId="32" borderId="116" xfId="121" applyNumberFormat="1" applyFont="1" applyFill="1" applyBorder="1" applyAlignment="1" applyProtection="1">
      <alignment vertical="center"/>
    </xf>
    <xf numFmtId="3" fontId="3" fillId="32" borderId="11" xfId="121" applyNumberFormat="1" applyFont="1" applyFill="1" applyBorder="1" applyAlignment="1" applyProtection="1">
      <alignment vertical="center"/>
    </xf>
    <xf numFmtId="0" fontId="6" fillId="32" borderId="11" xfId="30" applyFont="1" applyFill="1" applyBorder="1" applyAlignment="1" applyProtection="1">
      <alignment horizontal="right" vertical="center" indent="1"/>
    </xf>
    <xf numFmtId="4" fontId="6" fillId="32" borderId="11" xfId="30" applyNumberFormat="1" applyFont="1" applyFill="1" applyBorder="1" applyAlignment="1" applyProtection="1">
      <alignment horizontal="right" vertical="center"/>
    </xf>
    <xf numFmtId="0" fontId="0" fillId="0" borderId="0" xfId="0" applyFill="1" applyAlignment="1" applyProtection="1">
      <alignment vertical="center"/>
    </xf>
    <xf numFmtId="0" fontId="19" fillId="40" borderId="135" xfId="0" applyFont="1" applyFill="1" applyBorder="1" applyAlignment="1" applyProtection="1">
      <alignment vertical="center" wrapText="1"/>
    </xf>
    <xf numFmtId="0" fontId="0" fillId="40" borderId="136" xfId="0" applyFill="1" applyBorder="1" applyAlignment="1" applyProtection="1">
      <alignment horizontal="center" vertical="center"/>
    </xf>
    <xf numFmtId="0" fontId="0" fillId="40" borderId="136" xfId="0" applyFill="1" applyBorder="1" applyAlignment="1" applyProtection="1">
      <alignment vertical="center"/>
    </xf>
    <xf numFmtId="0" fontId="0" fillId="40" borderId="136" xfId="0" applyFont="1" applyFill="1" applyBorder="1" applyAlignment="1" applyProtection="1">
      <alignment vertical="center"/>
    </xf>
    <xf numFmtId="0" fontId="0" fillId="40" borderId="137" xfId="0" applyFill="1" applyBorder="1" applyAlignment="1" applyProtection="1">
      <alignment horizontal="center" vertical="center"/>
    </xf>
    <xf numFmtId="166" fontId="3" fillId="35" borderId="119" xfId="192" applyNumberFormat="1" applyFont="1" applyFill="1" applyBorder="1" applyAlignment="1" applyProtection="1">
      <alignment vertical="center"/>
    </xf>
    <xf numFmtId="0" fontId="6" fillId="35" borderId="11" xfId="0" applyFont="1" applyFill="1" applyBorder="1" applyAlignment="1" applyProtection="1">
      <alignment horizontal="left" vertical="center" wrapText="1"/>
    </xf>
    <xf numFmtId="0" fontId="0" fillId="35" borderId="11" xfId="0" applyFont="1" applyFill="1" applyBorder="1" applyAlignment="1" applyProtection="1">
      <alignment horizontal="center" vertical="center" wrapText="1"/>
    </xf>
    <xf numFmtId="165" fontId="6" fillId="35" borderId="11" xfId="0" quotePrefix="1" applyNumberFormat="1" applyFont="1" applyFill="1" applyBorder="1" applyAlignment="1" applyProtection="1">
      <alignment horizontal="right" vertical="center"/>
    </xf>
    <xf numFmtId="165" fontId="19" fillId="35" borderId="11" xfId="192" applyNumberFormat="1" applyFont="1" applyFill="1" applyBorder="1" applyAlignment="1" applyProtection="1">
      <alignment vertical="center"/>
    </xf>
    <xf numFmtId="4" fontId="7"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xf>
    <xf numFmtId="0" fontId="7" fillId="32" borderId="26" xfId="0" applyFont="1" applyFill="1" applyBorder="1" applyAlignment="1" applyProtection="1">
      <alignment horizontal="center" vertical="center" wrapText="1"/>
    </xf>
    <xf numFmtId="0" fontId="0" fillId="32" borderId="11" xfId="0" applyFill="1" applyBorder="1" applyAlignment="1" applyProtection="1">
      <alignment horizontal="left" vertical="center" wrapText="1"/>
    </xf>
    <xf numFmtId="0" fontId="7" fillId="32" borderId="11" xfId="0" applyFont="1" applyFill="1" applyBorder="1" applyAlignment="1" applyProtection="1">
      <alignment horizontal="left" vertical="center" wrapText="1"/>
    </xf>
    <xf numFmtId="0" fontId="7" fillId="32" borderId="35" xfId="0"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3" fillId="0" borderId="0" xfId="171" applyProtection="1"/>
    <xf numFmtId="0" fontId="0" fillId="0" borderId="0" xfId="171" applyFont="1" applyProtection="1"/>
    <xf numFmtId="0" fontId="90" fillId="0" borderId="0" xfId="0" applyFont="1" applyFill="1" applyProtection="1"/>
    <xf numFmtId="0" fontId="0" fillId="0" borderId="0" xfId="0" applyFill="1" applyProtection="1"/>
    <xf numFmtId="0" fontId="7" fillId="37" borderId="25" xfId="0" applyFont="1" applyFill="1" applyBorder="1" applyProtection="1">
      <protection locked="0"/>
    </xf>
    <xf numFmtId="0" fontId="7" fillId="37" borderId="39" xfId="0" applyFont="1" applyFill="1" applyBorder="1" applyAlignment="1" applyProtection="1">
      <protection locked="0"/>
    </xf>
    <xf numFmtId="165" fontId="3" fillId="31" borderId="17" xfId="192" applyNumberFormat="1" applyFont="1" applyFill="1" applyBorder="1" applyAlignment="1" applyProtection="1">
      <alignment vertical="top"/>
      <protection locked="0"/>
    </xf>
    <xf numFmtId="165" fontId="5" fillId="31" borderId="17" xfId="192" applyNumberFormat="1" applyFont="1" applyFill="1" applyBorder="1" applyAlignment="1" applyProtection="1">
      <alignment vertical="top"/>
      <protection locked="0"/>
    </xf>
    <xf numFmtId="3" fontId="3" fillId="32" borderId="11" xfId="192" applyNumberFormat="1" applyFont="1" applyFill="1" applyBorder="1" applyAlignment="1" applyProtection="1">
      <alignment vertical="center"/>
    </xf>
    <xf numFmtId="165" fontId="3" fillId="38" borderId="11" xfId="192" applyNumberFormat="1" applyFont="1" applyFill="1" applyBorder="1" applyAlignment="1" applyProtection="1">
      <alignment vertical="center"/>
    </xf>
    <xf numFmtId="10" fontId="6" fillId="34" borderId="11" xfId="121" applyNumberFormat="1" applyFont="1" applyFill="1" applyBorder="1" applyAlignment="1" applyProtection="1">
      <alignment horizontal="right" vertical="center"/>
      <protection locked="0"/>
    </xf>
    <xf numFmtId="4" fontId="3" fillId="36" borderId="11" xfId="192" applyNumberFormat="1" applyFont="1" applyFill="1" applyBorder="1" applyAlignment="1" applyProtection="1">
      <alignment vertical="center"/>
      <protection locked="0"/>
    </xf>
    <xf numFmtId="4" fontId="3" fillId="36" borderId="26" xfId="192" applyNumberFormat="1" applyFont="1" applyFill="1" applyBorder="1" applyAlignment="1" applyProtection="1">
      <alignment vertical="center"/>
      <protection locked="0"/>
    </xf>
    <xf numFmtId="4" fontId="3" fillId="31" borderId="25" xfId="192" applyNumberFormat="1" applyFont="1" applyFill="1" applyBorder="1" applyAlignment="1" applyProtection="1">
      <alignment vertical="center"/>
      <protection locked="0"/>
    </xf>
    <xf numFmtId="4" fontId="7" fillId="32" borderId="11" xfId="192" applyNumberFormat="1" applyFont="1" applyFill="1" applyBorder="1" applyAlignment="1" applyProtection="1">
      <alignment vertical="center"/>
    </xf>
    <xf numFmtId="4" fontId="7" fillId="32"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vertical="center"/>
    </xf>
    <xf numFmtId="4" fontId="6" fillId="39" borderId="11" xfId="192" applyNumberFormat="1" applyFont="1" applyFill="1" applyBorder="1" applyAlignment="1" applyProtection="1">
      <alignment vertical="center"/>
    </xf>
    <xf numFmtId="4" fontId="19" fillId="39"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center"/>
    </xf>
    <xf numFmtId="4" fontId="3" fillId="35" borderId="11" xfId="192" applyNumberFormat="1" applyFont="1" applyFill="1" applyBorder="1" applyAlignment="1" applyProtection="1">
      <alignment horizontal="right" vertical="center"/>
    </xf>
    <xf numFmtId="0" fontId="3" fillId="0" borderId="11" xfId="192" applyNumberFormat="1" applyFont="1" applyFill="1" applyBorder="1" applyAlignment="1" applyProtection="1">
      <alignment vertical="center"/>
    </xf>
    <xf numFmtId="4" fontId="19" fillId="32" borderId="11" xfId="192" applyNumberFormat="1" applyFont="1" applyFill="1" applyBorder="1" applyAlignment="1" applyProtection="1">
      <alignment vertical="center"/>
    </xf>
    <xf numFmtId="4" fontId="19" fillId="32" borderId="0" xfId="192" applyNumberFormat="1" applyFont="1" applyFill="1" applyBorder="1" applyAlignment="1" applyProtection="1">
      <alignment vertical="center"/>
    </xf>
    <xf numFmtId="4" fontId="6" fillId="0" borderId="11" xfId="192" applyNumberFormat="1" applyFont="1" applyFill="1" applyBorder="1" applyAlignment="1" applyProtection="1">
      <alignment horizontal="right" vertical="center"/>
    </xf>
    <xf numFmtId="4" fontId="3" fillId="31" borderId="28" xfId="192" applyNumberFormat="1" applyFont="1" applyFill="1" applyBorder="1" applyAlignment="1" applyProtection="1">
      <alignment vertical="center"/>
      <protection locked="0"/>
    </xf>
    <xf numFmtId="4" fontId="3" fillId="31" borderId="121" xfId="192" applyNumberFormat="1" applyFont="1" applyFill="1" applyBorder="1" applyAlignment="1" applyProtection="1">
      <alignment vertical="center"/>
      <protection locked="0"/>
    </xf>
    <xf numFmtId="4" fontId="3" fillId="31" borderId="116" xfId="192" applyNumberFormat="1" applyFont="1" applyFill="1" applyBorder="1" applyAlignment="1" applyProtection="1">
      <alignment vertical="center"/>
      <protection locked="0"/>
    </xf>
    <xf numFmtId="4" fontId="3" fillId="31" borderId="119" xfId="192" applyNumberFormat="1" applyFont="1" applyFill="1" applyBorder="1" applyAlignment="1" applyProtection="1">
      <alignment vertical="center"/>
      <protection locked="0"/>
    </xf>
    <xf numFmtId="4" fontId="3" fillId="31" borderId="120" xfId="192" applyNumberFormat="1" applyFont="1" applyFill="1" applyBorder="1" applyAlignment="1" applyProtection="1">
      <alignment vertical="center"/>
      <protection locked="0"/>
    </xf>
    <xf numFmtId="4" fontId="6" fillId="32" borderId="11" xfId="192" applyNumberFormat="1" applyFont="1" applyFill="1" applyBorder="1" applyAlignment="1" applyProtection="1">
      <alignment vertical="top"/>
    </xf>
    <xf numFmtId="4" fontId="6" fillId="39" borderId="11" xfId="192" applyNumberFormat="1" applyFont="1" applyFill="1" applyBorder="1" applyAlignment="1" applyProtection="1">
      <alignment vertical="top"/>
    </xf>
    <xf numFmtId="4" fontId="6" fillId="32" borderId="11" xfId="192" applyNumberFormat="1" applyFont="1" applyFill="1" applyBorder="1" applyAlignment="1" applyProtection="1">
      <alignment horizontal="right" vertical="top"/>
    </xf>
    <xf numFmtId="165" fontId="7" fillId="31" borderId="92" xfId="192" applyNumberFormat="1" applyFont="1" applyFill="1" applyBorder="1" applyAlignment="1" applyProtection="1">
      <alignment vertical="center"/>
      <protection locked="0"/>
    </xf>
    <xf numFmtId="165" fontId="7" fillId="31" borderId="72" xfId="192" applyNumberFormat="1" applyFont="1" applyFill="1" applyBorder="1" applyAlignment="1" applyProtection="1">
      <alignment vertical="center"/>
      <protection locked="0"/>
    </xf>
    <xf numFmtId="10" fontId="7" fillId="31" borderId="123" xfId="121" applyNumberFormat="1" applyFont="1" applyFill="1" applyBorder="1" applyAlignment="1" applyProtection="1">
      <alignment vertical="center"/>
      <protection locked="0"/>
    </xf>
    <xf numFmtId="10" fontId="7" fillId="31" borderId="123" xfId="192" applyNumberFormat="1" applyFont="1" applyFill="1" applyBorder="1" applyAlignment="1" applyProtection="1">
      <alignment vertical="center"/>
      <protection locked="0"/>
    </xf>
    <xf numFmtId="165" fontId="3" fillId="31" borderId="41" xfId="192" applyNumberFormat="1" applyFont="1" applyFill="1" applyBorder="1" applyAlignment="1" applyProtection="1">
      <alignment vertical="center"/>
      <protection locked="0"/>
    </xf>
    <xf numFmtId="165" fontId="3" fillId="31" borderId="100" xfId="192" applyNumberFormat="1" applyFont="1" applyFill="1" applyBorder="1" applyAlignment="1" applyProtection="1">
      <alignment vertical="center"/>
      <protection locked="0"/>
    </xf>
    <xf numFmtId="10" fontId="3" fillId="31" borderId="123" xfId="192" applyNumberFormat="1" applyFont="1" applyFill="1" applyBorder="1" applyAlignment="1" applyProtection="1">
      <alignment vertical="center"/>
      <protection locked="0"/>
    </xf>
    <xf numFmtId="165" fontId="7" fillId="31" borderId="41" xfId="192" applyNumberFormat="1" applyFont="1" applyFill="1" applyBorder="1" applyAlignment="1" applyProtection="1">
      <alignment vertical="center"/>
      <protection locked="0"/>
    </xf>
    <xf numFmtId="165" fontId="7" fillId="31" borderId="100" xfId="192" applyNumberFormat="1" applyFont="1" applyFill="1" applyBorder="1" applyAlignment="1" applyProtection="1">
      <alignment vertical="center"/>
      <protection locked="0"/>
    </xf>
    <xf numFmtId="165" fontId="3" fillId="31" borderId="92" xfId="192" applyNumberFormat="1" applyFont="1" applyFill="1" applyBorder="1" applyAlignment="1" applyProtection="1">
      <alignment vertical="center"/>
      <protection locked="0"/>
    </xf>
    <xf numFmtId="10" fontId="3" fillId="31" borderId="43" xfId="192" applyNumberFormat="1" applyFont="1" applyFill="1" applyBorder="1" applyAlignment="1" applyProtection="1">
      <alignment vertical="center"/>
      <protection locked="0"/>
    </xf>
    <xf numFmtId="10" fontId="1" fillId="32" borderId="91" xfId="121" applyNumberFormat="1" applyFont="1" applyFill="1" applyBorder="1" applyAlignment="1" applyProtection="1">
      <alignment vertical="center"/>
    </xf>
    <xf numFmtId="4" fontId="3" fillId="31" borderId="133" xfId="192" applyNumberFormat="1" applyFont="1" applyFill="1" applyBorder="1" applyAlignment="1" applyProtection="1">
      <alignment vertical="center"/>
      <protection locked="0"/>
    </xf>
    <xf numFmtId="4" fontId="3" fillId="31" borderId="134" xfId="192" applyNumberFormat="1" applyFont="1" applyFill="1" applyBorder="1" applyAlignment="1" applyProtection="1">
      <alignment vertical="center"/>
      <protection locked="0"/>
    </xf>
    <xf numFmtId="10" fontId="3" fillId="31" borderId="91" xfId="121" applyNumberFormat="1" applyFont="1" applyFill="1" applyBorder="1" applyAlignment="1" applyProtection="1">
      <alignment vertical="center"/>
      <protection locked="0"/>
    </xf>
    <xf numFmtId="10" fontId="3" fillId="31" borderId="114" xfId="121" applyNumberFormat="1" applyFont="1" applyFill="1" applyBorder="1" applyAlignment="1" applyProtection="1">
      <alignment vertical="center"/>
      <protection locked="0"/>
    </xf>
    <xf numFmtId="10" fontId="3" fillId="31" borderId="11" xfId="121" applyNumberFormat="1" applyFont="1" applyFill="1" applyBorder="1" applyAlignment="1" applyProtection="1">
      <alignment vertical="center"/>
      <protection locked="0"/>
    </xf>
    <xf numFmtId="10" fontId="3" fillId="31" borderId="116" xfId="121" applyNumberFormat="1" applyFont="1" applyFill="1" applyBorder="1" applyAlignment="1" applyProtection="1">
      <alignment vertical="center"/>
      <protection locked="0"/>
    </xf>
    <xf numFmtId="166" fontId="3" fillId="31" borderId="11" xfId="121" applyNumberFormat="1" applyFont="1" applyFill="1" applyBorder="1" applyAlignment="1" applyProtection="1">
      <alignment vertical="center"/>
      <protection locked="0"/>
    </xf>
    <xf numFmtId="166" fontId="3" fillId="31" borderId="116" xfId="121" applyNumberFormat="1" applyFont="1" applyFill="1" applyBorder="1" applyAlignment="1" applyProtection="1">
      <alignment vertical="center"/>
      <protection locked="0"/>
    </xf>
    <xf numFmtId="170" fontId="3" fillId="31" borderId="11" xfId="121" applyNumberFormat="1" applyFont="1" applyFill="1" applyBorder="1" applyAlignment="1" applyProtection="1">
      <alignment vertical="center"/>
      <protection locked="0"/>
    </xf>
    <xf numFmtId="166" fontId="3" fillId="31" borderId="119" xfId="192" applyNumberFormat="1" applyFont="1" applyFill="1" applyBorder="1" applyAlignment="1" applyProtection="1">
      <alignment vertical="center"/>
      <protection locked="0"/>
    </xf>
    <xf numFmtId="166" fontId="3" fillId="31" borderId="120" xfId="192" applyNumberFormat="1" applyFont="1" applyFill="1" applyBorder="1" applyAlignment="1" applyProtection="1">
      <alignment vertical="center"/>
      <protection locked="0"/>
    </xf>
    <xf numFmtId="4" fontId="3" fillId="31" borderId="73" xfId="192" applyNumberFormat="1" applyFont="1" applyFill="1" applyBorder="1" applyAlignment="1" applyProtection="1">
      <alignment vertical="center"/>
      <protection locked="0"/>
    </xf>
    <xf numFmtId="4" fontId="3" fillId="31" borderId="60" xfId="192" applyNumberFormat="1" applyFont="1" applyFill="1" applyBorder="1" applyAlignment="1" applyProtection="1">
      <alignment vertical="center"/>
      <protection locked="0"/>
    </xf>
    <xf numFmtId="4" fontId="3" fillId="32" borderId="11" xfId="192" applyNumberFormat="1" applyFont="1" applyFill="1" applyBorder="1" applyAlignment="1" applyProtection="1">
      <alignment vertical="top"/>
    </xf>
    <xf numFmtId="4" fontId="3" fillId="35" borderId="11" xfId="192" applyNumberFormat="1" applyFont="1" applyFill="1" applyBorder="1" applyAlignment="1" applyProtection="1">
      <alignment vertical="top"/>
    </xf>
    <xf numFmtId="4" fontId="3" fillId="32" borderId="11" xfId="192" applyNumberFormat="1" applyFont="1" applyFill="1" applyBorder="1" applyAlignment="1" applyProtection="1">
      <alignment horizontal="right" vertical="top"/>
    </xf>
    <xf numFmtId="4" fontId="3" fillId="35" borderId="11" xfId="192" applyNumberFormat="1" applyFont="1" applyFill="1" applyBorder="1" applyAlignment="1" applyProtection="1">
      <alignment horizontal="right" vertical="top"/>
    </xf>
    <xf numFmtId="4" fontId="19" fillId="32" borderId="11" xfId="192" applyNumberFormat="1" applyFont="1" applyFill="1" applyBorder="1" applyAlignment="1" applyProtection="1">
      <alignment horizontal="right" vertical="center"/>
    </xf>
    <xf numFmtId="4" fontId="6" fillId="39" borderId="11" xfId="192" applyNumberFormat="1" applyFont="1" applyFill="1" applyBorder="1" applyAlignment="1" applyProtection="1">
      <alignment horizontal="right" vertical="top"/>
    </xf>
    <xf numFmtId="4" fontId="6" fillId="32" borderId="11" xfId="192" applyNumberFormat="1" applyFont="1" applyFill="1" applyBorder="1" applyAlignment="1" applyProtection="1">
      <alignment horizontal="center" vertical="center"/>
    </xf>
    <xf numFmtId="4" fontId="6" fillId="0" borderId="11" xfId="192" applyNumberFormat="1" applyFont="1" applyFill="1" applyBorder="1" applyAlignment="1" applyProtection="1">
      <alignment horizontal="center" vertical="center"/>
    </xf>
    <xf numFmtId="4" fontId="3" fillId="31" borderId="39" xfId="192" applyNumberFormat="1" applyFont="1" applyFill="1" applyBorder="1" applyAlignment="1" applyProtection="1">
      <alignment vertical="center"/>
      <protection locked="0"/>
    </xf>
    <xf numFmtId="0" fontId="4" fillId="32" borderId="0" xfId="171" applyFont="1" applyFill="1" applyBorder="1" applyAlignment="1" applyProtection="1">
      <alignment vertical="center"/>
    </xf>
    <xf numFmtId="0" fontId="3" fillId="32" borderId="0" xfId="171" applyFont="1" applyFill="1" applyBorder="1" applyAlignment="1" applyProtection="1">
      <alignment vertical="center"/>
    </xf>
    <xf numFmtId="0" fontId="3" fillId="32" borderId="0" xfId="171" applyFill="1" applyBorder="1" applyAlignment="1" applyProtection="1">
      <alignment vertical="center"/>
    </xf>
    <xf numFmtId="0" fontId="3" fillId="32" borderId="0" xfId="171" applyFill="1" applyAlignment="1" applyProtection="1">
      <alignment horizontal="right" vertical="center"/>
    </xf>
    <xf numFmtId="0" fontId="3" fillId="32" borderId="25" xfId="171" applyFill="1" applyBorder="1" applyAlignment="1" applyProtection="1">
      <alignment vertical="center"/>
    </xf>
    <xf numFmtId="0" fontId="3" fillId="32" borderId="25" xfId="171" applyFill="1" applyBorder="1" applyAlignment="1" applyProtection="1">
      <alignment horizontal="right" vertical="center"/>
    </xf>
    <xf numFmtId="0" fontId="3" fillId="29" borderId="0" xfId="171" applyFont="1" applyFill="1" applyAlignment="1" applyProtection="1">
      <alignment vertical="center"/>
    </xf>
    <xf numFmtId="0" fontId="3" fillId="29" borderId="0" xfId="171" applyFill="1" applyAlignment="1" applyProtection="1">
      <alignment vertical="center"/>
    </xf>
    <xf numFmtId="7" fontId="3" fillId="32" borderId="0" xfId="171" applyNumberFormat="1" applyFill="1" applyAlignment="1" applyProtection="1">
      <alignment vertical="center"/>
    </xf>
    <xf numFmtId="0" fontId="5" fillId="32" borderId="0" xfId="171" applyFont="1" applyFill="1" applyAlignment="1" applyProtection="1">
      <alignment vertical="center"/>
    </xf>
    <xf numFmtId="0" fontId="7" fillId="32" borderId="37" xfId="171" applyFont="1" applyFill="1" applyBorder="1" applyAlignment="1" applyProtection="1">
      <alignment horizontal="center" vertical="center"/>
    </xf>
    <xf numFmtId="0" fontId="7" fillId="32" borderId="11" xfId="171" applyFont="1" applyFill="1" applyBorder="1" applyAlignment="1" applyProtection="1">
      <alignment horizontal="center" vertical="center"/>
    </xf>
    <xf numFmtId="0" fontId="19" fillId="32" borderId="11" xfId="171" applyFont="1" applyFill="1" applyBorder="1" applyAlignment="1" applyProtection="1">
      <alignment horizontal="right" vertical="center"/>
    </xf>
    <xf numFmtId="0" fontId="19" fillId="32" borderId="37" xfId="171" applyFont="1" applyFill="1" applyBorder="1" applyAlignment="1" applyProtection="1">
      <alignment horizontal="center" vertical="center"/>
    </xf>
    <xf numFmtId="0" fontId="19" fillId="32" borderId="11" xfId="171" applyFont="1" applyFill="1" applyBorder="1" applyAlignment="1" applyProtection="1">
      <alignment horizontal="center" vertical="center"/>
    </xf>
    <xf numFmtId="0" fontId="3" fillId="32" borderId="37" xfId="171" applyFill="1" applyBorder="1" applyAlignment="1" applyProtection="1">
      <alignment horizontal="left" vertical="center"/>
    </xf>
    <xf numFmtId="7" fontId="3" fillId="32" borderId="37" xfId="171" applyNumberFormat="1" applyFill="1" applyBorder="1" applyAlignment="1" applyProtection="1">
      <alignment vertical="center"/>
    </xf>
    <xf numFmtId="7" fontId="3" fillId="32" borderId="11" xfId="171" applyNumberFormat="1" applyFill="1" applyBorder="1" applyAlignment="1" applyProtection="1">
      <alignment vertical="center"/>
    </xf>
    <xf numFmtId="0" fontId="3" fillId="32" borderId="37" xfId="171" applyFill="1" applyBorder="1" applyAlignment="1" applyProtection="1">
      <alignment horizontal="left" vertical="center" wrapText="1"/>
    </xf>
    <xf numFmtId="0" fontId="3" fillId="32" borderId="11" xfId="171" applyFill="1" applyBorder="1" applyAlignment="1" applyProtection="1">
      <alignment vertical="center"/>
    </xf>
    <xf numFmtId="0" fontId="19" fillId="32" borderId="11" xfId="171" applyFont="1" applyFill="1" applyBorder="1" applyAlignment="1" applyProtection="1">
      <alignment vertical="center" wrapText="1"/>
    </xf>
    <xf numFmtId="7" fontId="19" fillId="32" borderId="37" xfId="171" applyNumberFormat="1" applyFont="1" applyFill="1" applyBorder="1" applyAlignment="1" applyProtection="1">
      <alignment vertical="center"/>
    </xf>
    <xf numFmtId="7" fontId="19" fillId="32" borderId="11" xfId="171" applyNumberFormat="1" applyFont="1" applyFill="1" applyBorder="1" applyAlignment="1" applyProtection="1">
      <alignment vertical="center"/>
    </xf>
    <xf numFmtId="0" fontId="3" fillId="32" borderId="37" xfId="171" applyFill="1" applyBorder="1" applyAlignment="1" applyProtection="1">
      <alignment vertical="center"/>
    </xf>
    <xf numFmtId="7" fontId="3" fillId="32" borderId="29" xfId="171" applyNumberFormat="1" applyFill="1" applyBorder="1" applyAlignment="1" applyProtection="1">
      <alignment vertical="center"/>
    </xf>
    <xf numFmtId="7" fontId="3" fillId="32" borderId="26" xfId="171" applyNumberFormat="1" applyFill="1" applyBorder="1" applyAlignment="1" applyProtection="1">
      <alignment vertical="center"/>
    </xf>
    <xf numFmtId="7" fontId="3" fillId="41" borderId="37" xfId="171" applyNumberFormat="1" applyFill="1" applyBorder="1" applyAlignment="1" applyProtection="1">
      <alignment vertical="center"/>
    </xf>
    <xf numFmtId="7" fontId="3" fillId="41" borderId="11" xfId="171" applyNumberFormat="1" applyFill="1" applyBorder="1" applyAlignment="1" applyProtection="1">
      <alignment vertical="center"/>
    </xf>
    <xf numFmtId="0" fontId="7" fillId="32" borderId="11" xfId="0" applyFont="1" applyFill="1" applyBorder="1" applyAlignment="1" applyProtection="1">
      <alignment horizontal="center" vertical="center"/>
    </xf>
    <xf numFmtId="0" fontId="7" fillId="32" borderId="26" xfId="0" applyFont="1" applyFill="1" applyBorder="1" applyAlignment="1" applyProtection="1">
      <alignment horizontal="center" vertical="center"/>
    </xf>
    <xf numFmtId="0" fontId="3" fillId="32" borderId="33" xfId="0" applyFont="1" applyFill="1" applyBorder="1" applyAlignment="1" applyProtection="1">
      <alignment horizontal="center" vertical="center"/>
    </xf>
    <xf numFmtId="0" fontId="3" fillId="32" borderId="27" xfId="0" applyFont="1" applyFill="1" applyBorder="1" applyAlignment="1" applyProtection="1">
      <alignment horizontal="center" vertical="center"/>
    </xf>
    <xf numFmtId="0" fontId="0" fillId="32" borderId="27" xfId="0" applyFill="1" applyBorder="1" applyAlignment="1" applyProtection="1">
      <alignment vertical="center"/>
    </xf>
    <xf numFmtId="0" fontId="0" fillId="32" borderId="11" xfId="0" applyFill="1" applyBorder="1" applyAlignment="1" applyProtection="1">
      <alignment horizontal="left" vertical="center"/>
    </xf>
    <xf numFmtId="44" fontId="3" fillId="32" borderId="11" xfId="194" applyFill="1" applyBorder="1" applyAlignment="1" applyProtection="1">
      <alignment horizontal="left" vertical="center"/>
    </xf>
    <xf numFmtId="0" fontId="0" fillId="32" borderId="0" xfId="0" applyFont="1" applyFill="1" applyAlignment="1" applyProtection="1">
      <alignment horizontal="left" vertical="center"/>
    </xf>
    <xf numFmtId="0" fontId="64" fillId="32" borderId="0" xfId="0" applyFont="1" applyFill="1" applyAlignment="1" applyProtection="1">
      <alignment horizontal="left" vertical="center"/>
    </xf>
    <xf numFmtId="165" fontId="7" fillId="32" borderId="11" xfId="194" applyNumberFormat="1" applyFont="1" applyFill="1" applyBorder="1" applyAlignment="1" applyProtection="1">
      <alignment horizontal="right" vertical="center"/>
    </xf>
    <xf numFmtId="10" fontId="3" fillId="32" borderId="11" xfId="121" applyNumberFormat="1" applyFill="1" applyBorder="1" applyAlignment="1" applyProtection="1">
      <alignment horizontal="right" vertical="center"/>
    </xf>
    <xf numFmtId="0" fontId="7" fillId="32" borderId="11" xfId="0" applyFont="1" applyFill="1" applyBorder="1" applyAlignment="1" applyProtection="1">
      <alignment vertical="center"/>
    </xf>
    <xf numFmtId="165" fontId="3" fillId="32" borderId="11" xfId="192" applyNumberFormat="1" applyFill="1" applyBorder="1" applyAlignment="1" applyProtection="1">
      <alignment horizontal="center" vertical="center"/>
    </xf>
    <xf numFmtId="44" fontId="3" fillId="32" borderId="0" xfId="192" applyFill="1" applyAlignment="1" applyProtection="1">
      <alignment vertical="center"/>
    </xf>
    <xf numFmtId="0" fontId="6" fillId="32" borderId="0" xfId="0" quotePrefix="1" applyFont="1" applyFill="1" applyAlignment="1" applyProtection="1">
      <alignment vertical="center"/>
    </xf>
    <xf numFmtId="0" fontId="3" fillId="32" borderId="48" xfId="174" applyFill="1" applyBorder="1" applyAlignment="1" applyProtection="1">
      <alignment vertical="center" wrapText="1"/>
    </xf>
    <xf numFmtId="0" fontId="3" fillId="32" borderId="90" xfId="174" applyFill="1" applyBorder="1" applyAlignment="1" applyProtection="1">
      <alignment horizontal="center" vertical="center" wrapText="1"/>
    </xf>
    <xf numFmtId="0" fontId="3" fillId="32" borderId="90" xfId="0" applyFont="1" applyFill="1" applyBorder="1" applyAlignment="1" applyProtection="1">
      <alignment horizontal="center" vertical="center" wrapText="1"/>
    </xf>
    <xf numFmtId="0" fontId="3" fillId="32" borderId="14" xfId="174" applyFill="1" applyBorder="1" applyAlignment="1" applyProtection="1">
      <alignment vertical="center"/>
    </xf>
    <xf numFmtId="49" fontId="7" fillId="32" borderId="75" xfId="174" applyNumberFormat="1" applyFont="1" applyFill="1" applyBorder="1" applyAlignment="1" applyProtection="1">
      <alignment horizontal="right" vertical="center"/>
    </xf>
    <xf numFmtId="0" fontId="3" fillId="32" borderId="102" xfId="0" quotePrefix="1" applyFont="1" applyFill="1" applyBorder="1" applyAlignment="1" applyProtection="1">
      <alignment horizontal="center" vertical="center"/>
    </xf>
    <xf numFmtId="0" fontId="0" fillId="32" borderId="102" xfId="0" applyFill="1" applyBorder="1" applyAlignment="1" applyProtection="1">
      <alignment vertical="center"/>
    </xf>
    <xf numFmtId="0" fontId="3" fillId="32" borderId="67" xfId="174" applyFill="1" applyBorder="1" applyAlignment="1" applyProtection="1">
      <alignment vertical="center"/>
    </xf>
    <xf numFmtId="165" fontId="3" fillId="32" borderId="66" xfId="192" applyNumberFormat="1" applyFill="1" applyBorder="1" applyAlignment="1" applyProtection="1">
      <alignment vertical="center"/>
    </xf>
    <xf numFmtId="165" fontId="3" fillId="32" borderId="67" xfId="192" applyNumberFormat="1" applyFill="1" applyBorder="1" applyAlignment="1" applyProtection="1">
      <alignment vertical="center"/>
    </xf>
    <xf numFmtId="0" fontId="3" fillId="32" borderId="68" xfId="174" applyFill="1" applyBorder="1" applyAlignment="1" applyProtection="1">
      <alignment vertical="center"/>
    </xf>
    <xf numFmtId="165" fontId="3" fillId="32" borderId="43" xfId="192" applyNumberFormat="1" applyFill="1" applyBorder="1" applyAlignment="1" applyProtection="1">
      <alignment vertical="center"/>
    </xf>
    <xf numFmtId="165" fontId="3" fillId="32" borderId="68" xfId="192" applyNumberFormat="1" applyFill="1" applyBorder="1" applyAlignment="1" applyProtection="1">
      <alignment vertical="center"/>
    </xf>
    <xf numFmtId="0" fontId="3" fillId="32" borderId="102" xfId="174" applyFill="1" applyBorder="1" applyAlignment="1" applyProtection="1">
      <alignment vertical="center"/>
    </xf>
    <xf numFmtId="165" fontId="3" fillId="32" borderId="52" xfId="192" applyNumberFormat="1" applyFill="1" applyBorder="1" applyAlignment="1" applyProtection="1">
      <alignment vertical="center"/>
    </xf>
    <xf numFmtId="165" fontId="3" fillId="32" borderId="102" xfId="192" applyNumberFormat="1" applyFill="1" applyBorder="1" applyAlignment="1" applyProtection="1">
      <alignment vertical="center"/>
    </xf>
    <xf numFmtId="0" fontId="7" fillId="32" borderId="14" xfId="174" applyFont="1" applyFill="1" applyBorder="1" applyAlignment="1" applyProtection="1">
      <alignment vertical="center"/>
    </xf>
    <xf numFmtId="0" fontId="7" fillId="32" borderId="75" xfId="174" applyFont="1" applyFill="1" applyBorder="1" applyAlignment="1" applyProtection="1">
      <alignment vertical="center"/>
    </xf>
    <xf numFmtId="165" fontId="0" fillId="32" borderId="90" xfId="0" applyNumberFormat="1" applyFill="1" applyBorder="1" applyAlignment="1" applyProtection="1">
      <alignment vertical="center"/>
    </xf>
    <xf numFmtId="165" fontId="7" fillId="32" borderId="75" xfId="0" applyNumberFormat="1" applyFont="1" applyFill="1" applyBorder="1" applyAlignment="1" applyProtection="1">
      <alignment vertical="center"/>
    </xf>
    <xf numFmtId="0" fontId="7" fillId="32" borderId="51" xfId="174" applyFont="1" applyFill="1" applyBorder="1" applyAlignment="1" applyProtection="1">
      <alignment vertical="center"/>
    </xf>
    <xf numFmtId="0" fontId="7" fillId="32" borderId="102" xfId="174" applyFont="1" applyFill="1" applyBorder="1" applyAlignment="1" applyProtection="1">
      <alignment vertical="center"/>
    </xf>
    <xf numFmtId="165" fontId="3" fillId="32" borderId="102" xfId="0" quotePrefix="1" applyNumberFormat="1" applyFont="1" applyFill="1" applyBorder="1" applyAlignment="1" applyProtection="1">
      <alignment horizontal="center" vertical="center"/>
    </xf>
    <xf numFmtId="165" fontId="0" fillId="32" borderId="102" xfId="0" applyNumberFormat="1" applyFill="1" applyBorder="1" applyAlignment="1" applyProtection="1">
      <alignment vertical="center"/>
    </xf>
    <xf numFmtId="0" fontId="87" fillId="32" borderId="0" xfId="174" applyFont="1" applyFill="1" applyAlignment="1" applyProtection="1">
      <alignment horizontal="right" vertical="center"/>
    </xf>
    <xf numFmtId="0" fontId="25" fillId="32" borderId="0" xfId="0" applyFont="1" applyFill="1" applyAlignment="1" applyProtection="1">
      <alignment horizontal="right" vertical="center"/>
    </xf>
    <xf numFmtId="0" fontId="3" fillId="32" borderId="14" xfId="174" applyFill="1" applyBorder="1" applyAlignment="1" applyProtection="1">
      <alignment vertical="center" wrapText="1"/>
    </xf>
    <xf numFmtId="0" fontId="3" fillId="32" borderId="75" xfId="174" applyFill="1" applyBorder="1" applyAlignment="1" applyProtection="1">
      <alignment horizontal="center" vertical="center" wrapText="1"/>
    </xf>
    <xf numFmtId="0" fontId="3" fillId="32" borderId="75" xfId="0" applyFont="1" applyFill="1" applyBorder="1" applyAlignment="1" applyProtection="1">
      <alignment horizontal="center" vertical="center" wrapText="1"/>
    </xf>
    <xf numFmtId="0" fontId="4" fillId="32" borderId="0" xfId="0" applyFont="1" applyFill="1" applyBorder="1" applyAlignment="1" applyProtection="1">
      <alignment horizontal="center" vertical="center"/>
    </xf>
    <xf numFmtId="0" fontId="3" fillId="32" borderId="69" xfId="174" applyFill="1" applyBorder="1" applyAlignment="1" applyProtection="1">
      <alignment vertical="center"/>
    </xf>
    <xf numFmtId="165" fontId="3" fillId="32" borderId="46" xfId="192" applyNumberFormat="1" applyFill="1" applyBorder="1" applyAlignment="1" applyProtection="1">
      <alignment vertical="center"/>
    </xf>
    <xf numFmtId="165" fontId="3" fillId="32" borderId="69" xfId="192" applyNumberFormat="1" applyFill="1" applyBorder="1" applyAlignment="1" applyProtection="1">
      <alignment vertical="center"/>
    </xf>
    <xf numFmtId="0" fontId="3" fillId="32" borderId="70" xfId="174" applyFill="1" applyBorder="1" applyAlignment="1" applyProtection="1">
      <alignment vertical="center"/>
    </xf>
    <xf numFmtId="165" fontId="3" fillId="32" borderId="59" xfId="192" applyNumberFormat="1" applyFill="1" applyBorder="1" applyAlignment="1" applyProtection="1">
      <alignment vertical="center"/>
    </xf>
    <xf numFmtId="165" fontId="3" fillId="32" borderId="70" xfId="192" applyNumberFormat="1" applyFill="1" applyBorder="1" applyAlignment="1" applyProtection="1">
      <alignment vertical="center"/>
    </xf>
    <xf numFmtId="165" fontId="0" fillId="32" borderId="75" xfId="0" applyNumberFormat="1" applyFill="1" applyBorder="1" applyAlignment="1" applyProtection="1">
      <alignment vertical="center"/>
    </xf>
    <xf numFmtId="0" fontId="6" fillId="29" borderId="11" xfId="0" applyFont="1" applyFill="1" applyBorder="1" applyAlignment="1" applyProtection="1">
      <alignment horizontal="left" vertical="center" wrapText="1" indent="2"/>
    </xf>
    <xf numFmtId="0" fontId="7" fillId="32" borderId="11" xfId="0" applyFont="1" applyFill="1" applyBorder="1" applyAlignment="1" applyProtection="1">
      <alignment horizontal="left" vertical="center" wrapText="1"/>
    </xf>
    <xf numFmtId="0" fontId="3" fillId="32" borderId="0" xfId="172" applyFill="1" applyAlignment="1">
      <alignment vertical="top"/>
    </xf>
    <xf numFmtId="4" fontId="3" fillId="32" borderId="16" xfId="187" applyNumberFormat="1" applyFill="1" applyBorder="1" applyAlignment="1">
      <alignment vertical="top"/>
    </xf>
    <xf numFmtId="4" fontId="3" fillId="32" borderId="0" xfId="187" applyNumberFormat="1" applyFill="1" applyAlignment="1">
      <alignment vertical="top"/>
    </xf>
    <xf numFmtId="4" fontId="3" fillId="32" borderId="0" xfId="187" applyNumberFormat="1" applyFill="1" applyAlignment="1">
      <alignment horizontal="left" vertical="top"/>
    </xf>
    <xf numFmtId="0" fontId="3" fillId="32" borderId="17" xfId="187" applyFill="1" applyBorder="1" applyAlignment="1">
      <alignment horizontal="center"/>
    </xf>
    <xf numFmtId="165" fontId="3" fillId="31" borderId="17" xfId="192" applyNumberFormat="1" applyFill="1" applyBorder="1" applyAlignment="1" applyProtection="1">
      <alignment vertical="center"/>
      <protection locked="0"/>
    </xf>
    <xf numFmtId="165" fontId="3" fillId="32" borderId="17" xfId="187" applyNumberFormat="1" applyFill="1" applyBorder="1" applyAlignment="1">
      <alignment vertical="top"/>
    </xf>
    <xf numFmtId="4" fontId="32" fillId="32" borderId="0" xfId="187" applyNumberFormat="1" applyFont="1" applyFill="1" applyAlignment="1">
      <alignment vertical="top"/>
    </xf>
    <xf numFmtId="165" fontId="5" fillId="32" borderId="17" xfId="192" applyNumberFormat="1" applyFont="1" applyFill="1" applyBorder="1" applyAlignment="1" applyProtection="1">
      <alignment vertical="top"/>
    </xf>
    <xf numFmtId="0" fontId="7" fillId="32" borderId="33" xfId="0" applyFont="1" applyFill="1" applyBorder="1" applyAlignment="1" applyProtection="1">
      <alignment horizontal="center" vertical="center"/>
    </xf>
    <xf numFmtId="9" fontId="3" fillId="32" borderId="0" xfId="121" applyFill="1" applyAlignment="1" applyProtection="1">
      <alignment vertical="center"/>
    </xf>
    <xf numFmtId="0" fontId="5" fillId="32" borderId="11" xfId="0" applyFont="1" applyFill="1" applyBorder="1" applyAlignment="1" applyProtection="1">
      <alignment horizontal="left" vertical="center"/>
    </xf>
    <xf numFmtId="0" fontId="5" fillId="32" borderId="11" xfId="0" applyFont="1" applyFill="1" applyBorder="1" applyAlignment="1" applyProtection="1">
      <alignment horizontal="center" vertical="center"/>
    </xf>
    <xf numFmtId="0" fontId="3" fillId="32" borderId="11" xfId="0" applyFont="1" applyFill="1" applyBorder="1" applyAlignment="1" applyProtection="1">
      <alignment horizontal="left" vertical="center" wrapText="1"/>
    </xf>
    <xf numFmtId="0" fontId="7" fillId="32" borderId="11" xfId="0" quotePrefix="1" applyFont="1" applyFill="1" applyBorder="1" applyAlignment="1" applyProtection="1">
      <alignment horizontal="center" vertical="center"/>
    </xf>
    <xf numFmtId="165" fontId="7" fillId="32" borderId="11" xfId="0" applyNumberFormat="1" applyFont="1" applyFill="1" applyBorder="1" applyAlignment="1" applyProtection="1">
      <alignment horizontal="right" vertical="center"/>
    </xf>
    <xf numFmtId="165" fontId="7" fillId="31" borderId="11" xfId="0" applyNumberFormat="1" applyFont="1" applyFill="1" applyBorder="1" applyAlignment="1" applyProtection="1">
      <alignment horizontal="right" vertical="center"/>
      <protection locked="0"/>
    </xf>
    <xf numFmtId="168" fontId="19" fillId="34" borderId="11" xfId="122" applyNumberFormat="1" applyFont="1" applyFill="1" applyBorder="1" applyAlignment="1" applyProtection="1">
      <alignment horizontal="right" vertical="center"/>
      <protection locked="0"/>
    </xf>
    <xf numFmtId="0" fontId="91" fillId="32" borderId="0" xfId="0" applyFont="1" applyFill="1" applyAlignment="1" applyProtection="1">
      <alignment vertical="center"/>
    </xf>
    <xf numFmtId="0" fontId="92" fillId="32" borderId="0" xfId="0" applyFont="1" applyFill="1" applyAlignment="1" applyProtection="1">
      <alignment vertical="center"/>
    </xf>
    <xf numFmtId="0" fontId="93" fillId="32" borderId="25" xfId="0" applyFont="1" applyFill="1" applyBorder="1" applyAlignment="1">
      <alignment horizontal="center" vertical="center"/>
    </xf>
    <xf numFmtId="44" fontId="93" fillId="32" borderId="111" xfId="192" applyFont="1" applyFill="1" applyBorder="1" applyAlignment="1">
      <alignment horizontal="center" vertical="center"/>
    </xf>
    <xf numFmtId="0" fontId="93" fillId="32" borderId="138" xfId="0" applyFont="1" applyFill="1" applyBorder="1" applyAlignment="1">
      <alignment horizontal="right" vertical="center"/>
    </xf>
    <xf numFmtId="0" fontId="93" fillId="32" borderId="131" xfId="0" applyFont="1" applyFill="1" applyBorder="1" applyAlignment="1">
      <alignment horizontal="center" vertical="center"/>
    </xf>
    <xf numFmtId="0" fontId="94" fillId="32" borderId="130" xfId="0" applyFont="1" applyFill="1" applyBorder="1" applyAlignment="1">
      <alignment vertical="center" wrapText="1"/>
    </xf>
    <xf numFmtId="165" fontId="94" fillId="32" borderId="130" xfId="0" applyNumberFormat="1" applyFont="1" applyFill="1" applyBorder="1" applyAlignment="1">
      <alignment vertical="center"/>
    </xf>
    <xf numFmtId="4" fontId="94" fillId="0" borderId="130" xfId="186" applyNumberFormat="1" applyFont="1" applyBorder="1" applyAlignment="1">
      <alignment horizontal="left" vertical="center" wrapText="1"/>
    </xf>
    <xf numFmtId="4" fontId="94" fillId="32" borderId="130" xfId="186" applyNumberFormat="1" applyFont="1" applyFill="1" applyBorder="1" applyAlignment="1">
      <alignment horizontal="left" vertical="center" wrapText="1"/>
    </xf>
    <xf numFmtId="4" fontId="95" fillId="32" borderId="130" xfId="186" applyNumberFormat="1" applyFont="1" applyFill="1" applyBorder="1" applyAlignment="1">
      <alignment horizontal="left" vertical="center" wrapText="1" indent="2"/>
    </xf>
    <xf numFmtId="165" fontId="95" fillId="32" borderId="130" xfId="0" applyNumberFormat="1" applyFont="1" applyFill="1" applyBorder="1" applyAlignment="1">
      <alignment horizontal="right" vertical="center" indent="2"/>
    </xf>
    <xf numFmtId="4" fontId="92" fillId="0" borderId="130" xfId="186" applyNumberFormat="1" applyFont="1" applyBorder="1" applyAlignment="1">
      <alignment horizontal="left" vertical="center" wrapText="1"/>
    </xf>
    <xf numFmtId="165" fontId="92" fillId="32" borderId="130" xfId="0" applyNumberFormat="1" applyFont="1" applyFill="1" applyBorder="1" applyAlignment="1">
      <alignment vertical="center"/>
    </xf>
    <xf numFmtId="4" fontId="93" fillId="0" borderId="130" xfId="186" applyNumberFormat="1" applyFont="1" applyBorder="1" applyAlignment="1">
      <alignment horizontal="left" vertical="center" wrapText="1"/>
    </xf>
    <xf numFmtId="165" fontId="93" fillId="0" borderId="130" xfId="186" applyNumberFormat="1" applyFont="1" applyBorder="1" applyAlignment="1">
      <alignment horizontal="right" vertical="center"/>
    </xf>
    <xf numFmtId="4" fontId="93" fillId="0" borderId="131" xfId="186" applyNumberFormat="1" applyFont="1" applyBorder="1" applyAlignment="1">
      <alignment horizontal="left" vertical="center" wrapText="1"/>
    </xf>
    <xf numFmtId="165" fontId="93" fillId="0" borderId="131" xfId="186" applyNumberFormat="1" applyFont="1" applyBorder="1" applyAlignment="1">
      <alignment horizontal="right" vertical="center"/>
    </xf>
    <xf numFmtId="0" fontId="95" fillId="0" borderId="0" xfId="0" applyFont="1" applyFill="1" applyAlignment="1" applyProtection="1">
      <alignment vertical="center"/>
    </xf>
    <xf numFmtId="0" fontId="88" fillId="33" borderId="0" xfId="171" applyFont="1" applyFill="1" applyBorder="1" applyAlignment="1" applyProtection="1">
      <alignment horizontal="center"/>
    </xf>
    <xf numFmtId="0" fontId="7" fillId="32" borderId="37" xfId="1" applyFont="1" applyFill="1" applyBorder="1" applyAlignment="1" applyProtection="1">
      <alignment horizontal="left"/>
    </xf>
    <xf numFmtId="0" fontId="7" fillId="32" borderId="29" xfId="1" applyFont="1" applyFill="1" applyBorder="1" applyAlignment="1" applyProtection="1">
      <alignment horizontal="left"/>
    </xf>
    <xf numFmtId="0" fontId="7" fillId="32" borderId="26" xfId="1" applyFont="1" applyFill="1" applyBorder="1" applyAlignment="1" applyProtection="1">
      <alignment horizontal="left"/>
    </xf>
    <xf numFmtId="0" fontId="7" fillId="31" borderId="34" xfId="192" applyNumberFormat="1" applyFont="1" applyFill="1" applyBorder="1" applyAlignment="1" applyProtection="1">
      <alignment horizontal="center"/>
      <protection locked="0"/>
    </xf>
    <xf numFmtId="0" fontId="7" fillId="31" borderId="47" xfId="192" applyNumberFormat="1" applyFont="1" applyFill="1" applyBorder="1" applyAlignment="1" applyProtection="1">
      <alignment horizontal="center"/>
      <protection locked="0"/>
    </xf>
    <xf numFmtId="0" fontId="7" fillId="31" borderId="39" xfId="192" applyNumberFormat="1" applyFont="1" applyFill="1" applyBorder="1" applyAlignment="1" applyProtection="1">
      <alignment horizontal="center"/>
      <protection locked="0"/>
    </xf>
    <xf numFmtId="0" fontId="7" fillId="31" borderId="34" xfId="0" applyFont="1" applyFill="1" applyBorder="1" applyAlignment="1" applyProtection="1">
      <alignment horizontal="center"/>
      <protection locked="0"/>
    </xf>
    <xf numFmtId="0" fontId="7" fillId="31" borderId="47" xfId="0" applyFont="1" applyFill="1" applyBorder="1" applyAlignment="1" applyProtection="1">
      <alignment horizontal="center"/>
      <protection locked="0"/>
    </xf>
    <xf numFmtId="0" fontId="7" fillId="31" borderId="39" xfId="0" applyFont="1" applyFill="1" applyBorder="1" applyAlignment="1" applyProtection="1">
      <alignment horizontal="center"/>
      <protection locked="0"/>
    </xf>
    <xf numFmtId="0" fontId="0" fillId="0" borderId="0" xfId="171" applyFont="1" applyAlignment="1" applyProtection="1">
      <alignment horizontal="left" vertical="center" wrapText="1"/>
    </xf>
    <xf numFmtId="0" fontId="3" fillId="0" borderId="0" xfId="171" applyAlignment="1" applyProtection="1">
      <alignment horizontal="left" vertical="center" wrapText="1"/>
    </xf>
    <xf numFmtId="4" fontId="7" fillId="32" borderId="83" xfId="186" applyNumberFormat="1" applyFont="1" applyFill="1" applyBorder="1" applyAlignment="1" applyProtection="1">
      <alignment horizontal="center" vertical="center"/>
    </xf>
    <xf numFmtId="4" fontId="7" fillId="32" borderId="29" xfId="186" applyNumberFormat="1" applyFont="1" applyFill="1" applyBorder="1" applyAlignment="1" applyProtection="1">
      <alignment horizontal="center" vertical="center"/>
    </xf>
    <xf numFmtId="4" fontId="7" fillId="32" borderId="26" xfId="186" applyNumberFormat="1" applyFont="1" applyFill="1" applyBorder="1" applyAlignment="1" applyProtection="1">
      <alignment horizontal="center" vertical="center"/>
    </xf>
    <xf numFmtId="4" fontId="7" fillId="32" borderId="84" xfId="186" applyNumberFormat="1" applyFont="1" applyFill="1" applyBorder="1" applyAlignment="1" applyProtection="1">
      <alignment horizontal="center" vertical="center"/>
    </xf>
    <xf numFmtId="4" fontId="7" fillId="32" borderId="85" xfId="186" applyNumberFormat="1" applyFont="1" applyFill="1" applyBorder="1" applyAlignment="1" applyProtection="1">
      <alignment horizontal="center" vertical="center"/>
    </xf>
    <xf numFmtId="4" fontId="7" fillId="32" borderId="64" xfId="186" applyNumberFormat="1" applyFont="1" applyFill="1" applyBorder="1" applyAlignment="1" applyProtection="1">
      <alignment horizontal="center" vertical="center"/>
    </xf>
    <xf numFmtId="4" fontId="7" fillId="32" borderId="86" xfId="186" applyNumberFormat="1" applyFont="1" applyFill="1" applyBorder="1" applyAlignment="1" applyProtection="1">
      <alignment horizontal="center" vertical="center"/>
    </xf>
    <xf numFmtId="4" fontId="7" fillId="32" borderId="87" xfId="186" applyNumberFormat="1" applyFont="1" applyFill="1" applyBorder="1" applyAlignment="1" applyProtection="1">
      <alignment horizontal="center" vertical="center"/>
    </xf>
    <xf numFmtId="4" fontId="7" fillId="32" borderId="88" xfId="186" applyNumberFormat="1" applyFont="1" applyFill="1" applyBorder="1" applyAlignment="1" applyProtection="1">
      <alignment horizontal="center" vertical="center"/>
    </xf>
    <xf numFmtId="4" fontId="7" fillId="32" borderId="89" xfId="186" applyNumberFormat="1" applyFont="1" applyFill="1" applyBorder="1" applyAlignment="1" applyProtection="1">
      <alignment horizontal="center" vertical="center"/>
    </xf>
    <xf numFmtId="4" fontId="7" fillId="32" borderId="30"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xf>
    <xf numFmtId="4" fontId="5" fillId="32" borderId="86" xfId="186" applyNumberFormat="1" applyFont="1" applyFill="1" applyBorder="1" applyAlignment="1" applyProtection="1">
      <alignment horizontal="center" vertical="center"/>
    </xf>
    <xf numFmtId="4" fontId="5" fillId="32" borderId="87" xfId="186" applyNumberFormat="1" applyFont="1" applyFill="1" applyBorder="1" applyAlignment="1" applyProtection="1">
      <alignment horizontal="center" vertical="center"/>
    </xf>
    <xf numFmtId="4" fontId="5" fillId="32" borderId="88" xfId="186" applyNumberFormat="1" applyFont="1" applyFill="1" applyBorder="1" applyAlignment="1" applyProtection="1">
      <alignment horizontal="center" vertical="center"/>
    </xf>
    <xf numFmtId="4" fontId="5" fillId="32" borderId="89" xfId="186" applyNumberFormat="1" applyFont="1" applyFill="1" applyBorder="1" applyAlignment="1" applyProtection="1">
      <alignment horizontal="center" vertical="center"/>
    </xf>
    <xf numFmtId="4" fontId="5" fillId="32" borderId="30" xfId="186" applyNumberFormat="1" applyFont="1" applyFill="1" applyBorder="1" applyAlignment="1" applyProtection="1">
      <alignment horizontal="center" vertical="center"/>
    </xf>
    <xf numFmtId="4" fontId="5" fillId="32" borderId="65" xfId="186" applyNumberFormat="1" applyFont="1" applyFill="1" applyBorder="1" applyAlignment="1" applyProtection="1">
      <alignment horizontal="center" vertical="center"/>
    </xf>
    <xf numFmtId="0" fontId="5" fillId="32" borderId="85" xfId="186" applyNumberFormat="1" applyFont="1" applyFill="1" applyBorder="1" applyAlignment="1" applyProtection="1">
      <alignment horizontal="center" vertical="center"/>
    </xf>
    <xf numFmtId="0" fontId="5" fillId="32" borderId="64" xfId="186" applyNumberFormat="1" applyFont="1" applyFill="1" applyBorder="1" applyAlignment="1" applyProtection="1">
      <alignment horizontal="center" vertical="center"/>
    </xf>
    <xf numFmtId="0" fontId="20" fillId="32" borderId="34" xfId="0" applyFont="1" applyFill="1" applyBorder="1" applyAlignment="1" applyProtection="1">
      <alignment horizontal="center" vertical="center"/>
    </xf>
    <xf numFmtId="0" fontId="20" fillId="32" borderId="47" xfId="0" applyFont="1" applyFill="1" applyBorder="1" applyAlignment="1" applyProtection="1">
      <alignment horizontal="center" vertical="center"/>
    </xf>
    <xf numFmtId="0" fontId="20" fillId="32" borderId="39" xfId="0" applyFont="1" applyFill="1" applyBorder="1" applyAlignment="1" applyProtection="1">
      <alignment horizontal="center" vertical="center"/>
    </xf>
    <xf numFmtId="4" fontId="5" fillId="32" borderId="85" xfId="186" applyNumberFormat="1" applyFont="1" applyFill="1" applyBorder="1" applyAlignment="1" applyProtection="1">
      <alignment horizontal="center" vertical="center"/>
    </xf>
    <xf numFmtId="4" fontId="5"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wrapText="1"/>
    </xf>
    <xf numFmtId="4" fontId="3" fillId="32" borderId="0" xfId="186" applyNumberFormat="1" applyFont="1" applyFill="1" applyBorder="1" applyAlignment="1" applyProtection="1">
      <alignment horizontal="left" vertical="top" wrapText="1"/>
    </xf>
    <xf numFmtId="4" fontId="3" fillId="32" borderId="19" xfId="186" applyNumberFormat="1" applyFont="1" applyFill="1" applyBorder="1" applyAlignment="1" applyProtection="1">
      <alignment horizontal="left" vertical="top" wrapText="1"/>
    </xf>
    <xf numFmtId="4" fontId="5" fillId="32" borderId="16" xfId="186" applyNumberFormat="1" applyFont="1" applyFill="1" applyBorder="1" applyAlignment="1" applyProtection="1">
      <alignment horizontal="left" vertical="center" wrapText="1"/>
    </xf>
    <xf numFmtId="4" fontId="5" fillId="32" borderId="0" xfId="186" applyNumberFormat="1" applyFont="1" applyFill="1" applyBorder="1" applyAlignment="1" applyProtection="1">
      <alignment horizontal="left" vertical="center" wrapText="1"/>
    </xf>
    <xf numFmtId="4" fontId="5" fillId="32" borderId="19" xfId="186" applyNumberFormat="1" applyFont="1" applyFill="1" applyBorder="1" applyAlignment="1" applyProtection="1">
      <alignment horizontal="left" vertical="center" wrapText="1"/>
    </xf>
    <xf numFmtId="0" fontId="5" fillId="32" borderId="17" xfId="186" applyNumberFormat="1" applyFont="1" applyFill="1" applyBorder="1" applyAlignment="1" applyProtection="1">
      <alignment horizontal="center"/>
    </xf>
    <xf numFmtId="0" fontId="3" fillId="32" borderId="17" xfId="186" applyNumberFormat="1" applyFont="1" applyFill="1" applyBorder="1" applyAlignment="1" applyProtection="1">
      <alignment horizontal="center"/>
    </xf>
    <xf numFmtId="4" fontId="5" fillId="32" borderId="16" xfId="186" applyNumberFormat="1" applyFont="1" applyFill="1" applyBorder="1" applyAlignment="1" applyProtection="1">
      <alignment horizontal="left" vertical="top" wrapText="1"/>
    </xf>
    <xf numFmtId="4" fontId="5" fillId="32" borderId="0" xfId="186" applyNumberFormat="1" applyFont="1" applyFill="1" applyBorder="1" applyAlignment="1" applyProtection="1">
      <alignment horizontal="left" vertical="top" wrapText="1"/>
    </xf>
    <xf numFmtId="4" fontId="5" fillId="32" borderId="19" xfId="186" applyNumberFormat="1" applyFont="1" applyFill="1" applyBorder="1" applyAlignment="1" applyProtection="1">
      <alignment horizontal="left" vertical="top" wrapText="1"/>
    </xf>
    <xf numFmtId="0" fontId="91" fillId="32" borderId="40" xfId="0" applyFont="1" applyFill="1" applyBorder="1" applyAlignment="1" applyProtection="1">
      <alignment horizontal="center" vertical="center"/>
    </xf>
    <xf numFmtId="0" fontId="91" fillId="32" borderId="52" xfId="0" applyFont="1" applyFill="1" applyBorder="1" applyAlignment="1" applyProtection="1">
      <alignment horizontal="center" vertical="center"/>
    </xf>
    <xf numFmtId="0" fontId="7" fillId="32" borderId="34" xfId="0" applyNumberFormat="1" applyFont="1" applyFill="1" applyBorder="1" applyAlignment="1" applyProtection="1">
      <alignment horizontal="center" vertical="center"/>
    </xf>
    <xf numFmtId="0" fontId="7" fillId="32" borderId="47" xfId="0" applyNumberFormat="1" applyFont="1" applyFill="1" applyBorder="1" applyAlignment="1" applyProtection="1">
      <alignment horizontal="center" vertical="center"/>
    </xf>
    <xf numFmtId="0" fontId="7" fillId="32" borderId="39" xfId="0" applyNumberFormat="1" applyFont="1" applyFill="1" applyBorder="1" applyAlignment="1" applyProtection="1">
      <alignment horizontal="center" vertical="center"/>
    </xf>
    <xf numFmtId="0" fontId="7" fillId="32" borderId="34" xfId="0" applyFont="1" applyFill="1" applyBorder="1" applyAlignment="1" applyProtection="1">
      <alignment horizontal="center" vertical="center"/>
    </xf>
    <xf numFmtId="0" fontId="7" fillId="32" borderId="47" xfId="0" applyFont="1" applyFill="1" applyBorder="1" applyAlignment="1" applyProtection="1">
      <alignment horizontal="center" vertical="center"/>
    </xf>
    <xf numFmtId="0" fontId="7" fillId="32" borderId="39" xfId="0" applyFont="1" applyFill="1" applyBorder="1" applyAlignment="1" applyProtection="1">
      <alignment horizontal="center" vertical="center"/>
    </xf>
    <xf numFmtId="0" fontId="7" fillId="32" borderId="90" xfId="0" applyFont="1" applyFill="1" applyBorder="1" applyAlignment="1" applyProtection="1">
      <alignment horizontal="center"/>
    </xf>
    <xf numFmtId="0" fontId="7" fillId="32" borderId="102" xfId="0" applyFont="1" applyFill="1" applyBorder="1" applyAlignment="1" applyProtection="1">
      <alignment horizontal="center"/>
    </xf>
    <xf numFmtId="0" fontId="5" fillId="32" borderId="40" xfId="0" applyFont="1" applyFill="1" applyBorder="1" applyAlignment="1" applyProtection="1">
      <alignment horizontal="center" vertical="center"/>
    </xf>
    <xf numFmtId="0" fontId="5" fillId="32" borderId="52" xfId="0" applyFont="1" applyFill="1" applyBorder="1" applyAlignment="1" applyProtection="1">
      <alignment horizontal="center" vertical="center"/>
    </xf>
    <xf numFmtId="4" fontId="5" fillId="0" borderId="33" xfId="186" applyNumberFormat="1" applyFont="1" applyBorder="1" applyAlignment="1" applyProtection="1">
      <alignment horizontal="center" vertical="center" wrapText="1"/>
    </xf>
    <xf numFmtId="4" fontId="5" fillId="0" borderId="27" xfId="186" applyNumberFormat="1" applyFont="1" applyBorder="1" applyAlignment="1" applyProtection="1">
      <alignment horizontal="center" vertical="center" wrapText="1"/>
    </xf>
    <xf numFmtId="4" fontId="5" fillId="0" borderId="28" xfId="186" applyNumberFormat="1" applyFont="1" applyBorder="1" applyAlignment="1" applyProtection="1">
      <alignment horizontal="center" vertical="center" wrapText="1"/>
    </xf>
    <xf numFmtId="0" fontId="5" fillId="0" borderId="33" xfId="186" applyNumberFormat="1" applyFont="1" applyBorder="1" applyAlignment="1" applyProtection="1">
      <alignment horizontal="center" vertical="center" wrapText="1"/>
    </xf>
    <xf numFmtId="0" fontId="5" fillId="0" borderId="27" xfId="186" applyNumberFormat="1" applyFont="1" applyBorder="1" applyAlignment="1" applyProtection="1">
      <alignment horizontal="center" vertical="center" wrapText="1"/>
    </xf>
    <xf numFmtId="0" fontId="5" fillId="0" borderId="28" xfId="186" applyNumberFormat="1" applyFont="1" applyBorder="1" applyAlignment="1" applyProtection="1">
      <alignment horizontal="center" vertical="center" wrapText="1"/>
    </xf>
    <xf numFmtId="44" fontId="0" fillId="0" borderId="37" xfId="192" applyFont="1" applyBorder="1" applyAlignment="1" applyProtection="1">
      <alignment horizontal="center" vertical="center"/>
    </xf>
    <xf numFmtId="0" fontId="5" fillId="32" borderId="33" xfId="186" applyNumberFormat="1" applyFont="1" applyFill="1" applyBorder="1" applyAlignment="1" applyProtection="1">
      <alignment horizontal="center" vertical="center"/>
    </xf>
    <xf numFmtId="0" fontId="5" fillId="32" borderId="27" xfId="186" applyNumberFormat="1" applyFont="1" applyFill="1" applyBorder="1" applyAlignment="1" applyProtection="1">
      <alignment horizontal="center" vertical="center"/>
    </xf>
    <xf numFmtId="0" fontId="5" fillId="32" borderId="28" xfId="186" applyNumberFormat="1" applyFont="1" applyFill="1" applyBorder="1" applyAlignment="1" applyProtection="1">
      <alignment horizontal="center" vertical="center"/>
    </xf>
    <xf numFmtId="44" fontId="3" fillId="32" borderId="33" xfId="192" applyFont="1" applyFill="1" applyBorder="1" applyAlignment="1" applyProtection="1">
      <alignment horizontal="center" vertical="center" wrapText="1"/>
    </xf>
    <xf numFmtId="44" fontId="3" fillId="32" borderId="27" xfId="192" applyFont="1" applyFill="1" applyBorder="1" applyAlignment="1" applyProtection="1">
      <alignment horizontal="center" vertical="center" wrapText="1"/>
    </xf>
    <xf numFmtId="44" fontId="3" fillId="32" borderId="28" xfId="192" applyFont="1" applyFill="1" applyBorder="1" applyAlignment="1" applyProtection="1">
      <alignment horizontal="center" vertical="center" wrapText="1"/>
    </xf>
    <xf numFmtId="0" fontId="23" fillId="0" borderId="37" xfId="30" applyFont="1" applyFill="1" applyBorder="1" applyAlignment="1" applyProtection="1">
      <alignment horizontal="center" vertical="center"/>
    </xf>
    <xf numFmtId="0" fontId="23" fillId="0" borderId="29" xfId="30" applyFont="1" applyFill="1" applyBorder="1" applyAlignment="1" applyProtection="1">
      <alignment horizontal="center" vertical="center"/>
    </xf>
    <xf numFmtId="0" fontId="23" fillId="0" borderId="26" xfId="30" applyFont="1" applyFill="1" applyBorder="1" applyAlignment="1" applyProtection="1">
      <alignment horizontal="center" vertical="center"/>
    </xf>
    <xf numFmtId="0" fontId="3" fillId="32" borderId="33" xfId="30" applyFont="1" applyFill="1" applyBorder="1" applyAlignment="1" applyProtection="1">
      <alignment vertical="center" wrapText="1"/>
    </xf>
    <xf numFmtId="0" fontId="57" fillId="32" borderId="27" xfId="46" applyFill="1" applyBorder="1" applyAlignment="1" applyProtection="1">
      <alignment vertical="center"/>
    </xf>
    <xf numFmtId="0" fontId="57" fillId="32" borderId="28" xfId="46" applyFill="1" applyBorder="1" applyAlignment="1" applyProtection="1">
      <alignment vertical="center"/>
    </xf>
    <xf numFmtId="0" fontId="0" fillId="41" borderId="33" xfId="30" applyFont="1" applyFill="1" applyBorder="1" applyAlignment="1" applyProtection="1">
      <alignment vertical="center" wrapText="1"/>
    </xf>
    <xf numFmtId="0" fontId="57" fillId="41" borderId="27" xfId="46" applyFill="1" applyBorder="1" applyAlignment="1" applyProtection="1">
      <alignment vertical="center" wrapText="1"/>
    </xf>
    <xf numFmtId="0" fontId="57" fillId="41" borderId="28" xfId="46" applyFill="1" applyBorder="1" applyAlignment="1" applyProtection="1">
      <alignment vertical="center"/>
    </xf>
    <xf numFmtId="0" fontId="23" fillId="32" borderId="37" xfId="30" applyFont="1" applyFill="1" applyBorder="1" applyAlignment="1" applyProtection="1">
      <alignment horizontal="center" vertical="center"/>
    </xf>
    <xf numFmtId="0" fontId="23" fillId="32" borderId="29" xfId="30" applyFont="1" applyFill="1" applyBorder="1" applyAlignment="1" applyProtection="1">
      <alignment horizontal="center" vertical="center"/>
    </xf>
    <xf numFmtId="0" fontId="23" fillId="32" borderId="26" xfId="30" applyFont="1" applyFill="1" applyBorder="1" applyAlignment="1" applyProtection="1">
      <alignment horizontal="center" vertical="center"/>
    </xf>
    <xf numFmtId="0" fontId="7" fillId="32" borderId="0" xfId="30" applyFont="1" applyFill="1" applyBorder="1" applyAlignment="1" applyProtection="1">
      <alignment horizontal="center" vertical="center"/>
    </xf>
    <xf numFmtId="0" fontId="0" fillId="0" borderId="33" xfId="30" applyFont="1" applyFill="1" applyBorder="1" applyAlignment="1" applyProtection="1">
      <alignment vertical="center" wrapText="1"/>
    </xf>
    <xf numFmtId="0" fontId="57" fillId="0" borderId="27" xfId="46" applyFill="1" applyBorder="1" applyAlignment="1" applyProtection="1">
      <alignment vertical="center" wrapText="1"/>
    </xf>
    <xf numFmtId="0" fontId="57" fillId="0" borderId="28" xfId="46" applyFill="1" applyBorder="1" applyAlignment="1" applyProtection="1">
      <alignment vertical="center" wrapText="1"/>
    </xf>
    <xf numFmtId="0" fontId="22" fillId="40" borderId="34" xfId="30" applyFont="1" applyFill="1" applyBorder="1" applyAlignment="1" applyProtection="1">
      <alignment horizontal="center" vertical="center"/>
    </xf>
    <xf numFmtId="0" fontId="22" fillId="40" borderId="47" xfId="30" applyFont="1" applyFill="1" applyBorder="1" applyAlignment="1" applyProtection="1">
      <alignment horizontal="center" vertical="center"/>
    </xf>
    <xf numFmtId="0" fontId="22" fillId="40" borderId="39" xfId="30" applyFont="1" applyFill="1" applyBorder="1" applyAlignment="1" applyProtection="1">
      <alignment horizontal="center" vertical="center"/>
    </xf>
    <xf numFmtId="0" fontId="20" fillId="32" borderId="34" xfId="186" applyFont="1" applyFill="1" applyBorder="1" applyAlignment="1" applyProtection="1">
      <alignment horizontal="center" vertical="center"/>
    </xf>
    <xf numFmtId="0" fontId="20" fillId="32" borderId="47" xfId="186" applyFont="1" applyFill="1" applyBorder="1" applyAlignment="1" applyProtection="1">
      <alignment horizontal="center" vertical="center"/>
    </xf>
    <xf numFmtId="0" fontId="20" fillId="32" borderId="39" xfId="186" applyFont="1" applyFill="1" applyBorder="1" applyAlignment="1" applyProtection="1">
      <alignment horizontal="center" vertical="center"/>
    </xf>
    <xf numFmtId="0" fontId="23" fillId="32" borderId="34" xfId="30" applyFont="1" applyFill="1" applyBorder="1" applyAlignment="1" applyProtection="1">
      <alignment horizontal="center" vertical="center"/>
    </xf>
    <xf numFmtId="0" fontId="23" fillId="32" borderId="47" xfId="30" applyFont="1" applyFill="1" applyBorder="1" applyAlignment="1" applyProtection="1">
      <alignment horizontal="center" vertical="center"/>
    </xf>
    <xf numFmtId="0" fontId="23" fillId="32" borderId="39" xfId="30" applyFont="1" applyFill="1" applyBorder="1" applyAlignment="1" applyProtection="1">
      <alignment horizontal="center" vertical="center"/>
    </xf>
    <xf numFmtId="0" fontId="78" fillId="32" borderId="14" xfId="30" applyFont="1" applyFill="1" applyBorder="1" applyAlignment="1" applyProtection="1">
      <alignment horizontal="center" vertical="center"/>
    </xf>
    <xf numFmtId="0" fontId="78" fillId="32" borderId="0" xfId="30" applyFont="1" applyFill="1" applyAlignment="1" applyProtection="1">
      <alignment horizontal="center" vertical="center"/>
    </xf>
    <xf numFmtId="0" fontId="6" fillId="32" borderId="37"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6" fillId="32" borderId="26" xfId="0" applyFont="1" applyFill="1" applyBorder="1" applyAlignment="1" applyProtection="1">
      <alignment horizontal="center" vertical="center" wrapText="1"/>
    </xf>
    <xf numFmtId="0" fontId="7" fillId="32" borderId="37" xfId="0" applyFont="1" applyFill="1" applyBorder="1" applyAlignment="1" applyProtection="1">
      <alignment horizontal="center" vertical="center" wrapText="1"/>
    </xf>
    <xf numFmtId="0" fontId="7" fillId="32" borderId="29"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0" fillId="35" borderId="37" xfId="0" applyFill="1" applyBorder="1" applyAlignment="1" applyProtection="1">
      <alignment horizontal="center" vertical="center" wrapText="1"/>
    </xf>
    <xf numFmtId="0" fontId="0" fillId="35" borderId="29" xfId="0" applyFill="1" applyBorder="1" applyAlignment="1" applyProtection="1">
      <alignment horizontal="center" vertical="center" wrapText="1"/>
    </xf>
    <xf numFmtId="0" fontId="0" fillId="35" borderId="26" xfId="0" applyFill="1" applyBorder="1" applyAlignment="1" applyProtection="1">
      <alignment horizontal="center" vertical="center" wrapText="1"/>
    </xf>
    <xf numFmtId="0" fontId="6" fillId="39" borderId="37" xfId="0" applyFont="1" applyFill="1" applyBorder="1" applyAlignment="1" applyProtection="1">
      <alignment horizontal="center" vertical="center" wrapText="1"/>
    </xf>
    <xf numFmtId="0" fontId="6" fillId="39" borderId="29" xfId="0" applyFont="1" applyFill="1" applyBorder="1" applyAlignment="1" applyProtection="1">
      <alignment horizontal="center" vertical="center" wrapText="1"/>
    </xf>
    <xf numFmtId="0" fontId="6" fillId="39" borderId="26" xfId="0" applyFont="1" applyFill="1" applyBorder="1" applyAlignment="1" applyProtection="1">
      <alignment horizontal="center" vertical="center" wrapText="1"/>
    </xf>
    <xf numFmtId="0" fontId="7" fillId="32" borderId="37" xfId="0" applyFont="1" applyFill="1" applyBorder="1" applyAlignment="1" applyProtection="1">
      <alignment horizontal="left" vertical="center"/>
    </xf>
    <xf numFmtId="0" fontId="7" fillId="32" borderId="29" xfId="0" applyFont="1" applyFill="1" applyBorder="1" applyAlignment="1" applyProtection="1">
      <alignment horizontal="left" vertical="center"/>
    </xf>
    <xf numFmtId="0" fontId="7" fillId="32" borderId="26" xfId="0" applyFont="1" applyFill="1" applyBorder="1" applyAlignment="1" applyProtection="1">
      <alignment horizontal="left" vertical="center"/>
    </xf>
    <xf numFmtId="0" fontId="0" fillId="32" borderId="37" xfId="0" applyFill="1" applyBorder="1" applyAlignment="1" applyProtection="1">
      <alignment horizontal="center" vertical="center" wrapText="1"/>
    </xf>
    <xf numFmtId="0" fontId="0" fillId="32" borderId="29" xfId="0" applyFill="1" applyBorder="1" applyAlignment="1" applyProtection="1">
      <alignment horizontal="center" vertical="center" wrapText="1"/>
    </xf>
    <xf numFmtId="0" fontId="0" fillId="32" borderId="26" xfId="0" applyFill="1" applyBorder="1" applyAlignment="1" applyProtection="1">
      <alignment horizontal="center" vertical="center" wrapText="1"/>
    </xf>
    <xf numFmtId="0" fontId="19" fillId="39" borderId="37" xfId="0" applyFont="1" applyFill="1" applyBorder="1" applyAlignment="1" applyProtection="1">
      <alignment horizontal="left" vertical="center"/>
    </xf>
    <xf numFmtId="0" fontId="19" fillId="39" borderId="29" xfId="0" applyFont="1" applyFill="1" applyBorder="1" applyAlignment="1" applyProtection="1">
      <alignment horizontal="left" vertical="center"/>
    </xf>
    <xf numFmtId="0" fontId="19" fillId="39" borderId="26" xfId="0" applyFont="1" applyFill="1" applyBorder="1" applyAlignment="1" applyProtection="1">
      <alignment horizontal="left" vertical="center"/>
    </xf>
    <xf numFmtId="0" fontId="7" fillId="32" borderId="37" xfId="0" applyFont="1" applyFill="1" applyBorder="1" applyAlignment="1" applyProtection="1">
      <alignment horizontal="left" vertical="center" wrapText="1"/>
    </xf>
    <xf numFmtId="0" fontId="7" fillId="32" borderId="29" xfId="0" applyFont="1" applyFill="1" applyBorder="1" applyAlignment="1" applyProtection="1">
      <alignment horizontal="left" vertical="center" wrapText="1"/>
    </xf>
    <xf numFmtId="0" fontId="7" fillId="32" borderId="26" xfId="0" applyFont="1" applyFill="1" applyBorder="1" applyAlignment="1" applyProtection="1">
      <alignment horizontal="left" vertical="center" wrapText="1"/>
    </xf>
    <xf numFmtId="0" fontId="0" fillId="32" borderId="11" xfId="0" applyFill="1" applyBorder="1" applyAlignment="1" applyProtection="1">
      <alignment horizontal="left" vertical="center" wrapText="1"/>
    </xf>
    <xf numFmtId="0" fontId="0" fillId="32" borderId="37" xfId="0" applyFill="1" applyBorder="1" applyAlignment="1" applyProtection="1">
      <alignment horizontal="left" vertical="center" wrapText="1"/>
    </xf>
    <xf numFmtId="0" fontId="0" fillId="32" borderId="29" xfId="0" applyFill="1" applyBorder="1" applyAlignment="1" applyProtection="1">
      <alignment horizontal="left" vertical="center" wrapText="1"/>
    </xf>
    <xf numFmtId="0" fontId="0" fillId="32" borderId="26" xfId="0" applyFill="1" applyBorder="1" applyAlignment="1" applyProtection="1">
      <alignment horizontal="left" vertical="center" wrapText="1"/>
    </xf>
    <xf numFmtId="0" fontId="6" fillId="32" borderId="32" xfId="0" applyFont="1" applyFill="1" applyBorder="1" applyAlignment="1" applyProtection="1">
      <alignment horizontal="right" vertical="center"/>
    </xf>
    <xf numFmtId="0" fontId="7" fillId="32" borderId="11" xfId="0" applyFont="1" applyFill="1" applyBorder="1" applyAlignment="1" applyProtection="1">
      <alignment horizontal="left" vertical="center" wrapText="1"/>
    </xf>
    <xf numFmtId="0" fontId="6" fillId="32" borderId="0" xfId="0" applyFont="1" applyFill="1" applyBorder="1" applyAlignment="1" applyProtection="1">
      <alignment horizontal="center" vertical="center"/>
    </xf>
    <xf numFmtId="0" fontId="19" fillId="32" borderId="37" xfId="0" applyFont="1" applyFill="1" applyBorder="1" applyAlignment="1" applyProtection="1">
      <alignment horizontal="left" vertical="center"/>
    </xf>
    <xf numFmtId="0" fontId="19" fillId="32" borderId="29" xfId="0" applyFont="1" applyFill="1" applyBorder="1" applyAlignment="1" applyProtection="1">
      <alignment horizontal="left" vertical="center"/>
    </xf>
    <xf numFmtId="0" fontId="19" fillId="32" borderId="26" xfId="0" applyFont="1" applyFill="1" applyBorder="1" applyAlignment="1" applyProtection="1">
      <alignment horizontal="left" vertical="center"/>
    </xf>
    <xf numFmtId="0" fontId="20" fillId="32" borderId="34" xfId="186" applyFont="1" applyFill="1" applyBorder="1" applyAlignment="1" applyProtection="1">
      <alignment horizontal="center" vertical="center" wrapText="1"/>
    </xf>
    <xf numFmtId="0" fontId="20" fillId="32" borderId="47" xfId="186" applyFont="1" applyFill="1" applyBorder="1" applyAlignment="1" applyProtection="1">
      <alignment horizontal="center" vertical="center" wrapText="1"/>
    </xf>
    <xf numFmtId="0" fontId="20" fillId="32" borderId="39" xfId="186" applyFont="1" applyFill="1" applyBorder="1" applyAlignment="1" applyProtection="1">
      <alignment horizontal="center" vertical="center" wrapText="1"/>
    </xf>
    <xf numFmtId="0" fontId="6" fillId="32" borderId="117" xfId="0" applyFont="1" applyFill="1" applyBorder="1" applyAlignment="1" applyProtection="1">
      <alignment horizontal="left" vertical="center" wrapText="1"/>
    </xf>
    <xf numFmtId="0" fontId="6" fillId="32" borderId="118" xfId="0" applyFont="1" applyFill="1" applyBorder="1" applyAlignment="1" applyProtection="1">
      <alignment horizontal="left" vertical="center" wrapText="1"/>
    </xf>
    <xf numFmtId="0" fontId="6" fillId="32" borderId="61" xfId="0" applyFont="1" applyFill="1" applyBorder="1" applyAlignment="1" applyProtection="1">
      <alignment horizontal="left" vertical="center" wrapText="1"/>
    </xf>
    <xf numFmtId="0" fontId="6" fillId="32" borderId="77" xfId="0" applyFont="1" applyFill="1" applyBorder="1" applyAlignment="1" applyProtection="1">
      <alignment horizontal="left" vertical="center" wrapText="1"/>
    </xf>
    <xf numFmtId="0" fontId="6" fillId="32" borderId="115" xfId="0" applyFont="1" applyFill="1" applyBorder="1" applyAlignment="1" applyProtection="1">
      <alignment horizontal="left" vertical="center" wrapText="1"/>
    </xf>
    <xf numFmtId="0" fontId="6" fillId="32" borderId="26" xfId="0" applyFont="1" applyFill="1" applyBorder="1" applyAlignment="1" applyProtection="1">
      <alignment horizontal="left" vertical="center" wrapText="1"/>
    </xf>
    <xf numFmtId="0" fontId="7" fillId="32" borderId="82" xfId="0" applyFont="1" applyFill="1" applyBorder="1" applyAlignment="1" applyProtection="1">
      <alignment horizontal="center" vertical="center" wrapText="1"/>
    </xf>
    <xf numFmtId="0" fontId="7" fillId="32" borderId="35" xfId="0" applyFont="1" applyFill="1" applyBorder="1" applyAlignment="1" applyProtection="1">
      <alignment horizontal="center" vertical="center" wrapText="1"/>
    </xf>
    <xf numFmtId="0" fontId="7" fillId="32" borderId="34" xfId="0" applyFont="1" applyFill="1" applyBorder="1" applyAlignment="1" applyProtection="1">
      <alignment horizontal="left" vertical="center" wrapText="1"/>
    </xf>
    <xf numFmtId="0" fontId="7" fillId="32" borderId="80" xfId="0" applyFont="1" applyFill="1" applyBorder="1" applyAlignment="1" applyProtection="1">
      <alignment horizontal="left" vertical="center" wrapText="1"/>
    </xf>
    <xf numFmtId="0" fontId="7" fillId="32" borderId="34" xfId="0" applyFont="1" applyFill="1" applyBorder="1" applyAlignment="1" applyProtection="1">
      <alignment horizontal="left" vertical="center"/>
    </xf>
    <xf numFmtId="0" fontId="7" fillId="32" borderId="80" xfId="0" applyFont="1" applyFill="1" applyBorder="1" applyAlignment="1" applyProtection="1">
      <alignment horizontal="left" vertical="center"/>
    </xf>
    <xf numFmtId="0" fontId="26" fillId="32" borderId="0" xfId="30" applyFont="1" applyFill="1" applyAlignment="1" applyProtection="1">
      <alignment horizontal="center" vertical="center"/>
    </xf>
    <xf numFmtId="0" fontId="57" fillId="32" borderId="27" xfId="46" applyFill="1" applyBorder="1" applyAlignment="1" applyProtection="1">
      <alignment vertical="center" wrapText="1"/>
    </xf>
    <xf numFmtId="0" fontId="57" fillId="32" borderId="28" xfId="46" applyFill="1" applyBorder="1" applyAlignment="1" applyProtection="1">
      <alignment vertical="center" wrapText="1"/>
    </xf>
    <xf numFmtId="0" fontId="57" fillId="0" borderId="28" xfId="46" applyFill="1" applyBorder="1" applyAlignment="1" applyProtection="1">
      <alignment vertical="center"/>
    </xf>
    <xf numFmtId="0" fontId="6" fillId="32" borderId="0" xfId="0" applyFont="1" applyFill="1" applyAlignment="1" applyProtection="1">
      <alignment horizontal="left" vertical="center" wrapText="1"/>
    </xf>
    <xf numFmtId="0" fontId="7" fillId="0" borderId="34" xfId="174" applyFont="1" applyFill="1" applyBorder="1" applyAlignment="1" applyProtection="1">
      <alignment horizontal="center" vertical="center" wrapText="1"/>
    </xf>
    <xf numFmtId="0" fontId="7" fillId="0" borderId="47" xfId="174" applyFont="1" applyFill="1" applyBorder="1" applyAlignment="1" applyProtection="1">
      <alignment horizontal="center" vertical="center" wrapText="1"/>
    </xf>
    <xf numFmtId="0" fontId="7" fillId="0" borderId="80" xfId="174" applyFont="1" applyFill="1" applyBorder="1" applyAlignment="1" applyProtection="1">
      <alignment horizontal="center" vertical="center" wrapText="1"/>
    </xf>
    <xf numFmtId="0" fontId="5" fillId="30" borderId="42" xfId="174" applyFont="1" applyFill="1" applyBorder="1" applyAlignment="1" applyProtection="1">
      <alignment horizontal="left" vertical="center" wrapText="1"/>
    </xf>
    <xf numFmtId="0" fontId="5" fillId="30" borderId="43" xfId="174" applyFont="1" applyFill="1" applyBorder="1" applyAlignment="1" applyProtection="1">
      <alignment horizontal="left" vertical="center" wrapText="1"/>
    </xf>
    <xf numFmtId="0" fontId="54" fillId="0" borderId="42" xfId="174" applyFont="1" applyFill="1" applyBorder="1" applyAlignment="1" applyProtection="1">
      <alignment horizontal="left" vertical="center" wrapText="1"/>
    </xf>
    <xf numFmtId="0" fontId="54" fillId="0" borderId="43" xfId="174" applyFont="1" applyFill="1" applyBorder="1" applyAlignment="1" applyProtection="1">
      <alignment horizontal="left" vertical="center" wrapText="1"/>
    </xf>
    <xf numFmtId="0" fontId="3" fillId="0" borderId="42" xfId="174" applyFont="1" applyFill="1" applyBorder="1" applyAlignment="1" applyProtection="1">
      <alignment horizontal="left" vertical="center" wrapText="1"/>
    </xf>
    <xf numFmtId="0" fontId="3" fillId="0" borderId="43" xfId="174" applyFont="1" applyFill="1" applyBorder="1" applyAlignment="1" applyProtection="1">
      <alignment horizontal="left" vertical="center" wrapText="1"/>
    </xf>
    <xf numFmtId="0" fontId="7" fillId="32" borderId="42" xfId="184" applyFont="1" applyFill="1" applyBorder="1" applyAlignment="1" applyProtection="1">
      <alignment horizontal="left" vertical="center" wrapText="1"/>
    </xf>
    <xf numFmtId="0" fontId="7" fillId="32" borderId="43" xfId="184" applyFont="1" applyFill="1" applyBorder="1" applyAlignment="1" applyProtection="1">
      <alignment horizontal="left" vertical="center" wrapText="1"/>
    </xf>
    <xf numFmtId="0" fontId="4" fillId="32" borderId="48" xfId="171" applyFont="1" applyFill="1" applyBorder="1" applyAlignment="1" applyProtection="1">
      <alignment horizontal="center" vertical="center"/>
    </xf>
    <xf numFmtId="0" fontId="4" fillId="32" borderId="49" xfId="171" applyFont="1" applyFill="1" applyBorder="1" applyAlignment="1" applyProtection="1">
      <alignment horizontal="center" vertical="center"/>
    </xf>
    <xf numFmtId="0" fontId="4" fillId="32" borderId="50" xfId="171" applyFont="1" applyFill="1" applyBorder="1" applyAlignment="1" applyProtection="1">
      <alignment horizontal="center" vertical="center"/>
    </xf>
    <xf numFmtId="0" fontId="4" fillId="32" borderId="51" xfId="171" applyFont="1" applyFill="1" applyBorder="1" applyAlignment="1" applyProtection="1">
      <alignment horizontal="center" vertical="center"/>
    </xf>
    <xf numFmtId="0" fontId="4" fillId="32" borderId="15" xfId="171" applyFont="1" applyFill="1" applyBorder="1" applyAlignment="1" applyProtection="1">
      <alignment horizontal="center" vertical="center"/>
    </xf>
    <xf numFmtId="0" fontId="4" fillId="32" borderId="52" xfId="171" applyFont="1" applyFill="1" applyBorder="1" applyAlignment="1" applyProtection="1">
      <alignment horizontal="center" vertical="center"/>
    </xf>
    <xf numFmtId="0" fontId="7" fillId="32" borderId="48" xfId="171" applyFont="1" applyFill="1" applyBorder="1" applyAlignment="1" applyProtection="1">
      <alignment horizontal="center" vertical="center" wrapText="1"/>
    </xf>
    <xf numFmtId="0" fontId="7" fillId="32" borderId="49" xfId="171" applyFont="1" applyFill="1" applyBorder="1" applyAlignment="1" applyProtection="1">
      <alignment horizontal="center" vertical="center" wrapText="1"/>
    </xf>
    <xf numFmtId="0" fontId="7" fillId="32" borderId="76" xfId="171" applyFont="1" applyFill="1" applyBorder="1" applyAlignment="1" applyProtection="1">
      <alignment horizontal="center" vertical="center" wrapText="1"/>
    </xf>
    <xf numFmtId="0" fontId="23" fillId="32" borderId="82" xfId="30" applyFont="1" applyFill="1" applyBorder="1" applyAlignment="1" applyProtection="1">
      <alignment horizontal="center" vertical="center"/>
    </xf>
    <xf numFmtId="0" fontId="23" fillId="32" borderId="32" xfId="30" applyFont="1" applyFill="1" applyBorder="1" applyAlignment="1" applyProtection="1">
      <alignment horizontal="center" vertical="center"/>
    </xf>
    <xf numFmtId="0" fontId="23" fillId="32" borderId="35" xfId="30" applyFont="1" applyFill="1" applyBorder="1" applyAlignment="1" applyProtection="1">
      <alignment horizontal="center" vertical="center"/>
    </xf>
    <xf numFmtId="0" fontId="0" fillId="32" borderId="115" xfId="0" applyFont="1" applyFill="1" applyBorder="1" applyAlignment="1" applyProtection="1">
      <alignment horizontal="left" vertical="center" wrapText="1"/>
    </xf>
    <xf numFmtId="0" fontId="0" fillId="32" borderId="26" xfId="0" applyFont="1" applyFill="1" applyBorder="1" applyAlignment="1" applyProtection="1">
      <alignment horizontal="left" vertical="center" wrapText="1"/>
    </xf>
    <xf numFmtId="0" fontId="0" fillId="32" borderId="61" xfId="0" applyFont="1" applyFill="1" applyBorder="1" applyAlignment="1" applyProtection="1">
      <alignment horizontal="left" vertical="center" wrapText="1"/>
    </xf>
    <xf numFmtId="0" fontId="0" fillId="32" borderId="77" xfId="0" applyFont="1" applyFill="1" applyBorder="1" applyAlignment="1" applyProtection="1">
      <alignment horizontal="left" vertical="center" wrapText="1"/>
    </xf>
    <xf numFmtId="0" fontId="7" fillId="0" borderId="117" xfId="0" applyFont="1" applyFill="1" applyBorder="1" applyAlignment="1" applyProtection="1">
      <alignment horizontal="left" vertical="center"/>
    </xf>
    <xf numFmtId="0" fontId="7" fillId="0" borderId="118" xfId="0" applyFont="1" applyFill="1" applyBorder="1" applyAlignment="1" applyProtection="1">
      <alignment horizontal="left" vertical="center"/>
    </xf>
    <xf numFmtId="0" fontId="7" fillId="32" borderId="115" xfId="0" applyFont="1" applyFill="1" applyBorder="1" applyAlignment="1" applyProtection="1">
      <alignment horizontal="left" vertical="center" wrapText="1"/>
    </xf>
    <xf numFmtId="0" fontId="7" fillId="32" borderId="112" xfId="0" applyFont="1" applyFill="1" applyBorder="1" applyAlignment="1" applyProtection="1">
      <alignment horizontal="left" vertical="center" wrapText="1"/>
    </xf>
    <xf numFmtId="0" fontId="7" fillId="32" borderId="113" xfId="0" applyFont="1" applyFill="1" applyBorder="1" applyAlignment="1" applyProtection="1">
      <alignment horizontal="left" vertical="center" wrapText="1"/>
    </xf>
    <xf numFmtId="0" fontId="7" fillId="0" borderId="11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32" borderId="117" xfId="0" applyFont="1" applyFill="1" applyBorder="1" applyAlignment="1" applyProtection="1">
      <alignment horizontal="left" vertical="center" wrapText="1"/>
    </xf>
    <xf numFmtId="0" fontId="7" fillId="32" borderId="118" xfId="0" applyFont="1" applyFill="1" applyBorder="1" applyAlignment="1" applyProtection="1">
      <alignment horizontal="left" vertical="center" wrapText="1"/>
    </xf>
    <xf numFmtId="0" fontId="0" fillId="32" borderId="51" xfId="0" applyFont="1" applyFill="1" applyBorder="1" applyAlignment="1" applyProtection="1">
      <alignment horizontal="left" vertical="center" wrapText="1"/>
    </xf>
    <xf numFmtId="0" fontId="0" fillId="32" borderId="132" xfId="0" applyFont="1" applyFill="1" applyBorder="1" applyAlignment="1" applyProtection="1">
      <alignment horizontal="left" vertical="center" wrapText="1"/>
    </xf>
    <xf numFmtId="0" fontId="0" fillId="32" borderId="117" xfId="0" applyFont="1" applyFill="1" applyBorder="1" applyAlignment="1" applyProtection="1">
      <alignment horizontal="left" vertical="center" wrapText="1"/>
    </xf>
    <xf numFmtId="0" fontId="0" fillId="32" borderId="118" xfId="0" applyFont="1" applyFill="1" applyBorder="1" applyAlignment="1" applyProtection="1">
      <alignment horizontal="left" vertical="center" wrapText="1"/>
    </xf>
    <xf numFmtId="0" fontId="0" fillId="32" borderId="34" xfId="0" applyFill="1" applyBorder="1" applyAlignment="1" applyProtection="1">
      <alignment horizontal="left" vertical="center" wrapText="1"/>
    </xf>
    <xf numFmtId="0" fontId="0" fillId="32" borderId="80" xfId="0" applyFill="1" applyBorder="1" applyAlignment="1" applyProtection="1">
      <alignment horizontal="left" vertical="center" wrapText="1"/>
    </xf>
    <xf numFmtId="0" fontId="76" fillId="32" borderId="33" xfId="46" applyFont="1" applyFill="1" applyBorder="1" applyAlignment="1" applyProtection="1">
      <alignment vertical="center" wrapText="1"/>
    </xf>
    <xf numFmtId="0" fontId="76" fillId="32" borderId="27" xfId="46" applyFont="1" applyFill="1" applyBorder="1" applyAlignment="1" applyProtection="1">
      <alignment vertical="center" wrapText="1"/>
    </xf>
    <xf numFmtId="0" fontId="76" fillId="32" borderId="28" xfId="46" applyFont="1" applyFill="1" applyBorder="1" applyAlignment="1" applyProtection="1">
      <alignment vertical="center" wrapText="1"/>
    </xf>
    <xf numFmtId="0" fontId="86" fillId="32" borderId="33" xfId="46" applyFont="1" applyFill="1" applyBorder="1" applyAlignment="1" applyProtection="1">
      <alignment vertical="center" wrapText="1"/>
    </xf>
    <xf numFmtId="0" fontId="7" fillId="32" borderId="34"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19" fillId="32" borderId="37" xfId="171" applyFont="1" applyFill="1" applyBorder="1" applyAlignment="1" applyProtection="1">
      <alignment horizontal="right" vertical="center"/>
    </xf>
    <xf numFmtId="0" fontId="19" fillId="32" borderId="26" xfId="171" applyFont="1" applyFill="1" applyBorder="1" applyAlignment="1" applyProtection="1">
      <alignment horizontal="right" vertical="center"/>
    </xf>
    <xf numFmtId="0" fontId="4" fillId="32" borderId="34" xfId="171" applyFont="1" applyFill="1" applyBorder="1" applyAlignment="1" applyProtection="1">
      <alignment horizontal="center" vertical="center"/>
    </xf>
    <xf numFmtId="0" fontId="4" fillId="32" borderId="47" xfId="171" applyFont="1" applyFill="1" applyBorder="1" applyAlignment="1" applyProtection="1">
      <alignment horizontal="center" vertical="center"/>
    </xf>
    <xf numFmtId="0" fontId="4" fillId="32" borderId="39" xfId="171" applyFont="1" applyFill="1" applyBorder="1" applyAlignment="1" applyProtection="1">
      <alignment horizontal="center" vertical="center"/>
    </xf>
    <xf numFmtId="0" fontId="4" fillId="32" borderId="34" xfId="0" applyFont="1" applyFill="1" applyBorder="1" applyAlignment="1" applyProtection="1">
      <alignment horizontal="center" vertical="center"/>
    </xf>
    <xf numFmtId="0" fontId="4" fillId="32" borderId="47" xfId="0" applyFont="1" applyFill="1" applyBorder="1" applyAlignment="1" applyProtection="1">
      <alignment horizontal="center" vertical="center"/>
    </xf>
    <xf numFmtId="0" fontId="4" fillId="32" borderId="39" xfId="0" applyFont="1" applyFill="1" applyBorder="1" applyAlignment="1" applyProtection="1">
      <alignment horizontal="center" vertical="center"/>
    </xf>
    <xf numFmtId="0" fontId="6" fillId="32" borderId="0" xfId="171" applyFont="1" applyFill="1" applyAlignment="1" applyProtection="1">
      <alignment horizontal="left" vertical="center" wrapText="1"/>
    </xf>
    <xf numFmtId="10" fontId="3" fillId="32" borderId="90" xfId="121" applyNumberFormat="1" applyFill="1" applyBorder="1" applyAlignment="1" applyProtection="1">
      <alignment horizontal="center" vertical="center"/>
    </xf>
    <xf numFmtId="10" fontId="3" fillId="32" borderId="75" xfId="121" applyNumberFormat="1" applyFill="1" applyBorder="1" applyAlignment="1" applyProtection="1">
      <alignment horizontal="center" vertical="center"/>
    </xf>
    <xf numFmtId="10" fontId="3" fillId="32" borderId="102" xfId="121" applyNumberFormat="1" applyFill="1" applyBorder="1" applyAlignment="1" applyProtection="1">
      <alignment horizontal="center" vertical="center"/>
    </xf>
    <xf numFmtId="0" fontId="7" fillId="40" borderId="34" xfId="0" applyFont="1" applyFill="1" applyBorder="1" applyAlignment="1" applyProtection="1">
      <alignment horizontal="center" vertical="center"/>
    </xf>
    <xf numFmtId="0" fontId="7" fillId="40" borderId="47" xfId="0" applyFont="1" applyFill="1" applyBorder="1" applyAlignment="1" applyProtection="1">
      <alignment horizontal="center" vertical="center"/>
    </xf>
    <xf numFmtId="0" fontId="7" fillId="40" borderId="39" xfId="0" applyFont="1" applyFill="1" applyBorder="1" applyAlignment="1" applyProtection="1">
      <alignment horizontal="center" vertical="center"/>
    </xf>
    <xf numFmtId="0" fontId="4" fillId="32" borderId="34" xfId="0" applyFont="1" applyFill="1" applyBorder="1" applyAlignment="1">
      <alignment horizontal="center" vertical="center"/>
    </xf>
    <xf numFmtId="0" fontId="4" fillId="32" borderId="47" xfId="0" applyFont="1" applyFill="1" applyBorder="1" applyAlignment="1">
      <alignment horizontal="center" vertical="center"/>
    </xf>
    <xf numFmtId="0" fontId="4" fillId="32" borderId="39" xfId="0" applyFont="1" applyFill="1" applyBorder="1" applyAlignment="1">
      <alignment horizontal="center" vertical="center"/>
    </xf>
    <xf numFmtId="0" fontId="3" fillId="32" borderId="14" xfId="0" applyFont="1" applyFill="1" applyBorder="1" applyAlignment="1">
      <alignment horizontal="left" vertical="center"/>
    </xf>
    <xf numFmtId="0" fontId="7" fillId="32" borderId="34" xfId="0" applyFont="1" applyFill="1" applyBorder="1" applyAlignment="1">
      <alignment horizontal="left" vertical="center"/>
    </xf>
    <xf numFmtId="0" fontId="7" fillId="32" borderId="39" xfId="0" applyFont="1" applyFill="1" applyBorder="1" applyAlignment="1">
      <alignment horizontal="left" vertical="center"/>
    </xf>
    <xf numFmtId="0" fontId="7" fillId="32" borderId="90" xfId="0" applyFont="1" applyFill="1" applyBorder="1" applyAlignment="1">
      <alignment horizontal="center" vertical="center"/>
    </xf>
    <xf numFmtId="0" fontId="7" fillId="32" borderId="102" xfId="0" applyFont="1" applyFill="1" applyBorder="1" applyAlignment="1">
      <alignment horizontal="center" vertical="center"/>
    </xf>
    <xf numFmtId="0" fontId="7" fillId="32" borderId="107" xfId="0" applyFont="1" applyFill="1" applyBorder="1" applyAlignment="1">
      <alignment horizontal="left" vertical="center" wrapText="1"/>
    </xf>
    <xf numFmtId="0" fontId="7" fillId="32" borderId="62" xfId="0" applyFont="1" applyFill="1" applyBorder="1" applyAlignment="1">
      <alignment horizontal="left" vertical="center" wrapText="1"/>
    </xf>
    <xf numFmtId="0" fontId="7" fillId="32" borderId="14" xfId="0" applyFont="1" applyFill="1" applyBorder="1" applyAlignment="1">
      <alignment horizontal="left" vertical="center" wrapText="1"/>
    </xf>
    <xf numFmtId="0" fontId="7" fillId="32" borderId="40" xfId="0" applyFont="1" applyFill="1" applyBorder="1" applyAlignment="1">
      <alignment horizontal="left" vertical="center" wrapText="1"/>
    </xf>
    <xf numFmtId="0" fontId="7" fillId="32" borderId="51" xfId="0" applyFont="1" applyFill="1" applyBorder="1" applyAlignment="1">
      <alignment horizontal="left" vertical="center" wrapText="1"/>
    </xf>
    <xf numFmtId="0" fontId="7" fillId="32" borderId="52" xfId="0" applyFont="1" applyFill="1" applyBorder="1" applyAlignment="1">
      <alignment horizontal="left" vertical="center" wrapText="1"/>
    </xf>
    <xf numFmtId="0" fontId="3" fillId="32" borderId="14" xfId="0" applyFont="1" applyFill="1" applyBorder="1" applyAlignment="1">
      <alignment horizontal="left" vertical="center" wrapText="1"/>
    </xf>
  </cellXfs>
  <cellStyles count="195">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Procent 6" xfId="126" xr:uid="{00000000-0005-0000-0000-00007D000000}"/>
    <cellStyle name="SAPBEXaggData" xfId="127" xr:uid="{00000000-0005-0000-0000-00007E000000}"/>
    <cellStyle name="SAPBEXaggDataEmph" xfId="128" xr:uid="{00000000-0005-0000-0000-00007F000000}"/>
    <cellStyle name="SAPBEXaggItem" xfId="129" xr:uid="{00000000-0005-0000-0000-000080000000}"/>
    <cellStyle name="SAPBEXaggItemX" xfId="130" xr:uid="{00000000-0005-0000-0000-000081000000}"/>
    <cellStyle name="SAPBEXchaText" xfId="131" xr:uid="{00000000-0005-0000-0000-000082000000}"/>
    <cellStyle name="SAPBEXchaText 2" xfId="132" xr:uid="{00000000-0005-0000-0000-000083000000}"/>
    <cellStyle name="SAPBEXexcBad7" xfId="133" xr:uid="{00000000-0005-0000-0000-000084000000}"/>
    <cellStyle name="SAPBEXexcBad8" xfId="134" xr:uid="{00000000-0005-0000-0000-000085000000}"/>
    <cellStyle name="SAPBEXexcBad9" xfId="135" xr:uid="{00000000-0005-0000-0000-000086000000}"/>
    <cellStyle name="SAPBEXexcCritical4" xfId="136" xr:uid="{00000000-0005-0000-0000-000087000000}"/>
    <cellStyle name="SAPBEXexcCritical5" xfId="137" xr:uid="{00000000-0005-0000-0000-000088000000}"/>
    <cellStyle name="SAPBEXexcCritical6" xfId="138" xr:uid="{00000000-0005-0000-0000-000089000000}"/>
    <cellStyle name="SAPBEXexcGood1" xfId="139" xr:uid="{00000000-0005-0000-0000-00008A000000}"/>
    <cellStyle name="SAPBEXexcGood2" xfId="140" xr:uid="{00000000-0005-0000-0000-00008B000000}"/>
    <cellStyle name="SAPBEXexcGood3" xfId="141" xr:uid="{00000000-0005-0000-0000-00008C000000}"/>
    <cellStyle name="SAPBEXfilterDrill" xfId="142" xr:uid="{00000000-0005-0000-0000-00008D000000}"/>
    <cellStyle name="SAPBEXfilterItem" xfId="143" xr:uid="{00000000-0005-0000-0000-00008E000000}"/>
    <cellStyle name="SAPBEXfilterText" xfId="144" xr:uid="{00000000-0005-0000-0000-00008F000000}"/>
    <cellStyle name="SAPBEXformats" xfId="145" xr:uid="{00000000-0005-0000-0000-000090000000}"/>
    <cellStyle name="SAPBEXheaderItem" xfId="146" xr:uid="{00000000-0005-0000-0000-000091000000}"/>
    <cellStyle name="SAPBEXheaderText" xfId="147" xr:uid="{00000000-0005-0000-0000-000092000000}"/>
    <cellStyle name="SAPBEXHLevel0" xfId="148" xr:uid="{00000000-0005-0000-0000-000093000000}"/>
    <cellStyle name="SAPBEXHLevel0X" xfId="149" xr:uid="{00000000-0005-0000-0000-000094000000}"/>
    <cellStyle name="SAPBEXHLevel1" xfId="150" xr:uid="{00000000-0005-0000-0000-000095000000}"/>
    <cellStyle name="SAPBEXHLevel1X" xfId="151" xr:uid="{00000000-0005-0000-0000-000096000000}"/>
    <cellStyle name="SAPBEXHLevel2" xfId="152" xr:uid="{00000000-0005-0000-0000-000097000000}"/>
    <cellStyle name="SAPBEXHLevel2X" xfId="153" xr:uid="{00000000-0005-0000-0000-000098000000}"/>
    <cellStyle name="SAPBEXHLevel3" xfId="154" xr:uid="{00000000-0005-0000-0000-000099000000}"/>
    <cellStyle name="SAPBEXHLevel3X" xfId="155" xr:uid="{00000000-0005-0000-0000-00009A000000}"/>
    <cellStyle name="SAPBEXinputData" xfId="156" xr:uid="{00000000-0005-0000-0000-00009B000000}"/>
    <cellStyle name="SAPBEXresData" xfId="157" xr:uid="{00000000-0005-0000-0000-00009C000000}"/>
    <cellStyle name="SAPBEXresDataEmph" xfId="158" xr:uid="{00000000-0005-0000-0000-00009D000000}"/>
    <cellStyle name="SAPBEXresItem" xfId="159" xr:uid="{00000000-0005-0000-0000-00009E000000}"/>
    <cellStyle name="SAPBEXresItemX" xfId="160" xr:uid="{00000000-0005-0000-0000-00009F000000}"/>
    <cellStyle name="SAPBEXstdData" xfId="161" xr:uid="{00000000-0005-0000-0000-0000A0000000}"/>
    <cellStyle name="SAPBEXstdDataEmph" xfId="162" xr:uid="{00000000-0005-0000-0000-0000A1000000}"/>
    <cellStyle name="SAPBEXstdItem" xfId="163" xr:uid="{00000000-0005-0000-0000-0000A2000000}"/>
    <cellStyle name="SAPBEXstdItem 2" xfId="164" xr:uid="{00000000-0005-0000-0000-0000A3000000}"/>
    <cellStyle name="SAPBEXstdItemX" xfId="165" xr:uid="{00000000-0005-0000-0000-0000A4000000}"/>
    <cellStyle name="SAPBEXtitle" xfId="166" xr:uid="{00000000-0005-0000-0000-0000A5000000}"/>
    <cellStyle name="SAPBEXundefined" xfId="167" xr:uid="{00000000-0005-0000-0000-0000A6000000}"/>
    <cellStyle name="Sheet Title" xfId="168" xr:uid="{00000000-0005-0000-0000-0000A7000000}"/>
    <cellStyle name="Standaard" xfId="0" builtinId="0"/>
    <cellStyle name="Standaard 2" xfId="169" xr:uid="{00000000-0005-0000-0000-0000A9000000}"/>
    <cellStyle name="Standaard 2 2" xfId="170" xr:uid="{00000000-0005-0000-0000-0000AA000000}"/>
    <cellStyle name="Standaard 2 3" xfId="171" xr:uid="{00000000-0005-0000-0000-0000AB000000}"/>
    <cellStyle name="Standaard 2 4" xfId="172" xr:uid="{00000000-0005-0000-0000-0000AC000000}"/>
    <cellStyle name="Standaard 2_B2009_doorvervoer ELEK_MATRIX_versie DEF" xfId="173" xr:uid="{00000000-0005-0000-0000-0000AD000000}"/>
    <cellStyle name="Standaard 3" xfId="174" xr:uid="{00000000-0005-0000-0000-0000AE000000}"/>
    <cellStyle name="Standaard 3 2" xfId="175" xr:uid="{00000000-0005-0000-0000-0000AF000000}"/>
    <cellStyle name="Standaard 3 3" xfId="176" xr:uid="{00000000-0005-0000-0000-0000B0000000}"/>
    <cellStyle name="Standaard 4" xfId="177" xr:uid="{00000000-0005-0000-0000-0000B1000000}"/>
    <cellStyle name="Standaard 4 2" xfId="178" xr:uid="{00000000-0005-0000-0000-0000B2000000}"/>
    <cellStyle name="Standaard 4_B2009_doorvervoer ELEK_MATRIX_versie DEF" xfId="179" xr:uid="{00000000-0005-0000-0000-0000B3000000}"/>
    <cellStyle name="Standaard 5" xfId="180" xr:uid="{00000000-0005-0000-0000-0000B4000000}"/>
    <cellStyle name="Standaard 6" xfId="181" xr:uid="{00000000-0005-0000-0000-0000B5000000}"/>
    <cellStyle name="Standaard 7" xfId="182" xr:uid="{00000000-0005-0000-0000-0000B6000000}"/>
    <cellStyle name="Standaard 7 2" xfId="183" xr:uid="{00000000-0005-0000-0000-0000B7000000}"/>
    <cellStyle name="Standaard 8" xfId="184" xr:uid="{00000000-0005-0000-0000-0000B8000000}"/>
    <cellStyle name="Standaard_20100727 Rekenmodel NE5R v1.9" xfId="185" xr:uid="{00000000-0005-0000-0000-0000B9000000}"/>
    <cellStyle name="Standaard_Balans IL-Glob. PLAU" xfId="186" xr:uid="{00000000-0005-0000-0000-0000BA000000}"/>
    <cellStyle name="Standaard_Balans IL-Glob. PLAU 2" xfId="187" xr:uid="{00000000-0005-0000-0000-0000BB000000}"/>
    <cellStyle name="Stijl 1" xfId="188" xr:uid="{00000000-0005-0000-0000-0000BC000000}"/>
    <cellStyle name="Style 1" xfId="189" xr:uid="{00000000-0005-0000-0000-0000BD000000}"/>
    <cellStyle name="Title" xfId="190" xr:uid="{00000000-0005-0000-0000-0000BE000000}"/>
    <cellStyle name="Total" xfId="191" xr:uid="{00000000-0005-0000-0000-0000BF000000}"/>
    <cellStyle name="Valuta" xfId="194" builtinId="4"/>
    <cellStyle name="Valuta 2" xfId="192" xr:uid="{00000000-0005-0000-0000-0000C0000000}"/>
    <cellStyle name="Warning Text" xfId="193" xr:uid="{00000000-0005-0000-0000-0000C1000000}"/>
  </cellStyles>
  <dxfs count="7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19050</xdr:colOff>
      <xdr:row>37</xdr:row>
      <xdr:rowOff>6350</xdr:rowOff>
    </xdr:from>
    <xdr:to>
      <xdr:col>16</xdr:col>
      <xdr:colOff>119063</xdr:colOff>
      <xdr:row>47</xdr:row>
      <xdr:rowOff>38100</xdr:rowOff>
    </xdr:to>
    <xdr:sp macro="" textlink="">
      <xdr:nvSpPr>
        <xdr:cNvPr id="47254" name="AutoShape 2">
          <a:extLst>
            <a:ext uri="{FF2B5EF4-FFF2-40B4-BE49-F238E27FC236}">
              <a16:creationId xmlns:a16="http://schemas.microsoft.com/office/drawing/2014/main" id="{29286435-CF18-413D-B605-60ECEF42A1D4}"/>
            </a:ext>
          </a:extLst>
        </xdr:cNvPr>
        <xdr:cNvSpPr>
          <a:spLocks/>
        </xdr:cNvSpPr>
      </xdr:nvSpPr>
      <xdr:spPr bwMode="auto">
        <a:xfrm>
          <a:off x="17604581" y="6792913"/>
          <a:ext cx="100013" cy="1698625"/>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72</xdr:row>
      <xdr:rowOff>6350</xdr:rowOff>
    </xdr:from>
    <xdr:to>
      <xdr:col>16</xdr:col>
      <xdr:colOff>130968</xdr:colOff>
      <xdr:row>82</xdr:row>
      <xdr:rowOff>38100</xdr:rowOff>
    </xdr:to>
    <xdr:sp macro="" textlink="">
      <xdr:nvSpPr>
        <xdr:cNvPr id="48278" name="AutoShape 2">
          <a:extLst>
            <a:ext uri="{FF2B5EF4-FFF2-40B4-BE49-F238E27FC236}">
              <a16:creationId xmlns:a16="http://schemas.microsoft.com/office/drawing/2014/main" id="{262EECD2-220A-4FE4-B017-619C16A3C7C0}"/>
            </a:ext>
          </a:extLst>
        </xdr:cNvPr>
        <xdr:cNvSpPr>
          <a:spLocks/>
        </xdr:cNvSpPr>
      </xdr:nvSpPr>
      <xdr:spPr bwMode="auto">
        <a:xfrm>
          <a:off x="18378488" y="22187694"/>
          <a:ext cx="111918" cy="1698625"/>
        </a:xfrm>
        <a:prstGeom prst="rightBrace">
          <a:avLst>
            <a:gd name="adj1" fmla="val 1909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99</xdr:row>
      <xdr:rowOff>6350</xdr:rowOff>
    </xdr:from>
    <xdr:to>
      <xdr:col>14</xdr:col>
      <xdr:colOff>130968</xdr:colOff>
      <xdr:row>107</xdr:row>
      <xdr:rowOff>38100</xdr:rowOff>
    </xdr:to>
    <xdr:sp macro="" textlink="">
      <xdr:nvSpPr>
        <xdr:cNvPr id="39288" name="AutoShape 2">
          <a:extLst>
            <a:ext uri="{FF2B5EF4-FFF2-40B4-BE49-F238E27FC236}">
              <a16:creationId xmlns:a16="http://schemas.microsoft.com/office/drawing/2014/main" id="{6493A4A7-2CF1-4C69-90B0-C290086BEC5A}"/>
            </a:ext>
          </a:extLst>
        </xdr:cNvPr>
        <xdr:cNvSpPr>
          <a:spLocks/>
        </xdr:cNvSpPr>
      </xdr:nvSpPr>
      <xdr:spPr bwMode="auto">
        <a:xfrm>
          <a:off x="17235488" y="32022256"/>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33</xdr:row>
      <xdr:rowOff>6350</xdr:rowOff>
    </xdr:from>
    <xdr:to>
      <xdr:col>14</xdr:col>
      <xdr:colOff>130968</xdr:colOff>
      <xdr:row>41</xdr:row>
      <xdr:rowOff>38100</xdr:rowOff>
    </xdr:to>
    <xdr:sp macro="" textlink="">
      <xdr:nvSpPr>
        <xdr:cNvPr id="42340" name="AutoShape 2">
          <a:extLst>
            <a:ext uri="{FF2B5EF4-FFF2-40B4-BE49-F238E27FC236}">
              <a16:creationId xmlns:a16="http://schemas.microsoft.com/office/drawing/2014/main" id="{611A36E6-7A7A-4918-9601-5B46D5C48ECF}"/>
            </a:ext>
          </a:extLst>
        </xdr:cNvPr>
        <xdr:cNvSpPr>
          <a:spLocks/>
        </xdr:cNvSpPr>
      </xdr:nvSpPr>
      <xdr:spPr bwMode="auto">
        <a:xfrm>
          <a:off x="20283488" y="5983288"/>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29</xdr:row>
      <xdr:rowOff>0</xdr:rowOff>
    </xdr:from>
    <xdr:to>
      <xdr:col>10</xdr:col>
      <xdr:colOff>130968</xdr:colOff>
      <xdr:row>33</xdr:row>
      <xdr:rowOff>38100</xdr:rowOff>
    </xdr:to>
    <xdr:sp macro="" textlink="">
      <xdr:nvSpPr>
        <xdr:cNvPr id="2" name="AutoShape 2">
          <a:extLst>
            <a:ext uri="{FF2B5EF4-FFF2-40B4-BE49-F238E27FC236}">
              <a16:creationId xmlns:a16="http://schemas.microsoft.com/office/drawing/2014/main" id="{65D00904-DBC9-4330-81C7-AADEC92BCC31}"/>
            </a:ext>
          </a:extLst>
        </xdr:cNvPr>
        <xdr:cNvSpPr>
          <a:spLocks/>
        </xdr:cNvSpPr>
      </xdr:nvSpPr>
      <xdr:spPr bwMode="auto">
        <a:xfrm>
          <a:off x="20783550" y="5867400"/>
          <a:ext cx="111918" cy="1323975"/>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365vreg.sharepoint.com/F/Centers/OP/OP_EV/CREG/Dossier%202007/Nacalculatie/Nacalc20080215/Documents%20and%20Settings/htulpinck/Local%20Settings/Temporary%20Internet%20Files/OLK39B/Tariefvoorstel%20aansluitingen%20200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365vreg.sharepoint.com/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66"/>
  <sheetViews>
    <sheetView showGridLines="0" zoomScaleNormal="100" workbookViewId="0">
      <selection activeCell="A2" sqref="A2:Q2"/>
    </sheetView>
  </sheetViews>
  <sheetFormatPr defaultColWidth="8.81640625" defaultRowHeight="12.5" x14ac:dyDescent="0.25"/>
  <cols>
    <col min="1" max="1" width="10.7265625" style="3" bestFit="1" customWidth="1"/>
    <col min="2" max="2" width="36.26953125" style="3" customWidth="1"/>
    <col min="3" max="3" width="11.54296875" style="3" customWidth="1"/>
    <col min="4" max="4" width="14" style="3" customWidth="1"/>
    <col min="5" max="6" width="8.81640625" style="3"/>
    <col min="7" max="7" width="10.7265625" style="3" bestFit="1" customWidth="1"/>
    <col min="8" max="14" width="8.81640625" style="3"/>
    <col min="15" max="15" width="10.1796875" style="3" bestFit="1" customWidth="1"/>
    <col min="16" max="17" width="10.1796875" style="3" customWidth="1"/>
    <col min="18" max="16384" width="8.81640625" style="3"/>
  </cols>
  <sheetData>
    <row r="1" spans="1:17" ht="13" x14ac:dyDescent="0.3">
      <c r="B1" s="4"/>
      <c r="C1" s="5"/>
      <c r="O1" s="125"/>
    </row>
    <row r="2" spans="1:17" ht="25" x14ac:dyDescent="0.5">
      <c r="A2" s="975" t="s">
        <v>322</v>
      </c>
      <c r="B2" s="975"/>
      <c r="C2" s="975"/>
      <c r="D2" s="975"/>
      <c r="E2" s="975"/>
      <c r="F2" s="975"/>
      <c r="G2" s="975"/>
      <c r="H2" s="975"/>
      <c r="I2" s="975"/>
      <c r="J2" s="975"/>
      <c r="K2" s="975"/>
      <c r="L2" s="975"/>
      <c r="M2" s="975"/>
      <c r="N2" s="975"/>
      <c r="O2" s="975"/>
      <c r="P2" s="975"/>
      <c r="Q2" s="975"/>
    </row>
    <row r="3" spans="1:17" ht="13" x14ac:dyDescent="0.3">
      <c r="B3" s="4"/>
      <c r="C3" s="5"/>
    </row>
    <row r="4" spans="1:17" ht="13" x14ac:dyDescent="0.3">
      <c r="B4" s="4"/>
      <c r="C4" s="5"/>
    </row>
    <row r="5" spans="1:17" ht="13" x14ac:dyDescent="0.3">
      <c r="B5" s="4"/>
      <c r="C5" s="6"/>
    </row>
    <row r="6" spans="1:17" ht="13.5" thickBot="1" x14ac:dyDescent="0.35">
      <c r="B6" s="4"/>
      <c r="C6" s="5"/>
    </row>
    <row r="7" spans="1:17" ht="13.5" thickBot="1" x14ac:dyDescent="0.35">
      <c r="B7" s="4" t="s">
        <v>10</v>
      </c>
      <c r="C7" s="979" t="s">
        <v>423</v>
      </c>
      <c r="D7" s="980"/>
      <c r="E7" s="980"/>
      <c r="F7" s="981"/>
    </row>
    <row r="8" spans="1:17" ht="13.5" thickBot="1" x14ac:dyDescent="0.35">
      <c r="B8" s="4" t="s">
        <v>11</v>
      </c>
      <c r="C8" s="979"/>
      <c r="D8" s="980"/>
      <c r="E8" s="980"/>
      <c r="F8" s="981"/>
    </row>
    <row r="9" spans="1:17" s="7" customFormat="1" ht="13.5" thickBot="1" x14ac:dyDescent="0.35">
      <c r="B9" s="8"/>
      <c r="C9" s="9"/>
      <c r="D9" s="9"/>
      <c r="E9" s="9"/>
      <c r="F9" s="9"/>
    </row>
    <row r="10" spans="1:17" ht="13.5" thickBot="1" x14ac:dyDescent="0.35">
      <c r="B10" s="4" t="s">
        <v>143</v>
      </c>
      <c r="C10" s="982" t="s">
        <v>421</v>
      </c>
      <c r="D10" s="983"/>
      <c r="E10" s="983"/>
      <c r="F10" s="984"/>
    </row>
    <row r="11" spans="1:17" ht="13" x14ac:dyDescent="0.3">
      <c r="B11" s="4"/>
      <c r="C11" s="5"/>
    </row>
    <row r="12" spans="1:17" ht="13.5" thickBot="1" x14ac:dyDescent="0.35">
      <c r="B12" s="4"/>
      <c r="C12" s="5"/>
    </row>
    <row r="13" spans="1:17" ht="13.5" thickBot="1" x14ac:dyDescent="0.35">
      <c r="B13" s="10" t="s">
        <v>12</v>
      </c>
      <c r="C13" s="4"/>
      <c r="D13" s="10" t="s">
        <v>13</v>
      </c>
      <c r="E13" s="158">
        <v>2021</v>
      </c>
    </row>
    <row r="14" spans="1:17" ht="13.5" thickBot="1" x14ac:dyDescent="0.35">
      <c r="B14" s="10"/>
      <c r="C14" s="4"/>
      <c r="D14" s="10" t="s">
        <v>14</v>
      </c>
      <c r="E14" s="158">
        <v>2024</v>
      </c>
    </row>
    <row r="15" spans="1:17" ht="13.5" thickBot="1" x14ac:dyDescent="0.35">
      <c r="B15" s="11"/>
      <c r="C15" s="5"/>
    </row>
    <row r="16" spans="1:17" s="12" customFormat="1" ht="13.5" thickBot="1" x14ac:dyDescent="0.35">
      <c r="B16" s="10" t="s">
        <v>87</v>
      </c>
      <c r="E16" s="793">
        <v>2022</v>
      </c>
      <c r="F16" s="794" t="s">
        <v>433</v>
      </c>
      <c r="G16" s="13"/>
      <c r="H16" s="13"/>
      <c r="I16" s="13"/>
      <c r="J16" s="13"/>
      <c r="K16" s="13"/>
      <c r="L16" s="13"/>
      <c r="M16" s="13"/>
      <c r="N16" s="13"/>
      <c r="O16" s="13"/>
      <c r="P16" s="13"/>
    </row>
    <row r="17" spans="1:12" ht="13" x14ac:dyDescent="0.3">
      <c r="B17" s="14"/>
      <c r="C17" s="15"/>
    </row>
    <row r="19" spans="1:12" s="7" customFormat="1" ht="13" x14ac:dyDescent="0.3">
      <c r="A19" s="976" t="s">
        <v>317</v>
      </c>
      <c r="B19" s="977"/>
      <c r="C19" s="977"/>
      <c r="D19" s="977"/>
      <c r="E19" s="977"/>
      <c r="F19" s="977"/>
      <c r="G19" s="977"/>
      <c r="H19" s="977"/>
      <c r="I19" s="978"/>
    </row>
    <row r="20" spans="1:12" ht="14" x14ac:dyDescent="0.3">
      <c r="A20" s="16"/>
    </row>
    <row r="21" spans="1:12" s="789" customFormat="1" ht="152.5" customHeight="1" x14ac:dyDescent="0.25">
      <c r="A21" s="985" t="s">
        <v>370</v>
      </c>
      <c r="B21" s="986"/>
      <c r="C21" s="986"/>
      <c r="D21" s="986"/>
      <c r="E21" s="986"/>
      <c r="F21" s="986"/>
      <c r="G21" s="986"/>
      <c r="H21" s="986"/>
      <c r="I21" s="986"/>
    </row>
    <row r="22" spans="1:12" s="18" customFormat="1" x14ac:dyDescent="0.25"/>
    <row r="23" spans="1:12" s="7" customFormat="1" ht="13" x14ac:dyDescent="0.3">
      <c r="A23" s="976" t="s">
        <v>381</v>
      </c>
      <c r="B23" s="977"/>
      <c r="C23" s="977"/>
      <c r="D23" s="977"/>
      <c r="E23" s="977"/>
      <c r="F23" s="977"/>
      <c r="G23" s="977"/>
      <c r="H23" s="977"/>
      <c r="I23" s="978"/>
    </row>
    <row r="24" spans="1:12" s="17" customFormat="1" x14ac:dyDescent="0.25">
      <c r="A24" s="19"/>
      <c r="B24" s="19"/>
      <c r="C24" s="3"/>
      <c r="D24" s="3"/>
      <c r="E24" s="3"/>
      <c r="F24" s="3"/>
      <c r="G24" s="3"/>
      <c r="H24" s="3"/>
      <c r="I24" s="3"/>
      <c r="J24" s="3"/>
      <c r="K24" s="3"/>
      <c r="L24" s="3"/>
    </row>
    <row r="25" spans="1:12" x14ac:dyDescent="0.25">
      <c r="A25" s="19"/>
      <c r="B25" s="20"/>
      <c r="C25" s="21"/>
      <c r="D25" s="22" t="s">
        <v>61</v>
      </c>
      <c r="E25" s="21"/>
      <c r="F25" s="21"/>
      <c r="G25" s="21"/>
      <c r="H25" s="21"/>
      <c r="I25" s="21"/>
      <c r="J25" s="21"/>
    </row>
    <row r="26" spans="1:12" x14ac:dyDescent="0.25">
      <c r="A26" s="19"/>
      <c r="B26" s="23"/>
      <c r="C26" s="21"/>
      <c r="D26" s="22"/>
      <c r="E26" s="21"/>
      <c r="F26" s="21"/>
      <c r="G26" s="21"/>
      <c r="H26" s="21"/>
      <c r="I26" s="21"/>
      <c r="J26" s="21"/>
    </row>
    <row r="27" spans="1:12" ht="15" customHeight="1" x14ac:dyDescent="0.25">
      <c r="A27" s="19"/>
      <c r="B27" s="24"/>
      <c r="C27" s="25"/>
      <c r="D27" s="22" t="s">
        <v>36</v>
      </c>
      <c r="E27" s="26"/>
      <c r="F27" s="26"/>
      <c r="G27" s="26"/>
      <c r="H27" s="21"/>
      <c r="I27" s="21"/>
      <c r="J27" s="21"/>
    </row>
    <row r="28" spans="1:12" x14ac:dyDescent="0.25">
      <c r="A28" s="19"/>
      <c r="B28" s="27"/>
      <c r="C28" s="21"/>
      <c r="D28" s="22"/>
      <c r="E28" s="21"/>
      <c r="F28" s="21"/>
      <c r="G28" s="21"/>
      <c r="H28" s="21"/>
      <c r="I28" s="21"/>
      <c r="J28" s="21"/>
    </row>
    <row r="29" spans="1:12" x14ac:dyDescent="0.25">
      <c r="A29" s="19"/>
      <c r="B29" s="28"/>
      <c r="C29" s="21"/>
      <c r="D29" s="22" t="s">
        <v>62</v>
      </c>
      <c r="E29" s="21"/>
      <c r="F29" s="21"/>
      <c r="G29" s="21"/>
      <c r="H29" s="21"/>
      <c r="I29" s="21"/>
      <c r="J29" s="21"/>
    </row>
    <row r="30" spans="1:12" x14ac:dyDescent="0.25">
      <c r="A30" s="19"/>
      <c r="B30" s="29"/>
      <c r="C30" s="21"/>
      <c r="D30" s="22"/>
      <c r="E30" s="21"/>
      <c r="F30" s="21"/>
      <c r="G30" s="21"/>
      <c r="H30" s="21"/>
      <c r="I30" s="21"/>
      <c r="J30" s="21"/>
    </row>
    <row r="31" spans="1:12" ht="12.75" customHeight="1" x14ac:dyDescent="0.25">
      <c r="A31" s="19"/>
      <c r="B31" s="30"/>
      <c r="C31" s="21"/>
      <c r="D31" s="790" t="s">
        <v>371</v>
      </c>
      <c r="E31" s="31"/>
      <c r="F31" s="31"/>
      <c r="G31" s="31"/>
      <c r="H31" s="31"/>
      <c r="I31" s="31"/>
      <c r="J31" s="31"/>
      <c r="K31" s="32"/>
    </row>
    <row r="32" spans="1:12" x14ac:dyDescent="0.25">
      <c r="A32" s="19"/>
      <c r="B32" s="19"/>
      <c r="D32" s="33"/>
    </row>
    <row r="33" spans="1:9" s="7" customFormat="1" ht="13.5" thickBot="1" x14ac:dyDescent="0.35">
      <c r="A33" s="976" t="s">
        <v>382</v>
      </c>
      <c r="B33" s="977"/>
      <c r="C33" s="977"/>
      <c r="D33" s="977"/>
      <c r="E33" s="977"/>
      <c r="F33" s="977"/>
      <c r="G33" s="977"/>
      <c r="H33" s="977"/>
      <c r="I33" s="978"/>
    </row>
    <row r="34" spans="1:9" s="7" customFormat="1" ht="13" x14ac:dyDescent="0.3">
      <c r="A34" s="194"/>
    </row>
    <row r="35" spans="1:9" s="7" customFormat="1" ht="13" x14ac:dyDescent="0.3">
      <c r="A35" s="656" t="s">
        <v>319</v>
      </c>
    </row>
    <row r="36" spans="1:9" s="7" customFormat="1" ht="7" customHeight="1" x14ac:dyDescent="0.3">
      <c r="A36" s="656"/>
    </row>
    <row r="37" spans="1:9" s="7" customFormat="1" x14ac:dyDescent="0.25">
      <c r="A37" s="657" t="str">
        <f>+'T1'!B1</f>
        <v>TABEL 1: Resultatenrekening (algemene boekhouding) voor boekjaar 2022 (waarden boekhouding)</v>
      </c>
      <c r="B37" s="657"/>
      <c r="C37" s="659"/>
      <c r="D37" s="659"/>
      <c r="E37" s="659"/>
    </row>
    <row r="38" spans="1:9" s="7" customFormat="1" x14ac:dyDescent="0.25">
      <c r="A38" s="657" t="str">
        <f>+'T2 - Overzicht'!A1</f>
        <v>TABEL 2: Algemeen overzicht exogene kosten</v>
      </c>
      <c r="B38" s="657"/>
      <c r="C38" s="791"/>
      <c r="D38" s="791"/>
      <c r="E38" s="791"/>
      <c r="F38" s="792"/>
      <c r="G38" s="1"/>
    </row>
    <row r="39" spans="1:9" s="7" customFormat="1" x14ac:dyDescent="0.25">
      <c r="A39" s="657" t="str">
        <f>+'T3'!A1</f>
        <v>TABEL 3: Detail inzake samenstelling exogene kosten</v>
      </c>
      <c r="B39" s="657"/>
      <c r="C39" s="791"/>
      <c r="D39" s="660"/>
      <c r="E39" s="660"/>
    </row>
    <row r="40" spans="1:9" x14ac:dyDescent="0.25">
      <c r="A40" s="657" t="str">
        <f>+T4A!A1</f>
        <v>TABEL 4A: Opvolging regulatoir saldo inzake exogene kosten</v>
      </c>
      <c r="B40" s="657"/>
      <c r="C40" s="657"/>
      <c r="D40" s="657"/>
      <c r="E40" s="658"/>
    </row>
    <row r="41" spans="1:9" x14ac:dyDescent="0.25">
      <c r="A41" s="657" t="str">
        <f>+T4B!A1</f>
        <v>TABEL 4B: Overzicht regulatoir saldo inzake exogene kosten per tariefcomponent</v>
      </c>
      <c r="B41" s="657"/>
      <c r="C41" s="657"/>
      <c r="D41" s="657"/>
      <c r="E41" s="657"/>
    </row>
    <row r="42" spans="1:9" x14ac:dyDescent="0.25">
      <c r="A42" s="657" t="str">
        <f>+T5A!A1</f>
        <v>TABEL 5A: Opvolging regulatoir saldo inzake volumerisico endogeen budget</v>
      </c>
      <c r="B42" s="657"/>
      <c r="C42" s="657"/>
      <c r="D42" s="657"/>
      <c r="E42" s="658"/>
    </row>
    <row r="43" spans="1:9" x14ac:dyDescent="0.25">
      <c r="A43" s="657" t="str">
        <f>+T5B!A1</f>
        <v>TABEL 5B: Overzicht regulatoir saldo inzake volumerisico endogeen budget per tariefcomponent</v>
      </c>
      <c r="B43" s="657"/>
      <c r="C43" s="657"/>
      <c r="D43" s="657"/>
      <c r="E43" s="657"/>
    </row>
    <row r="44" spans="1:9" x14ac:dyDescent="0.25">
      <c r="A44" s="657" t="str">
        <f>+T5C!A1</f>
        <v>TABEL 5C: Werkelijke opbrengsten uit periodieke distributienettarieven in boekjaar 2022 (elektriciteit - afname)</v>
      </c>
      <c r="B44" s="657"/>
      <c r="C44" s="657"/>
      <c r="D44" s="657"/>
      <c r="E44" s="657"/>
      <c r="F44" s="655"/>
    </row>
    <row r="45" spans="1:9" x14ac:dyDescent="0.25">
      <c r="A45" s="657" t="str">
        <f>+T5D!A1</f>
        <v>TABEL 5D: Werkelijke opbrengsten uit periodieke distributienettarieven in boekjaar 2022 (elektriciteit-injectie)</v>
      </c>
      <c r="B45" s="657"/>
      <c r="C45" s="657"/>
      <c r="D45" s="657"/>
      <c r="E45" s="657"/>
      <c r="F45" s="655"/>
    </row>
    <row r="46" spans="1:9" x14ac:dyDescent="0.25">
      <c r="A46" s="657" t="str">
        <f>+T5E!A1</f>
        <v>TABEL 5E: Werkelijke opbrengsten uit periodieke distributienettarieven in boekjaar 2022 (gas - afname)</v>
      </c>
      <c r="B46" s="657"/>
      <c r="C46" s="657"/>
      <c r="D46" s="657"/>
      <c r="E46" s="657"/>
      <c r="F46" s="655"/>
    </row>
    <row r="47" spans="1:9" x14ac:dyDescent="0.25">
      <c r="A47" s="657" t="str">
        <f>+T5F!A1</f>
        <v>TABEL 5F: Werkelijke opbrengsten uit periodieke distributienettarieven in boekjaar 2022 (gas - injectie)</v>
      </c>
      <c r="B47" s="657"/>
      <c r="C47" s="657"/>
      <c r="D47" s="657"/>
      <c r="E47" s="657"/>
      <c r="F47" s="655"/>
    </row>
    <row r="48" spans="1:9" x14ac:dyDescent="0.25">
      <c r="A48" s="657" t="str">
        <f>+T6A!A1</f>
        <v>TABEL 6A: Opvolging regulatoir saldo inzake herindexering van het budget voor endogene kosten</v>
      </c>
      <c r="B48" s="657"/>
      <c r="C48" s="657"/>
      <c r="D48" s="657"/>
      <c r="E48" s="657"/>
    </row>
    <row r="49" spans="1:7" x14ac:dyDescent="0.25">
      <c r="A49" s="657" t="str">
        <f>+T6B!A1</f>
        <v>TABEL 6B: Overzicht regulatoir saldo inzake herindexering van het budget voor endogene kosten per tariefcomponent</v>
      </c>
      <c r="B49" s="657"/>
      <c r="C49" s="657"/>
      <c r="D49" s="657"/>
      <c r="E49" s="657"/>
      <c r="F49" s="655"/>
      <c r="G49" s="655"/>
    </row>
    <row r="50" spans="1:7" x14ac:dyDescent="0.25">
      <c r="A50" s="657" t="str">
        <f>+'T7'!A1:L1</f>
        <v>TABEL 7: Opvolging regulatoir saldo inzake vennootschapsbelasting</v>
      </c>
      <c r="B50" s="657"/>
      <c r="C50" s="657"/>
      <c r="D50" s="658"/>
      <c r="E50" s="658"/>
    </row>
    <row r="51" spans="1:7" x14ac:dyDescent="0.25">
      <c r="A51" s="657" t="str">
        <f>+'T8'!A1:H1</f>
        <v>TABEL 8: Opvolging regulatoir saldo inzake herwaarderingsmeerwaarden</v>
      </c>
      <c r="B51" s="657"/>
      <c r="C51" s="657"/>
      <c r="D51" s="658"/>
      <c r="E51" s="658"/>
    </row>
    <row r="52" spans="1:7" x14ac:dyDescent="0.25">
      <c r="A52" s="658"/>
      <c r="B52" s="658"/>
      <c r="C52" s="658"/>
      <c r="D52" s="658"/>
      <c r="E52" s="658"/>
    </row>
    <row r="53" spans="1:7" s="7" customFormat="1" ht="13" x14ac:dyDescent="0.3">
      <c r="A53" s="656" t="s">
        <v>320</v>
      </c>
    </row>
    <row r="54" spans="1:7" s="7" customFormat="1" ht="7" customHeight="1" x14ac:dyDescent="0.3">
      <c r="A54" s="656"/>
    </row>
    <row r="55" spans="1:7" x14ac:dyDescent="0.25">
      <c r="A55" s="657" t="str">
        <f>+'T9 - Overzicht'!A1:L1</f>
        <v>TABEL 9: Algemeen overzicht aanvullende endogene termen</v>
      </c>
      <c r="B55" s="655"/>
      <c r="C55" s="655"/>
      <c r="D55" s="658"/>
      <c r="E55" s="658"/>
    </row>
    <row r="56" spans="1:7" x14ac:dyDescent="0.25">
      <c r="A56" s="657" t="str">
        <f>+'T10'!A1:K1</f>
        <v>TABEL 10: Fiscaal niet-aftrekbare afschrijvingen op herwaarderingsmeerwaarden</v>
      </c>
      <c r="B56" s="657"/>
      <c r="C56" s="657"/>
      <c r="D56" s="657"/>
      <c r="E56" s="658"/>
    </row>
    <row r="57" spans="1:7" x14ac:dyDescent="0.25">
      <c r="A57" s="657" t="str">
        <f>+'T11'!A1:D1</f>
        <v>TABEL 11: Fiscaal niet-aftrekbare heffing volgens het Decreet houdende het Grootschalig Referentiebestand</v>
      </c>
      <c r="B57" s="655"/>
      <c r="C57" s="655"/>
      <c r="D57" s="655"/>
      <c r="E57" s="655"/>
      <c r="F57" s="655"/>
    </row>
    <row r="58" spans="1:7" x14ac:dyDescent="0.25">
      <c r="A58" s="657" t="str">
        <f>+'T12'!A1:L1</f>
        <v>TABEL 12: Notionele intrestaftrek</v>
      </c>
      <c r="B58" s="657"/>
      <c r="C58" s="658"/>
      <c r="D58" s="658"/>
      <c r="E58" s="658"/>
    </row>
    <row r="59" spans="1:7" x14ac:dyDescent="0.25">
      <c r="A59" s="657" t="str">
        <f>+T13A!A1</f>
        <v>TABEL 13A: Afschrijvingen van de meerwaarde op basis van de historische indexatie (materiële vaste activa) - elektriciteit</v>
      </c>
      <c r="B59" s="657"/>
      <c r="C59" s="657"/>
      <c r="D59" s="657"/>
      <c r="E59" s="657"/>
      <c r="F59" s="655"/>
      <c r="G59" s="655"/>
    </row>
    <row r="60" spans="1:7" x14ac:dyDescent="0.25">
      <c r="A60" s="657" t="str">
        <f>+T13B!A1</f>
        <v>TABEL 13B: Afschrijvingen van de meerwaarde op basis van de iRAB (materiële vaste activa) - elektriciteit</v>
      </c>
      <c r="B60" s="657"/>
      <c r="C60" s="657"/>
      <c r="D60" s="657"/>
      <c r="E60" s="657"/>
      <c r="F60" s="655"/>
    </row>
    <row r="61" spans="1:7" x14ac:dyDescent="0.25">
      <c r="A61" s="657" t="str">
        <f>+T13C!A1</f>
        <v>TABEL 13C: Afschrijvingen van de meerwaarde op basis van de historische indexatie (materiële vaste activa) - gas</v>
      </c>
      <c r="B61" s="657"/>
      <c r="C61" s="657"/>
      <c r="D61" s="657"/>
      <c r="E61" s="657"/>
      <c r="F61" s="655"/>
      <c r="G61" s="655"/>
    </row>
    <row r="62" spans="1:7" x14ac:dyDescent="0.25">
      <c r="A62" s="657" t="str">
        <f>+T13D!A1</f>
        <v>TABEL 13D: Afschrijvingen van de meerwaarde op basis van de iRAB (materiële vaste activa) - gas</v>
      </c>
      <c r="B62" s="657"/>
      <c r="C62" s="657"/>
      <c r="D62" s="657"/>
      <c r="E62" s="657"/>
      <c r="F62" s="655"/>
    </row>
    <row r="63" spans="1:7" x14ac:dyDescent="0.25">
      <c r="A63" s="657" t="str">
        <f>+'T14'!A1:G1</f>
        <v>TABEL 14: Kapitaalkostvergoeding herwaarderingsmeerwaarden</v>
      </c>
      <c r="B63" s="657"/>
      <c r="C63" s="657"/>
      <c r="D63" s="658"/>
      <c r="E63" s="658"/>
    </row>
    <row r="64" spans="1:7" x14ac:dyDescent="0.25">
      <c r="A64" s="658"/>
      <c r="B64" s="658"/>
      <c r="C64" s="658"/>
      <c r="D64" s="658"/>
      <c r="E64" s="658"/>
    </row>
    <row r="65" spans="1:5" x14ac:dyDescent="0.25">
      <c r="A65" s="658"/>
      <c r="B65" s="658"/>
      <c r="C65" s="658"/>
      <c r="D65" s="658"/>
      <c r="E65" s="658"/>
    </row>
    <row r="66" spans="1:5" x14ac:dyDescent="0.25">
      <c r="A66" s="658"/>
      <c r="B66" s="658"/>
      <c r="C66" s="658"/>
      <c r="D66" s="658"/>
      <c r="E66" s="658"/>
    </row>
  </sheetData>
  <sheetProtection algorithmName="SHA-512" hashValue="jHgf7l5snFaC5QFHoPErQd8UBpJ2Vz/Vw4ORzK8wZrJ/PCqqFLhOiA0ZKGi0M+2v2iyqCg2lawiNDQuMN/BWvw==" saltValue="EwB59p0SOjIyUIiqXrghqQ==" spinCount="100000" sheet="1" objects="1" scenarios="1"/>
  <customSheetViews>
    <customSheetView guid="{C8C7977F-B6BF-432B-A1A7-559450D521AF}" showGridLines="0" topLeftCell="A20">
      <selection activeCell="E53" sqref="E53"/>
      <colBreaks count="1" manualBreakCount="1">
        <brk id="17" max="1048575" man="1"/>
      </colBreaks>
      <pageMargins left="0.98425196850393704" right="0.23622047244094491" top="0.82677165354330717" bottom="0.70866141732283472" header="0.74803149606299213" footer="0.47244094488188981"/>
      <pageSetup paperSize="8" scale="90" orientation="landscape" r:id="rId1"/>
      <headerFooter alignWithMargins="0">
        <oddFooter>&amp;C&amp;P/&amp;N</oddFooter>
      </headerFooter>
    </customSheetView>
  </customSheetViews>
  <mergeCells count="8">
    <mergeCell ref="A2:Q2"/>
    <mergeCell ref="A33:I33"/>
    <mergeCell ref="A19:I19"/>
    <mergeCell ref="C7:F7"/>
    <mergeCell ref="C8:F8"/>
    <mergeCell ref="C10:F10"/>
    <mergeCell ref="A23:I23"/>
    <mergeCell ref="A21:I21"/>
  </mergeCells>
  <dataValidations count="3">
    <dataValidation type="list" allowBlank="1" showInputMessage="1" showErrorMessage="1" sqref="C10" xr:uid="{00000000-0002-0000-0000-000000000000}">
      <formula1>"elektriciteit,gas"</formula1>
    </dataValidation>
    <dataValidation type="list" allowBlank="1" showInputMessage="1" showErrorMessage="1" sqref="F16" xr:uid="{00000000-0002-0000-0000-000001000000}">
      <formula1>"ex-ante,ex-post"</formula1>
    </dataValidation>
    <dataValidation type="list" allowBlank="1" showInputMessage="1" showErrorMessage="1" sqref="E16" xr:uid="{00000000-0002-0000-0000-000002000000}">
      <formula1>"2022,2023,2024"</formula1>
    </dataValidation>
  </dataValidations>
  <hyperlinks>
    <hyperlink ref="A37:E37" location="'T1'!A1" display="'T1'!A1" xr:uid="{CFD9507C-C1D3-48BB-9F0C-9BA1EEBD928C}"/>
    <hyperlink ref="A38:B38" location="'T2 - Overzicht'!A1" display="'T2 - Overzicht'!A1" xr:uid="{827D5F22-584C-43A9-9317-9AA70562685C}"/>
    <hyperlink ref="A39:B39" location="'T3'!A1" display="'T3'!A1" xr:uid="{4F8627D4-03F2-47B8-B80A-34EF83D9D6D0}"/>
    <hyperlink ref="A40:D40" location="T4A!A1" display="T4A!A1" xr:uid="{CC59734A-1FC0-4CCC-8B7D-4550974F8A84}"/>
    <hyperlink ref="A41:E41" location="T4B!A1" display="T4B!A1" xr:uid="{4F09AEC1-D318-4655-BF3D-9DC2312FBE05}"/>
    <hyperlink ref="A42:D42" location="T5A!A1" display="T5A!A1" xr:uid="{7CD12772-5130-4DCD-9E63-ECA3135C64B1}"/>
    <hyperlink ref="A43:E43" location="T5B!A1" display="T5B!A1" xr:uid="{9EEF4A80-B791-4BE0-BC95-385845028C46}"/>
    <hyperlink ref="A44:F44" location="T5C!A1" display="T5C!A1" xr:uid="{001DBD05-15C0-4ECD-B08E-488AEAF597C6}"/>
    <hyperlink ref="A45:F45" location="T5D!A1" display="T5D!A1" xr:uid="{0478B678-1CE9-4E51-9FE6-8B4C78817A20}"/>
    <hyperlink ref="A46:F46" location="T5E!A1" display="T5E!A1" xr:uid="{4859F98A-B9A9-4575-9ECF-FD869FE12C42}"/>
    <hyperlink ref="A47:F47" location="T5F!A1" display="T5F!A1" xr:uid="{057E6744-359A-48BF-BCE3-C3CD2387EEFB}"/>
    <hyperlink ref="A48:E48" location="T6A!A1" display="T6A!A1" xr:uid="{813F6AB1-5224-4D8D-B4F5-BD3D3D64B37B}"/>
    <hyperlink ref="A49:G49" location="T6B!A1" display="T6B!A1" xr:uid="{C955F57B-621D-4E51-A7C2-7FE4A45BCD29}"/>
    <hyperlink ref="A50:C50" location="'T7'!A1" display="'T7'!A1" xr:uid="{6D2CD0C1-43C2-41AE-8C73-05DD0D401966}"/>
    <hyperlink ref="A51:C51" location="'T8'!A1" display="'T8'!A1" xr:uid="{D11E9D25-AEFE-4B64-B391-FD0A9FF3535D}"/>
    <hyperlink ref="A56:D56" location="'T11'!A1" display="'T11'!A1" xr:uid="{D95468AE-8022-4E73-9FC9-172ABCA69142}"/>
    <hyperlink ref="A58:B58" location="'T12'!A1" display="'T12'!A1" xr:uid="{335F438E-29B2-455B-9D6D-C7AFDC0F1FE5}"/>
    <hyperlink ref="A59:G59" location="T13A!A1" display="T13A!A1" xr:uid="{72D6B2A5-6C19-48B4-AE80-849947BCF852}"/>
    <hyperlink ref="A60:F60" location="T13B!A1" display="T13B!A1" xr:uid="{492209BF-8E89-4355-9225-33FD2D77C871}"/>
    <hyperlink ref="A61:G61" location="T13C!A1" display="T13C!A1" xr:uid="{8355A8F5-5CD8-4000-86EF-3389ECC8CFA3}"/>
    <hyperlink ref="A62:F62" location="T13D!A1" display="T13D!A1" xr:uid="{9FE1AB3A-9435-4B75-BD5B-706A28C88930}"/>
    <hyperlink ref="A63:C63" location="'T14'!A1" display="'T14'!A1" xr:uid="{BFCD7A01-7051-4AA2-A2F4-C6A43072A89B}"/>
    <hyperlink ref="A55:C55" location="'T9 - Overzicht'!A1" display="'T9 - Overzicht'!A1" xr:uid="{6245355F-D4D4-4DF7-8D77-F3DD890372C8}"/>
    <hyperlink ref="A56" location="'T10'!A1" display="'T10'!A1" xr:uid="{E314017E-DACB-4305-9E38-E3EC3A455FD9}"/>
    <hyperlink ref="A57:F57" location="'T11'!A1" display="'T11'!A1" xr:uid="{DD11B68F-D1D6-4F6F-B910-C89689AFF84D}"/>
  </hyperlinks>
  <pageMargins left="0.98425196850393704" right="0.23622047244094491" top="0.82677165354330717" bottom="0.70866141732283472" header="0.74803149606299213" footer="0.47244094488188981"/>
  <pageSetup paperSize="8" scale="61"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13">
    <pageSetUpPr fitToPage="1"/>
  </sheetPr>
  <dimension ref="A1:BC46"/>
  <sheetViews>
    <sheetView showGridLines="0" zoomScale="90" zoomScaleNormal="90" workbookViewId="0">
      <selection activeCell="D31" sqref="D31"/>
    </sheetView>
  </sheetViews>
  <sheetFormatPr defaultColWidth="8.81640625" defaultRowHeight="12.5" x14ac:dyDescent="0.25"/>
  <cols>
    <col min="1" max="1" width="2.81640625" style="355" customWidth="1"/>
    <col min="2" max="2" width="7.1796875" style="355" customWidth="1"/>
    <col min="3" max="3" width="32.81640625" style="355" customWidth="1"/>
    <col min="4" max="4" width="48.26953125" style="356" customWidth="1"/>
    <col min="5" max="5" width="20.453125" style="355" customWidth="1"/>
    <col min="6" max="11" width="20.7265625" style="355" customWidth="1"/>
    <col min="12" max="12" width="17.54296875" style="355" customWidth="1"/>
    <col min="13" max="13" width="2.26953125" style="355" customWidth="1"/>
    <col min="14" max="14" width="25.7265625" style="355" customWidth="1"/>
    <col min="15" max="15" width="2.26953125" style="355" customWidth="1"/>
    <col min="16" max="16" width="25.7265625" style="355" customWidth="1"/>
    <col min="17" max="20" width="10.7265625" style="355" customWidth="1"/>
    <col min="21" max="21" width="10.1796875" style="355" customWidth="1"/>
    <col min="22" max="16384" width="8.81640625" style="355"/>
  </cols>
  <sheetData>
    <row r="1" spans="1:55" s="349" customFormat="1" ht="18.5" thickBot="1" x14ac:dyDescent="0.3">
      <c r="A1" s="1067" t="str">
        <f>"TABEL 5C: Werkelijke opbrengsten uit periodieke distributienettarieven in boekjaar "&amp;TITELBLAD!E16&amp;" (elektriciteit - afname)"</f>
        <v>TABEL 5C: Werkelijke opbrengsten uit periodieke distributienettarieven in boekjaar 2022 (elektriciteit - afname)</v>
      </c>
      <c r="B1" s="1068"/>
      <c r="C1" s="1068"/>
      <c r="D1" s="1068"/>
      <c r="E1" s="1068"/>
      <c r="F1" s="1068"/>
      <c r="G1" s="1068"/>
      <c r="H1" s="1068"/>
      <c r="I1" s="1068"/>
      <c r="J1" s="1068"/>
      <c r="K1" s="1068"/>
      <c r="L1" s="1068"/>
      <c r="M1" s="1068"/>
      <c r="N1" s="1068"/>
      <c r="O1" s="1068"/>
      <c r="P1" s="1069"/>
      <c r="Q1" s="478"/>
      <c r="R1" s="350" t="str">
        <f>+TITELBLAD!C10</f>
        <v>elektriciteit</v>
      </c>
      <c r="S1" s="350"/>
      <c r="T1" s="350"/>
      <c r="U1" s="350"/>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s="351" customFormat="1" ht="10.5" x14ac:dyDescent="0.25">
      <c r="A2" s="226"/>
      <c r="B2" s="226"/>
      <c r="C2" s="226"/>
      <c r="D2" s="226"/>
      <c r="E2" s="477"/>
      <c r="F2" s="477"/>
      <c r="Q2" s="477"/>
      <c r="R2" s="352" t="str">
        <f>+TITELBLAD!B16</f>
        <v>Rapportering over boekjaar:</v>
      </c>
      <c r="S2" s="352"/>
      <c r="T2" s="352">
        <f>+TITELBLAD!E16</f>
        <v>2022</v>
      </c>
      <c r="U2" s="352" t="str">
        <f>+TITELBLAD!F16</f>
        <v>ex-post</v>
      </c>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s="166" customFormat="1" x14ac:dyDescent="0.25">
      <c r="A3" s="291"/>
      <c r="B3" s="291"/>
      <c r="C3" s="291"/>
      <c r="D3" s="291"/>
      <c r="E3" s="291"/>
      <c r="F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row>
    <row r="4" spans="1:55" s="166" customFormat="1" ht="13" x14ac:dyDescent="0.25">
      <c r="B4" s="353" t="s">
        <v>99</v>
      </c>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row>
    <row r="5" spans="1:55" s="166" customFormat="1" ht="13" x14ac:dyDescent="0.25">
      <c r="B5" s="1128" t="s">
        <v>214</v>
      </c>
      <c r="C5" s="1128"/>
      <c r="D5" s="1128"/>
      <c r="E5" s="1128"/>
      <c r="F5" s="1128"/>
      <c r="G5" s="788"/>
      <c r="H5" s="788"/>
      <c r="I5" s="788"/>
      <c r="J5" s="788"/>
      <c r="K5" s="788"/>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row>
    <row r="6" spans="1:55" s="166" customFormat="1" ht="13" x14ac:dyDescent="0.25">
      <c r="B6" s="1128"/>
      <c r="C6" s="1128"/>
      <c r="D6" s="1128"/>
      <c r="E6" s="1128"/>
      <c r="F6" s="1128"/>
      <c r="G6" s="788"/>
      <c r="H6" s="788"/>
      <c r="I6" s="788"/>
      <c r="J6" s="788"/>
      <c r="K6" s="788"/>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row>
    <row r="7" spans="1:55" s="166" customFormat="1" ht="13" x14ac:dyDescent="0.25">
      <c r="B7" s="1128"/>
      <c r="C7" s="1128"/>
      <c r="D7" s="1128"/>
      <c r="E7" s="1128"/>
      <c r="F7" s="1128"/>
      <c r="G7" s="788"/>
      <c r="H7" s="788"/>
      <c r="I7" s="788"/>
      <c r="J7" s="788"/>
      <c r="K7" s="788"/>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row>
    <row r="8" spans="1:55" s="166" customFormat="1" ht="13" x14ac:dyDescent="0.25">
      <c r="B8" s="1128"/>
      <c r="C8" s="1128"/>
      <c r="D8" s="1128"/>
      <c r="E8" s="1128"/>
      <c r="F8" s="1128"/>
      <c r="G8" s="788"/>
      <c r="H8" s="788"/>
      <c r="I8" s="788"/>
      <c r="J8" s="788"/>
      <c r="K8" s="788"/>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row>
    <row r="9" spans="1:55" s="166" customFormat="1" ht="13" x14ac:dyDescent="0.25">
      <c r="B9" s="1128"/>
      <c r="C9" s="1128"/>
      <c r="D9" s="1128"/>
      <c r="E9" s="1128"/>
      <c r="F9" s="1128"/>
      <c r="G9" s="788"/>
      <c r="H9" s="788"/>
      <c r="I9" s="788"/>
      <c r="J9" s="788"/>
      <c r="K9" s="788"/>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row>
    <row r="10" spans="1:55" s="166" customFormat="1" ht="13" x14ac:dyDescent="0.25">
      <c r="B10" s="1128"/>
      <c r="C10" s="1128"/>
      <c r="D10" s="1128"/>
      <c r="E10" s="1128"/>
      <c r="F10" s="1128"/>
      <c r="G10" s="788"/>
      <c r="H10" s="788"/>
      <c r="I10" s="788"/>
      <c r="J10" s="788"/>
      <c r="K10" s="788"/>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row>
    <row r="11" spans="1:55" s="166" customFormat="1" ht="13" x14ac:dyDescent="0.25">
      <c r="B11" s="1128"/>
      <c r="C11" s="1128"/>
      <c r="D11" s="1128"/>
      <c r="E11" s="1128"/>
      <c r="F11" s="1128"/>
      <c r="G11" s="788"/>
      <c r="H11" s="788"/>
      <c r="I11" s="788"/>
      <c r="J11" s="788"/>
      <c r="K11" s="788"/>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row>
    <row r="12" spans="1:55" s="166" customFormat="1" ht="13" x14ac:dyDescent="0.25">
      <c r="B12" s="1128"/>
      <c r="C12" s="1128"/>
      <c r="D12" s="1128"/>
      <c r="E12" s="1128"/>
      <c r="F12" s="1128"/>
      <c r="G12" s="788"/>
      <c r="H12" s="788"/>
      <c r="I12" s="788"/>
      <c r="J12" s="788"/>
      <c r="K12" s="788"/>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row>
    <row r="13" spans="1:55" s="166" customFormat="1" x14ac:dyDescent="0.25">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row>
    <row r="14" spans="1:55" ht="13" thickBot="1" x14ac:dyDescent="0.3">
      <c r="A14" s="354"/>
      <c r="Q14" s="479"/>
      <c r="R14" s="479"/>
      <c r="S14" s="479"/>
      <c r="T14" s="477"/>
      <c r="U14" s="477"/>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row>
    <row r="15" spans="1:55" s="361" customFormat="1" ht="75.75" customHeight="1" thickBot="1" x14ac:dyDescent="0.3">
      <c r="A15" s="357"/>
      <c r="B15" s="358"/>
      <c r="C15" s="358"/>
      <c r="D15" s="359"/>
      <c r="E15" s="94"/>
      <c r="F15" s="1129" t="str">
        <f>"Werkelijke opbrengsten uit periodieke distributienettarieven in boekjaar "&amp;TITELBLAD!E16&amp;" (elektriciteit- afname)"</f>
        <v>Werkelijke opbrengsten uit periodieke distributienettarieven in boekjaar 2022 (elektriciteit- afname)</v>
      </c>
      <c r="G15" s="1130"/>
      <c r="H15" s="1130"/>
      <c r="I15" s="1130"/>
      <c r="J15" s="1130"/>
      <c r="K15" s="1131"/>
      <c r="L15" s="700" t="s">
        <v>94</v>
      </c>
      <c r="M15" s="360"/>
      <c r="N15" s="124" t="str">
        <f>"Werkelijke opbrengsten m.b.t. endogene kosten in boekjaar "&amp;TITELBLAD!E16&amp;" (elektriciteit-afname)"</f>
        <v>Werkelijke opbrengsten m.b.t. endogene kosten in boekjaar 2022 (elektriciteit-afname)</v>
      </c>
      <c r="O15" s="360"/>
      <c r="P15" s="124" t="str">
        <f>"Werkelijke opbrengsten m.b.t. exogene kosten in boekjaar "&amp;TITELBLAD!E16&amp;" (elektriciteit-afname)"</f>
        <v>Werkelijke opbrengsten m.b.t. exogene kosten in boekjaar 2022 (elektriciteit-afname)</v>
      </c>
      <c r="Q15" s="480"/>
      <c r="R15" s="480"/>
      <c r="S15" s="480"/>
      <c r="T15" s="480"/>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row>
    <row r="16" spans="1:55" s="344" customFormat="1" ht="27" customHeight="1" thickBot="1" x14ac:dyDescent="0.3">
      <c r="A16" s="341"/>
      <c r="B16" s="342"/>
      <c r="C16" s="342"/>
      <c r="D16" s="343"/>
      <c r="F16" s="345" t="s">
        <v>208</v>
      </c>
      <c r="G16" s="346" t="s">
        <v>209</v>
      </c>
      <c r="H16" s="346" t="s">
        <v>210</v>
      </c>
      <c r="I16" s="346" t="s">
        <v>211</v>
      </c>
      <c r="J16" s="346" t="s">
        <v>212</v>
      </c>
      <c r="K16" s="347" t="s">
        <v>20</v>
      </c>
      <c r="L16" s="701"/>
      <c r="N16" s="682" t="s">
        <v>372</v>
      </c>
      <c r="P16" s="682" t="s">
        <v>373</v>
      </c>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row>
    <row r="17" spans="1:16" s="96" customFormat="1" ht="16.5" customHeight="1" x14ac:dyDescent="0.25">
      <c r="A17" s="362" t="s">
        <v>70</v>
      </c>
      <c r="B17" s="363" t="s">
        <v>360</v>
      </c>
      <c r="C17" s="363"/>
      <c r="D17" s="364"/>
      <c r="F17" s="822">
        <v>0</v>
      </c>
      <c r="G17" s="823">
        <v>0</v>
      </c>
      <c r="H17" s="823">
        <v>0</v>
      </c>
      <c r="I17" s="823">
        <v>0</v>
      </c>
      <c r="J17" s="823">
        <v>0</v>
      </c>
      <c r="K17" s="348">
        <f>SUM(F17:J17)</f>
        <v>0</v>
      </c>
      <c r="L17" s="824">
        <v>0</v>
      </c>
      <c r="M17" s="665"/>
      <c r="N17" s="142">
        <f>K17*L17</f>
        <v>0</v>
      </c>
      <c r="O17" s="665"/>
      <c r="P17" s="142">
        <f>K17-N17</f>
        <v>0</v>
      </c>
    </row>
    <row r="18" spans="1:16" s="377" customFormat="1" ht="16.5" customHeight="1" x14ac:dyDescent="0.25">
      <c r="A18" s="372"/>
      <c r="B18" s="373"/>
      <c r="C18" s="374"/>
      <c r="D18" s="367"/>
      <c r="E18" s="375"/>
      <c r="F18" s="368"/>
      <c r="G18" s="369"/>
      <c r="H18" s="369"/>
      <c r="I18" s="369"/>
      <c r="J18" s="369"/>
      <c r="K18" s="370"/>
      <c r="L18" s="702"/>
      <c r="M18" s="376"/>
      <c r="N18" s="371"/>
      <c r="O18" s="376"/>
      <c r="P18" s="371"/>
    </row>
    <row r="19" spans="1:16" s="377" customFormat="1" ht="16.5" customHeight="1" x14ac:dyDescent="0.25">
      <c r="A19" s="372"/>
      <c r="B19" s="373"/>
      <c r="C19" s="374"/>
      <c r="D19" s="378"/>
      <c r="E19" s="375"/>
      <c r="F19" s="379"/>
      <c r="G19" s="380"/>
      <c r="H19" s="380"/>
      <c r="I19" s="380"/>
      <c r="J19" s="380"/>
      <c r="K19" s="381"/>
      <c r="L19" s="703"/>
      <c r="M19" s="376"/>
      <c r="N19" s="382"/>
      <c r="O19" s="376"/>
      <c r="P19" s="382"/>
    </row>
    <row r="20" spans="1:16" s="96" customFormat="1" ht="16.5" customHeight="1" x14ac:dyDescent="0.25">
      <c r="A20" s="362" t="s">
        <v>71</v>
      </c>
      <c r="B20" s="363" t="s">
        <v>74</v>
      </c>
      <c r="C20" s="363"/>
      <c r="D20" s="364"/>
      <c r="F20" s="822">
        <v>0</v>
      </c>
      <c r="G20" s="823">
        <v>0</v>
      </c>
      <c r="H20" s="823">
        <v>0</v>
      </c>
      <c r="I20" s="823">
        <v>0</v>
      </c>
      <c r="J20" s="823">
        <v>0</v>
      </c>
      <c r="K20" s="348">
        <f>SUM(F20:J20)</f>
        <v>0</v>
      </c>
      <c r="L20" s="824">
        <v>0</v>
      </c>
      <c r="M20" s="665"/>
      <c r="N20" s="142">
        <f>K20*L20</f>
        <v>0</v>
      </c>
      <c r="O20" s="665"/>
      <c r="P20" s="142">
        <f>K20-N20</f>
        <v>0</v>
      </c>
    </row>
    <row r="21" spans="1:16" s="377" customFormat="1" ht="16.5" customHeight="1" x14ac:dyDescent="0.25">
      <c r="A21" s="372"/>
      <c r="B21" s="373"/>
      <c r="C21" s="374"/>
      <c r="D21" s="367"/>
      <c r="E21" s="375"/>
      <c r="F21" s="368"/>
      <c r="G21" s="369"/>
      <c r="H21" s="369"/>
      <c r="I21" s="369"/>
      <c r="J21" s="369"/>
      <c r="K21" s="370"/>
      <c r="L21" s="702"/>
      <c r="M21" s="376"/>
      <c r="N21" s="371"/>
      <c r="O21" s="376"/>
      <c r="P21" s="371"/>
    </row>
    <row r="22" spans="1:16" s="377" customFormat="1" ht="16.5" customHeight="1" x14ac:dyDescent="0.25">
      <c r="A22" s="372"/>
      <c r="B22" s="373"/>
      <c r="C22" s="374"/>
      <c r="D22" s="378"/>
      <c r="E22" s="375"/>
      <c r="F22" s="379"/>
      <c r="G22" s="380"/>
      <c r="H22" s="380"/>
      <c r="I22" s="380"/>
      <c r="J22" s="380"/>
      <c r="K22" s="381"/>
      <c r="L22" s="703"/>
      <c r="M22" s="376"/>
      <c r="N22" s="382"/>
      <c r="O22" s="376"/>
      <c r="P22" s="382"/>
    </row>
    <row r="23" spans="1:16" s="96" customFormat="1" ht="16.5" customHeight="1" x14ac:dyDescent="0.25">
      <c r="A23" s="362" t="s">
        <v>73</v>
      </c>
      <c r="B23" s="363" t="s">
        <v>213</v>
      </c>
      <c r="C23" s="363"/>
      <c r="D23" s="364"/>
      <c r="F23" s="822">
        <v>0</v>
      </c>
      <c r="G23" s="823">
        <v>0</v>
      </c>
      <c r="H23" s="823">
        <v>0</v>
      </c>
      <c r="I23" s="823">
        <v>0</v>
      </c>
      <c r="J23" s="823">
        <v>0</v>
      </c>
      <c r="K23" s="348">
        <f>SUM(F23:J23)</f>
        <v>0</v>
      </c>
      <c r="L23" s="824">
        <v>0</v>
      </c>
      <c r="M23" s="665"/>
      <c r="N23" s="142">
        <f>K23*L23</f>
        <v>0</v>
      </c>
      <c r="O23" s="665"/>
      <c r="P23" s="142">
        <f>K23-N23</f>
        <v>0</v>
      </c>
    </row>
    <row r="24" spans="1:16" s="377" customFormat="1" ht="16.5" customHeight="1" x14ac:dyDescent="0.25">
      <c r="A24" s="372"/>
      <c r="B24" s="373"/>
      <c r="C24" s="374"/>
      <c r="D24" s="367"/>
      <c r="E24" s="375"/>
      <c r="F24" s="368"/>
      <c r="G24" s="369"/>
      <c r="H24" s="369"/>
      <c r="I24" s="369"/>
      <c r="J24" s="369"/>
      <c r="K24" s="370"/>
      <c r="L24" s="702"/>
      <c r="M24" s="376"/>
      <c r="N24" s="371"/>
      <c r="O24" s="376"/>
      <c r="P24" s="371"/>
    </row>
    <row r="25" spans="1:16" s="377" customFormat="1" ht="16.5" customHeight="1" x14ac:dyDescent="0.25">
      <c r="A25" s="372"/>
      <c r="B25" s="373"/>
      <c r="C25" s="374"/>
      <c r="D25" s="378"/>
      <c r="E25" s="375"/>
      <c r="F25" s="379"/>
      <c r="G25" s="380"/>
      <c r="H25" s="380"/>
      <c r="I25" s="380"/>
      <c r="J25" s="380"/>
      <c r="K25" s="381"/>
      <c r="L25" s="703"/>
      <c r="M25" s="376"/>
      <c r="N25" s="382"/>
      <c r="O25" s="376"/>
      <c r="P25" s="382"/>
    </row>
    <row r="26" spans="1:16" s="96" customFormat="1" ht="16.5" customHeight="1" x14ac:dyDescent="0.25">
      <c r="A26" s="362" t="s">
        <v>75</v>
      </c>
      <c r="B26" s="363" t="s">
        <v>72</v>
      </c>
      <c r="C26" s="363"/>
      <c r="D26" s="383"/>
      <c r="F26" s="822">
        <v>0</v>
      </c>
      <c r="G26" s="823">
        <v>0</v>
      </c>
      <c r="H26" s="823">
        <v>0</v>
      </c>
      <c r="I26" s="823">
        <v>0</v>
      </c>
      <c r="J26" s="823">
        <v>0</v>
      </c>
      <c r="K26" s="348">
        <f>SUM(F26:J26)</f>
        <v>0</v>
      </c>
      <c r="L26" s="824">
        <v>0</v>
      </c>
      <c r="M26" s="365"/>
      <c r="N26" s="142">
        <f>K26*L26</f>
        <v>0</v>
      </c>
      <c r="O26" s="365"/>
      <c r="P26" s="142">
        <f>K26-N26</f>
        <v>0</v>
      </c>
    </row>
    <row r="27" spans="1:16" s="96" customFormat="1" ht="16.5" customHeight="1" x14ac:dyDescent="0.25">
      <c r="A27" s="366"/>
      <c r="B27" s="363"/>
      <c r="C27" s="1134"/>
      <c r="D27" s="1135"/>
      <c r="E27" s="384"/>
      <c r="F27" s="338"/>
      <c r="G27" s="339"/>
      <c r="H27" s="339"/>
      <c r="I27" s="339"/>
      <c r="J27" s="339"/>
      <c r="K27" s="348"/>
      <c r="L27" s="704"/>
      <c r="M27" s="365"/>
      <c r="N27" s="143"/>
      <c r="O27" s="365"/>
      <c r="P27" s="143"/>
    </row>
    <row r="28" spans="1:16" s="96" customFormat="1" ht="16.5" customHeight="1" x14ac:dyDescent="0.25">
      <c r="A28" s="366"/>
      <c r="B28" s="363"/>
      <c r="C28" s="1134"/>
      <c r="D28" s="1135"/>
      <c r="E28" s="384"/>
      <c r="F28" s="368"/>
      <c r="G28" s="369"/>
      <c r="H28" s="369"/>
      <c r="I28" s="369"/>
      <c r="J28" s="369"/>
      <c r="K28" s="370"/>
      <c r="L28" s="702"/>
      <c r="M28" s="365"/>
      <c r="N28" s="371"/>
      <c r="O28" s="365"/>
      <c r="P28" s="371"/>
    </row>
    <row r="29" spans="1:16" s="96" customFormat="1" ht="16.5" customHeight="1" x14ac:dyDescent="0.25">
      <c r="A29" s="362" t="s">
        <v>77</v>
      </c>
      <c r="B29" s="363" t="s">
        <v>361</v>
      </c>
      <c r="C29" s="363"/>
      <c r="D29" s="364"/>
      <c r="F29" s="822">
        <v>0</v>
      </c>
      <c r="G29" s="823">
        <v>0</v>
      </c>
      <c r="H29" s="823">
        <v>0</v>
      </c>
      <c r="I29" s="823">
        <v>0</v>
      </c>
      <c r="J29" s="823">
        <v>0</v>
      </c>
      <c r="K29" s="348">
        <f>SUM(F29:J29)</f>
        <v>0</v>
      </c>
      <c r="L29" s="824">
        <v>0</v>
      </c>
      <c r="M29" s="665"/>
      <c r="N29" s="142">
        <f>K29*L29</f>
        <v>0</v>
      </c>
      <c r="O29" s="665"/>
      <c r="P29" s="142">
        <f>K29-N29</f>
        <v>0</v>
      </c>
    </row>
    <row r="30" spans="1:16" s="377" customFormat="1" ht="16.5" customHeight="1" x14ac:dyDescent="0.25">
      <c r="A30" s="372"/>
      <c r="B30" s="373"/>
      <c r="C30" s="374"/>
      <c r="D30" s="367"/>
      <c r="E30" s="375"/>
      <c r="F30" s="368"/>
      <c r="G30" s="369"/>
      <c r="H30" s="369"/>
      <c r="I30" s="369"/>
      <c r="J30" s="369"/>
      <c r="K30" s="370"/>
      <c r="L30" s="702"/>
      <c r="M30" s="376"/>
      <c r="N30" s="371"/>
      <c r="O30" s="376"/>
      <c r="P30" s="371"/>
    </row>
    <row r="31" spans="1:16" s="377" customFormat="1" ht="16.5" customHeight="1" x14ac:dyDescent="0.25">
      <c r="A31" s="372"/>
      <c r="B31" s="373"/>
      <c r="C31" s="374"/>
      <c r="D31" s="378"/>
      <c r="E31" s="375"/>
      <c r="F31" s="379"/>
      <c r="G31" s="380"/>
      <c r="H31" s="380"/>
      <c r="I31" s="380"/>
      <c r="J31" s="380"/>
      <c r="K31" s="381"/>
      <c r="L31" s="703"/>
      <c r="M31" s="376"/>
      <c r="N31" s="382"/>
      <c r="O31" s="376"/>
      <c r="P31" s="382"/>
    </row>
    <row r="32" spans="1:16" s="96" customFormat="1" ht="16.5" customHeight="1" x14ac:dyDescent="0.25">
      <c r="A32" s="362" t="s">
        <v>138</v>
      </c>
      <c r="B32" s="363" t="s">
        <v>362</v>
      </c>
      <c r="C32" s="363"/>
      <c r="D32" s="385"/>
      <c r="F32" s="822">
        <v>0</v>
      </c>
      <c r="G32" s="823">
        <v>0</v>
      </c>
      <c r="H32" s="823">
        <v>0</v>
      </c>
      <c r="I32" s="823">
        <v>0</v>
      </c>
      <c r="J32" s="823">
        <v>0</v>
      </c>
      <c r="K32" s="348">
        <f>SUM(F32:J32)</f>
        <v>0</v>
      </c>
      <c r="L32" s="824">
        <v>0</v>
      </c>
      <c r="M32" s="365"/>
      <c r="N32" s="142">
        <f>K32*L32</f>
        <v>0</v>
      </c>
      <c r="O32" s="365"/>
      <c r="P32" s="142">
        <f>K32-N32</f>
        <v>0</v>
      </c>
    </row>
    <row r="33" spans="1:20" s="96" customFormat="1" ht="16.5" customHeight="1" x14ac:dyDescent="0.25">
      <c r="A33" s="387"/>
      <c r="B33" s="97"/>
      <c r="C33" s="1136"/>
      <c r="D33" s="1137"/>
      <c r="F33" s="338"/>
      <c r="G33" s="339"/>
      <c r="H33" s="339"/>
      <c r="I33" s="339"/>
      <c r="J33" s="339"/>
      <c r="K33" s="348"/>
      <c r="L33" s="704"/>
      <c r="M33" s="365"/>
      <c r="N33" s="143"/>
      <c r="O33" s="365"/>
      <c r="P33" s="143"/>
    </row>
    <row r="34" spans="1:20" s="391" customFormat="1" ht="13" x14ac:dyDescent="0.25">
      <c r="A34" s="388"/>
      <c r="B34" s="389"/>
      <c r="C34" s="139"/>
      <c r="D34" s="390"/>
      <c r="F34" s="392"/>
      <c r="G34" s="393"/>
      <c r="H34" s="393"/>
      <c r="I34" s="393"/>
      <c r="J34" s="393"/>
      <c r="K34" s="394"/>
      <c r="L34" s="705"/>
      <c r="N34" s="395"/>
      <c r="P34" s="395"/>
    </row>
    <row r="35" spans="1:20" s="391" customFormat="1" ht="17.25" customHeight="1" x14ac:dyDescent="0.25">
      <c r="A35" s="186" t="s">
        <v>363</v>
      </c>
      <c r="B35" s="1132" t="s">
        <v>82</v>
      </c>
      <c r="C35" s="1132"/>
      <c r="D35" s="1133"/>
      <c r="F35" s="396"/>
      <c r="G35" s="397"/>
      <c r="H35" s="397"/>
      <c r="I35" s="397"/>
      <c r="J35" s="397"/>
      <c r="K35" s="386"/>
      <c r="L35" s="706"/>
      <c r="N35" s="398"/>
      <c r="P35" s="398"/>
    </row>
    <row r="36" spans="1:20" s="391" customFormat="1" ht="13" x14ac:dyDescent="0.25">
      <c r="A36" s="388"/>
      <c r="B36" s="389"/>
      <c r="C36" s="139"/>
      <c r="D36" s="390"/>
      <c r="F36" s="392"/>
      <c r="G36" s="393"/>
      <c r="H36" s="393"/>
      <c r="I36" s="393"/>
      <c r="J36" s="393"/>
      <c r="K36" s="394"/>
      <c r="L36" s="705"/>
      <c r="N36" s="395"/>
      <c r="P36" s="395"/>
    </row>
    <row r="37" spans="1:20" s="391" customFormat="1" ht="13.5" thickBot="1" x14ac:dyDescent="0.3">
      <c r="A37" s="388"/>
      <c r="B37" s="389"/>
      <c r="C37" s="139"/>
      <c r="D37" s="390"/>
      <c r="F37" s="392"/>
      <c r="G37" s="393"/>
      <c r="H37" s="393"/>
      <c r="I37" s="393"/>
      <c r="J37" s="393"/>
      <c r="K37" s="394"/>
      <c r="L37" s="707"/>
      <c r="N37" s="395"/>
      <c r="P37" s="395"/>
    </row>
    <row r="38" spans="1:20" s="340" customFormat="1" ht="16.5" customHeight="1" thickBot="1" x14ac:dyDescent="0.3">
      <c r="A38" s="399"/>
      <c r="B38" s="400" t="s">
        <v>364</v>
      </c>
      <c r="C38" s="401"/>
      <c r="D38" s="402"/>
      <c r="F38" s="403">
        <f>+SUM(F17,F20,F23,F26,F29,F32)</f>
        <v>0</v>
      </c>
      <c r="G38" s="404">
        <f t="shared" ref="G38:J38" si="0">+SUM(G17,G20,G23,G26,G29,G32)</f>
        <v>0</v>
      </c>
      <c r="H38" s="404">
        <f t="shared" si="0"/>
        <v>0</v>
      </c>
      <c r="I38" s="404">
        <f t="shared" si="0"/>
        <v>0</v>
      </c>
      <c r="J38" s="404">
        <f t="shared" si="0"/>
        <v>0</v>
      </c>
      <c r="K38" s="405">
        <f>+SUM(K17,K20,K23,K26,K29,K32)</f>
        <v>0</v>
      </c>
      <c r="L38" s="708"/>
      <c r="M38" s="406"/>
      <c r="N38" s="407">
        <f>+SUM(N17,N20,N23,N26,N29,N32)</f>
        <v>0</v>
      </c>
      <c r="O38" s="406"/>
      <c r="P38" s="407">
        <f>+SUM(P17,P20,P23,P26,P29,P32)</f>
        <v>0</v>
      </c>
    </row>
    <row r="39" spans="1:20" s="408" customFormat="1" ht="13.5" customHeight="1" x14ac:dyDescent="0.25">
      <c r="D39" s="409"/>
      <c r="F39" s="410"/>
      <c r="G39" s="410"/>
      <c r="H39" s="410"/>
      <c r="I39" s="410"/>
      <c r="J39" s="410"/>
      <c r="K39" s="410"/>
      <c r="L39" s="410"/>
      <c r="N39" s="410"/>
      <c r="T39" s="95"/>
    </row>
    <row r="40" spans="1:20" s="408" customFormat="1" ht="13.5" customHeight="1" x14ac:dyDescent="0.25">
      <c r="B40" s="411"/>
      <c r="D40" s="409"/>
      <c r="F40" s="412"/>
      <c r="G40" s="412"/>
      <c r="H40" s="412"/>
      <c r="I40" s="412"/>
      <c r="J40" s="412"/>
      <c r="K40" s="412"/>
      <c r="L40" s="412"/>
      <c r="N40" s="412"/>
    </row>
    <row r="41" spans="1:20" s="408" customFormat="1" ht="13.5" customHeight="1" x14ac:dyDescent="0.25">
      <c r="D41" s="409"/>
    </row>
    <row r="42" spans="1:20" ht="13.5" customHeight="1" x14ac:dyDescent="0.25"/>
    <row r="43" spans="1:20" ht="13.5" customHeight="1" x14ac:dyDescent="0.25"/>
    <row r="44" spans="1:20" ht="13.5" customHeight="1" x14ac:dyDescent="0.25"/>
    <row r="45" spans="1:20" ht="17.25" customHeight="1" x14ac:dyDescent="0.25"/>
    <row r="46" spans="1:20" ht="17.25" customHeight="1" x14ac:dyDescent="0.25"/>
  </sheetData>
  <sheetProtection algorithmName="SHA-512" hashValue="HZ69JlPXtJA58WR9M+9gcJNfVpunMgoOyRT+KZ3iRBOrwHWWU6Uxz7xP/MxG1gEtqlKjmP4Li3mv2PKty+ErMQ==" saltValue="byWoRwFvk1VWN3ZnNDe3kg==" spinCount="100000" sheet="1" objects="1" scenarios="1"/>
  <mergeCells count="7">
    <mergeCell ref="A1:P1"/>
    <mergeCell ref="B5:F12"/>
    <mergeCell ref="F15:K15"/>
    <mergeCell ref="B35:D35"/>
    <mergeCell ref="C27:D27"/>
    <mergeCell ref="C28:D28"/>
    <mergeCell ref="C33:D33"/>
  </mergeCells>
  <conditionalFormatting sqref="A1:XFD1048576">
    <cfRule type="expression" dxfId="32" priority="1">
      <formula>$U$2="ex-ante"</formula>
    </cfRule>
    <cfRule type="expression" dxfId="31" priority="2">
      <formula>$R$1="gas"</formula>
    </cfRule>
  </conditionalFormatting>
  <pageMargins left="0.55118110236220474" right="0.23622047244094491" top="0.43307086614173229" bottom="0.43307086614173229" header="0.27559055118110237" footer="0.27559055118110237"/>
  <pageSetup paperSize="8" scale="85" orientation="landscape" r:id="rId1"/>
  <headerFooter scaleWithDoc="0"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pageSetUpPr fitToPage="1"/>
  </sheetPr>
  <dimension ref="A1:BF36"/>
  <sheetViews>
    <sheetView zoomScale="80" zoomScaleNormal="80" workbookViewId="0">
      <selection activeCell="H38" sqref="H38"/>
    </sheetView>
  </sheetViews>
  <sheetFormatPr defaultColWidth="9.1796875" defaultRowHeight="12.5" x14ac:dyDescent="0.25"/>
  <cols>
    <col min="1" max="1" width="7.26953125" style="419" customWidth="1"/>
    <col min="2" max="2" width="7" style="419" customWidth="1"/>
    <col min="3" max="3" width="30.54296875" style="419" customWidth="1"/>
    <col min="4" max="4" width="10.1796875" style="455" customWidth="1"/>
    <col min="5" max="10" width="20.7265625" style="455" customWidth="1"/>
    <col min="11" max="11" width="20.26953125" style="455" customWidth="1"/>
    <col min="12" max="12" width="2" style="419" customWidth="1"/>
    <col min="13" max="13" width="25.7265625" style="455" customWidth="1"/>
    <col min="14" max="14" width="2" style="419" customWidth="1"/>
    <col min="15" max="15" width="25.7265625" style="419" customWidth="1"/>
    <col min="16" max="16384" width="9.1796875" style="419"/>
  </cols>
  <sheetData>
    <row r="1" spans="1:58" s="413" customFormat="1" ht="18.5" thickBot="1" x14ac:dyDescent="0.3">
      <c r="A1" s="1067" t="str">
        <f>"TABEL 5D: Werkelijke opbrengsten uit periodieke distributienettarieven in boekjaar "&amp;TITELBLAD!E16&amp;" (elektriciteit-injectie)"</f>
        <v>TABEL 5D: Werkelijke opbrengsten uit periodieke distributienettarieven in boekjaar 2022 (elektriciteit-injectie)</v>
      </c>
      <c r="B1" s="1068"/>
      <c r="C1" s="1068"/>
      <c r="D1" s="1068"/>
      <c r="E1" s="1068"/>
      <c r="F1" s="1068"/>
      <c r="G1" s="1068"/>
      <c r="H1" s="1068"/>
      <c r="I1" s="1068"/>
      <c r="J1" s="1068"/>
      <c r="K1" s="1068"/>
      <c r="L1" s="1068"/>
      <c r="M1" s="1068"/>
      <c r="N1" s="1068"/>
      <c r="O1" s="1069"/>
      <c r="P1" s="483"/>
      <c r="Q1" s="483"/>
      <c r="R1" s="483"/>
      <c r="S1" s="483"/>
      <c r="T1" s="483"/>
      <c r="U1" s="483"/>
      <c r="V1" s="483"/>
      <c r="W1" s="483"/>
      <c r="X1" s="483"/>
    </row>
    <row r="2" spans="1:58" s="416" customFormat="1" ht="10.5" x14ac:dyDescent="0.25">
      <c r="A2" s="414"/>
      <c r="B2" s="414"/>
      <c r="C2" s="414"/>
      <c r="D2" s="415"/>
      <c r="E2" s="415"/>
      <c r="F2" s="415"/>
      <c r="G2" s="415"/>
      <c r="H2" s="415"/>
      <c r="I2" s="415"/>
      <c r="J2" s="415"/>
      <c r="K2" s="415"/>
      <c r="M2" s="415"/>
      <c r="P2" s="484"/>
      <c r="Q2" s="484"/>
      <c r="R2" s="484"/>
      <c r="S2" s="484"/>
      <c r="T2" s="484"/>
      <c r="U2" s="484"/>
      <c r="V2" s="484"/>
      <c r="W2" s="484"/>
      <c r="X2" s="484"/>
    </row>
    <row r="3" spans="1:58" s="166" customFormat="1" x14ac:dyDescent="0.25">
      <c r="P3" s="291"/>
      <c r="Q3" s="291"/>
      <c r="R3" s="291"/>
      <c r="S3" s="291"/>
      <c r="T3" s="291"/>
      <c r="U3" s="291"/>
      <c r="V3" s="291"/>
      <c r="W3" s="291"/>
      <c r="X3" s="291"/>
    </row>
    <row r="4" spans="1:58" s="166" customFormat="1" ht="13" x14ac:dyDescent="0.25">
      <c r="B4" s="353" t="s">
        <v>99</v>
      </c>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row>
    <row r="5" spans="1:58" s="166" customFormat="1" ht="12.65" customHeight="1" x14ac:dyDescent="0.25">
      <c r="B5" s="1128" t="s">
        <v>215</v>
      </c>
      <c r="C5" s="1128"/>
      <c r="D5" s="1128"/>
      <c r="E5" s="1128"/>
      <c r="F5" s="1128"/>
      <c r="G5" s="1128"/>
      <c r="H5" s="456"/>
      <c r="I5" s="456"/>
      <c r="J5" s="456"/>
      <c r="K5" s="488"/>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row>
    <row r="6" spans="1:58" s="166" customFormat="1" ht="12.65" customHeight="1" x14ac:dyDescent="0.25">
      <c r="B6" s="1128"/>
      <c r="C6" s="1128"/>
      <c r="D6" s="1128"/>
      <c r="E6" s="1128"/>
      <c r="F6" s="1128"/>
      <c r="G6" s="1128"/>
      <c r="H6" s="456"/>
      <c r="I6" s="456"/>
      <c r="J6" s="456"/>
      <c r="K6" s="488"/>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row>
    <row r="7" spans="1:58" s="166" customFormat="1" ht="12.65" customHeight="1" x14ac:dyDescent="0.25">
      <c r="B7" s="1128"/>
      <c r="C7" s="1128"/>
      <c r="D7" s="1128"/>
      <c r="E7" s="1128"/>
      <c r="F7" s="1128"/>
      <c r="G7" s="1128"/>
      <c r="H7" s="456"/>
      <c r="I7" s="456"/>
      <c r="J7" s="456"/>
      <c r="K7" s="488"/>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row>
    <row r="8" spans="1:58" s="166" customFormat="1" ht="12.65" customHeight="1" x14ac:dyDescent="0.25">
      <c r="B8" s="1128"/>
      <c r="C8" s="1128"/>
      <c r="D8" s="1128"/>
      <c r="E8" s="1128"/>
      <c r="F8" s="1128"/>
      <c r="G8" s="1128"/>
      <c r="H8" s="488"/>
      <c r="I8" s="488"/>
      <c r="J8" s="488"/>
      <c r="K8" s="488"/>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row>
    <row r="9" spans="1:58" s="166" customFormat="1" ht="12.65" customHeight="1" x14ac:dyDescent="0.25">
      <c r="B9" s="1128"/>
      <c r="C9" s="1128"/>
      <c r="D9" s="1128"/>
      <c r="E9" s="1128"/>
      <c r="F9" s="1128"/>
      <c r="G9" s="1128"/>
      <c r="H9" s="488"/>
      <c r="I9" s="488"/>
      <c r="J9" s="488"/>
      <c r="K9" s="488"/>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row>
    <row r="10" spans="1:58" s="166" customFormat="1" ht="12.65" customHeight="1" x14ac:dyDescent="0.25">
      <c r="B10" s="1128"/>
      <c r="C10" s="1128"/>
      <c r="D10" s="1128"/>
      <c r="E10" s="1128"/>
      <c r="F10" s="1128"/>
      <c r="G10" s="1128"/>
      <c r="H10" s="488"/>
      <c r="I10" s="488"/>
      <c r="J10" s="488"/>
      <c r="K10" s="488"/>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row>
    <row r="11" spans="1:58" s="166" customFormat="1" ht="12.65" customHeight="1" x14ac:dyDescent="0.25">
      <c r="B11" s="1128"/>
      <c r="C11" s="1128"/>
      <c r="D11" s="1128"/>
      <c r="E11" s="1128"/>
      <c r="F11" s="1128"/>
      <c r="G11" s="1128"/>
      <c r="H11" s="488"/>
      <c r="I11" s="488"/>
      <c r="J11" s="488"/>
      <c r="K11" s="488"/>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row>
    <row r="12" spans="1:58" s="166" customFormat="1" ht="12.65" customHeight="1" x14ac:dyDescent="0.25">
      <c r="B12" s="1128"/>
      <c r="C12" s="1128"/>
      <c r="D12" s="1128"/>
      <c r="E12" s="1128"/>
      <c r="F12" s="1128"/>
      <c r="G12" s="1128"/>
      <c r="H12" s="456"/>
      <c r="I12" s="456"/>
      <c r="J12" s="456"/>
      <c r="K12" s="488"/>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row>
    <row r="13" spans="1:58" s="166" customFormat="1" ht="32.25" customHeight="1" x14ac:dyDescent="0.25">
      <c r="B13" s="1128"/>
      <c r="C13" s="1128"/>
      <c r="D13" s="1128"/>
      <c r="E13" s="1128"/>
      <c r="F13" s="1128"/>
      <c r="G13" s="1128"/>
      <c r="H13" s="456"/>
      <c r="I13" s="456"/>
      <c r="J13" s="456"/>
      <c r="K13" s="488"/>
      <c r="L13" s="291"/>
      <c r="M13" s="291"/>
      <c r="N13" s="291"/>
      <c r="O13" s="291"/>
      <c r="P13" s="291"/>
      <c r="Q13" s="203"/>
      <c r="R13" s="203"/>
      <c r="S13" s="203"/>
      <c r="T13" s="203"/>
      <c r="U13" s="203"/>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row>
    <row r="14" spans="1:58" s="166" customFormat="1" x14ac:dyDescent="0.25">
      <c r="P14" s="291"/>
      <c r="Q14" s="203" t="str">
        <f>+TITELBLAD!C10</f>
        <v>elektriciteit</v>
      </c>
      <c r="R14" s="420"/>
      <c r="S14" s="203"/>
      <c r="T14" s="203"/>
      <c r="U14" s="203"/>
      <c r="V14" s="291"/>
      <c r="W14" s="291"/>
      <c r="X14" s="291"/>
    </row>
    <row r="15" spans="1:58" ht="18.5" thickBot="1" x14ac:dyDescent="0.3">
      <c r="A15" s="417"/>
      <c r="B15" s="101"/>
      <c r="C15" s="101"/>
      <c r="D15" s="418"/>
      <c r="E15" s="418"/>
      <c r="F15" s="418"/>
      <c r="G15" s="418"/>
      <c r="H15" s="418"/>
      <c r="I15" s="418"/>
      <c r="J15" s="418"/>
      <c r="K15" s="418"/>
      <c r="L15" s="101"/>
      <c r="M15" s="418"/>
      <c r="N15" s="101"/>
      <c r="P15" s="485"/>
      <c r="Q15" s="420" t="str">
        <f>+TITELBLAD!B16</f>
        <v>Rapportering over boekjaar:</v>
      </c>
      <c r="R15" s="420"/>
      <c r="S15" s="420"/>
      <c r="T15" s="420">
        <f>+TITELBLAD!E16</f>
        <v>2022</v>
      </c>
      <c r="U15" s="420" t="str">
        <f>+TITELBLAD!F16</f>
        <v>ex-post</v>
      </c>
      <c r="V15" s="485"/>
      <c r="W15" s="485"/>
      <c r="X15" s="485"/>
    </row>
    <row r="16" spans="1:58" s="424" customFormat="1" ht="60.75" customHeight="1" thickBot="1" x14ac:dyDescent="0.3">
      <c r="A16" s="421"/>
      <c r="B16" s="422"/>
      <c r="C16" s="422"/>
      <c r="D16" s="423"/>
      <c r="E16" s="1129" t="str">
        <f>"Werkelijke opbrengsten uit periodieke distributienettarieven in boekjaar "&amp;TITELBLAD!E16&amp;" (elektriciteit- injectie)"</f>
        <v>Werkelijke opbrengsten uit periodieke distributienettarieven in boekjaar 2022 (elektriciteit- injectie)</v>
      </c>
      <c r="F16" s="1130"/>
      <c r="G16" s="1130"/>
      <c r="H16" s="1130"/>
      <c r="I16" s="1130"/>
      <c r="J16" s="1130"/>
      <c r="K16" s="691" t="s">
        <v>94</v>
      </c>
      <c r="L16" s="101"/>
      <c r="M16" s="209" t="str">
        <f>"Werkelijke opbrengsten m.b.t. endogene kosten in boekjaar "&amp;TITELBLAD!E16&amp;" (elektriciteit-injectie)"</f>
        <v>Werkelijke opbrengsten m.b.t. endogene kosten in boekjaar 2022 (elektriciteit-injectie)</v>
      </c>
      <c r="N16" s="101"/>
      <c r="O16" s="209" t="str">
        <f>"Werkelijke opbrengsten m.b.t. exogene kosten in boekjaar "&amp;TITELBLAD!E16&amp;" (elektriciteit-injectie)"</f>
        <v>Werkelijke opbrengsten m.b.t. exogene kosten in boekjaar 2022 (elektriciteit-injectie)</v>
      </c>
      <c r="P16" s="486"/>
      <c r="Q16" s="425"/>
      <c r="R16" s="425"/>
      <c r="S16" s="425"/>
      <c r="T16" s="420"/>
      <c r="U16" s="420"/>
      <c r="V16" s="486"/>
      <c r="W16" s="486"/>
      <c r="X16" s="486"/>
    </row>
    <row r="17" spans="1:22" s="98" customFormat="1" ht="28.5" customHeight="1" thickBot="1" x14ac:dyDescent="0.3">
      <c r="A17" s="426"/>
      <c r="B17" s="427"/>
      <c r="C17" s="427"/>
      <c r="D17" s="428"/>
      <c r="E17" s="345" t="s">
        <v>208</v>
      </c>
      <c r="F17" s="346" t="s">
        <v>209</v>
      </c>
      <c r="G17" s="346" t="s">
        <v>210</v>
      </c>
      <c r="H17" s="346" t="s">
        <v>211</v>
      </c>
      <c r="I17" s="346" t="s">
        <v>212</v>
      </c>
      <c r="J17" s="475" t="s">
        <v>20</v>
      </c>
      <c r="K17" s="692"/>
      <c r="L17" s="101"/>
      <c r="M17" s="683" t="s">
        <v>372</v>
      </c>
      <c r="N17" s="440"/>
      <c r="O17" s="683" t="s">
        <v>373</v>
      </c>
      <c r="P17" s="487"/>
      <c r="Q17" s="487"/>
      <c r="R17" s="487"/>
      <c r="S17" s="487"/>
      <c r="T17" s="487"/>
      <c r="U17" s="487"/>
      <c r="V17" s="487"/>
    </row>
    <row r="18" spans="1:22" s="101" customFormat="1" ht="16.5" customHeight="1" x14ac:dyDescent="0.25">
      <c r="A18" s="429"/>
      <c r="B18" s="430"/>
      <c r="C18" s="431"/>
      <c r="D18" s="432"/>
      <c r="E18" s="463"/>
      <c r="F18" s="469"/>
      <c r="G18" s="469"/>
      <c r="H18" s="469"/>
      <c r="I18" s="469"/>
      <c r="J18" s="458"/>
      <c r="K18" s="693"/>
      <c r="M18" s="457"/>
      <c r="O18" s="457"/>
      <c r="P18" s="485"/>
      <c r="Q18" s="485"/>
      <c r="R18" s="485"/>
      <c r="S18" s="485"/>
      <c r="T18" s="485"/>
      <c r="U18" s="485"/>
      <c r="V18" s="485"/>
    </row>
    <row r="19" spans="1:22" s="101" customFormat="1" ht="16.5" customHeight="1" x14ac:dyDescent="0.25">
      <c r="A19" s="433"/>
      <c r="B19" s="434"/>
      <c r="C19" s="435"/>
      <c r="D19" s="100"/>
      <c r="E19" s="464"/>
      <c r="F19" s="470"/>
      <c r="G19" s="470"/>
      <c r="H19" s="470"/>
      <c r="I19" s="470"/>
      <c r="J19" s="459"/>
      <c r="K19" s="694"/>
      <c r="M19" s="436"/>
      <c r="O19" s="436"/>
      <c r="P19" s="485"/>
      <c r="Q19" s="485"/>
      <c r="R19" s="485"/>
      <c r="S19" s="485"/>
      <c r="T19" s="485"/>
      <c r="U19" s="485"/>
      <c r="V19" s="485"/>
    </row>
    <row r="20" spans="1:22" s="101" customFormat="1" ht="16.5" customHeight="1" x14ac:dyDescent="0.25">
      <c r="A20" s="433" t="s">
        <v>70</v>
      </c>
      <c r="B20" s="430" t="s">
        <v>360</v>
      </c>
      <c r="C20" s="437"/>
      <c r="D20" s="100"/>
      <c r="E20" s="822">
        <v>0</v>
      </c>
      <c r="F20" s="823">
        <v>0</v>
      </c>
      <c r="G20" s="823">
        <v>0</v>
      </c>
      <c r="H20" s="823">
        <v>0</v>
      </c>
      <c r="I20" s="823">
        <v>0</v>
      </c>
      <c r="J20" s="348">
        <f>SUM(E20:I20)</f>
        <v>0</v>
      </c>
      <c r="K20" s="825">
        <v>0</v>
      </c>
      <c r="M20" s="142">
        <f>+J20*K20</f>
        <v>0</v>
      </c>
      <c r="O20" s="142">
        <f>+J20-M20</f>
        <v>0</v>
      </c>
      <c r="P20" s="485"/>
      <c r="Q20" s="485"/>
      <c r="R20" s="485"/>
      <c r="S20" s="485"/>
      <c r="T20" s="485"/>
      <c r="U20" s="485"/>
      <c r="V20" s="485"/>
    </row>
    <row r="21" spans="1:22" s="101" customFormat="1" ht="16.5" customHeight="1" x14ac:dyDescent="0.25">
      <c r="A21" s="99"/>
      <c r="B21" s="438"/>
      <c r="C21" s="438"/>
      <c r="D21" s="367"/>
      <c r="E21" s="465"/>
      <c r="F21" s="471"/>
      <c r="G21" s="471"/>
      <c r="H21" s="471"/>
      <c r="I21" s="471"/>
      <c r="J21" s="476"/>
      <c r="K21" s="695"/>
      <c r="M21" s="144"/>
      <c r="O21" s="144"/>
      <c r="P21" s="485"/>
      <c r="Q21" s="485"/>
      <c r="R21" s="485"/>
      <c r="S21" s="485"/>
      <c r="T21" s="485"/>
      <c r="U21" s="485"/>
      <c r="V21" s="485"/>
    </row>
    <row r="22" spans="1:22" s="101" customFormat="1" ht="16.5" customHeight="1" x14ac:dyDescent="0.25">
      <c r="A22" s="99"/>
      <c r="B22" s="438"/>
      <c r="C22" s="438"/>
      <c r="D22" s="367"/>
      <c r="E22" s="466"/>
      <c r="F22" s="472"/>
      <c r="G22" s="472"/>
      <c r="H22" s="472"/>
      <c r="I22" s="472"/>
      <c r="J22" s="460"/>
      <c r="K22" s="696"/>
      <c r="M22" s="439"/>
      <c r="O22" s="439"/>
      <c r="P22" s="485"/>
      <c r="Q22" s="485"/>
      <c r="R22" s="485"/>
      <c r="S22" s="485"/>
      <c r="T22" s="485"/>
      <c r="U22" s="485"/>
      <c r="V22" s="485"/>
    </row>
    <row r="23" spans="1:22" s="101" customFormat="1" ht="14.25" customHeight="1" x14ac:dyDescent="0.25">
      <c r="A23" s="99" t="s">
        <v>71</v>
      </c>
      <c r="B23" s="1138" t="s">
        <v>213</v>
      </c>
      <c r="C23" s="1138"/>
      <c r="D23" s="1139"/>
      <c r="E23" s="822">
        <v>0</v>
      </c>
      <c r="F23" s="823">
        <v>0</v>
      </c>
      <c r="G23" s="823">
        <v>0</v>
      </c>
      <c r="H23" s="823">
        <v>0</v>
      </c>
      <c r="I23" s="823">
        <v>0</v>
      </c>
      <c r="J23" s="348">
        <f>SUM(E23:I23)</f>
        <v>0</v>
      </c>
      <c r="K23" s="825">
        <v>0</v>
      </c>
      <c r="L23" s="440"/>
      <c r="M23" s="142">
        <f>+J23*K23</f>
        <v>0</v>
      </c>
      <c r="N23" s="440"/>
      <c r="O23" s="142">
        <f>+J23-M23</f>
        <v>0</v>
      </c>
      <c r="P23" s="485"/>
      <c r="Q23" s="485"/>
      <c r="R23" s="485"/>
      <c r="S23" s="485"/>
      <c r="T23" s="485"/>
      <c r="U23" s="485"/>
      <c r="V23" s="485"/>
    </row>
    <row r="24" spans="1:22" s="101" customFormat="1" ht="16.5" customHeight="1" x14ac:dyDescent="0.25">
      <c r="A24" s="441"/>
      <c r="B24" s="138"/>
      <c r="C24" s="139"/>
      <c r="D24" s="100"/>
      <c r="E24" s="465"/>
      <c r="F24" s="471"/>
      <c r="G24" s="471"/>
      <c r="H24" s="471"/>
      <c r="I24" s="471"/>
      <c r="J24" s="476"/>
      <c r="K24" s="697"/>
      <c r="M24" s="144"/>
      <c r="O24" s="144"/>
    </row>
    <row r="25" spans="1:22" s="98" customFormat="1" ht="16.5" customHeight="1" thickBot="1" x14ac:dyDescent="0.3">
      <c r="A25" s="442"/>
      <c r="B25" s="443"/>
      <c r="C25" s="443"/>
      <c r="D25" s="444"/>
      <c r="E25" s="467"/>
      <c r="F25" s="473"/>
      <c r="G25" s="473"/>
      <c r="H25" s="473"/>
      <c r="I25" s="473"/>
      <c r="J25" s="461"/>
      <c r="K25" s="698"/>
      <c r="M25" s="445"/>
      <c r="O25" s="445"/>
    </row>
    <row r="26" spans="1:22" s="451" customFormat="1" ht="16.5" customHeight="1" thickBot="1" x14ac:dyDescent="0.3">
      <c r="A26" s="446"/>
      <c r="B26" s="447" t="s">
        <v>365</v>
      </c>
      <c r="C26" s="448"/>
      <c r="D26" s="449"/>
      <c r="E26" s="468">
        <f>+SUM(E23,E20)</f>
        <v>0</v>
      </c>
      <c r="F26" s="474">
        <f t="shared" ref="F26:J26" si="0">+SUM(F23,F20)</f>
        <v>0</v>
      </c>
      <c r="G26" s="474">
        <f t="shared" si="0"/>
        <v>0</v>
      </c>
      <c r="H26" s="474">
        <f t="shared" si="0"/>
        <v>0</v>
      </c>
      <c r="I26" s="474">
        <f t="shared" si="0"/>
        <v>0</v>
      </c>
      <c r="J26" s="462">
        <f t="shared" si="0"/>
        <v>0</v>
      </c>
      <c r="K26" s="699"/>
      <c r="L26" s="98"/>
      <c r="M26" s="450">
        <f>+SUM(M23,M20)</f>
        <v>0</v>
      </c>
      <c r="N26" s="98"/>
      <c r="O26" s="450">
        <f>+SUM(O23,O20)</f>
        <v>0</v>
      </c>
    </row>
    <row r="27" spans="1:22" s="452" customFormat="1" ht="13.5" customHeight="1" x14ac:dyDescent="0.25">
      <c r="C27" s="453"/>
      <c r="L27" s="98"/>
      <c r="N27" s="98"/>
    </row>
    <row r="28" spans="1:22" s="452" customFormat="1" ht="13.5" customHeight="1" x14ac:dyDescent="0.25">
      <c r="D28" s="454"/>
      <c r="E28" s="454"/>
      <c r="F28" s="454"/>
      <c r="G28" s="454"/>
      <c r="H28" s="454"/>
      <c r="I28" s="454"/>
      <c r="J28" s="454"/>
      <c r="K28" s="454"/>
      <c r="M28" s="454"/>
    </row>
    <row r="29" spans="1:22" s="452" customFormat="1" ht="13.5" customHeight="1" x14ac:dyDescent="0.25">
      <c r="D29" s="454"/>
      <c r="E29" s="454"/>
      <c r="F29" s="454"/>
      <c r="G29" s="454"/>
      <c r="H29" s="454"/>
      <c r="I29" s="454"/>
      <c r="J29" s="454"/>
      <c r="K29" s="454"/>
      <c r="M29" s="454"/>
    </row>
    <row r="30" spans="1:22" s="452" customFormat="1" ht="13.5" customHeight="1" x14ac:dyDescent="0.25">
      <c r="D30" s="454"/>
      <c r="E30" s="454"/>
      <c r="F30" s="454"/>
      <c r="G30" s="454"/>
      <c r="H30" s="454"/>
      <c r="I30" s="454"/>
      <c r="J30" s="454"/>
      <c r="K30" s="454"/>
      <c r="M30" s="454"/>
    </row>
    <row r="31" spans="1:22" s="452" customFormat="1" ht="13.5" customHeight="1" x14ac:dyDescent="0.25">
      <c r="D31" s="454"/>
      <c r="E31" s="454"/>
      <c r="F31" s="454"/>
      <c r="G31" s="454"/>
      <c r="H31" s="454"/>
      <c r="I31" s="454"/>
      <c r="J31" s="454"/>
      <c r="K31" s="454"/>
      <c r="M31" s="454"/>
    </row>
    <row r="32" spans="1:22" ht="13.5" customHeight="1" x14ac:dyDescent="0.25">
      <c r="L32" s="452"/>
      <c r="N32" s="452"/>
    </row>
    <row r="33" spans="12:14" ht="13.5" customHeight="1" x14ac:dyDescent="0.25">
      <c r="L33" s="452"/>
      <c r="N33" s="452"/>
    </row>
    <row r="34" spans="12:14" ht="13.5" customHeight="1" x14ac:dyDescent="0.25">
      <c r="L34" s="452"/>
      <c r="N34" s="452"/>
    </row>
    <row r="35" spans="12:14" ht="17.25" customHeight="1" x14ac:dyDescent="0.25"/>
    <row r="36" spans="12:14" ht="17.25" customHeight="1" x14ac:dyDescent="0.25"/>
  </sheetData>
  <sheetProtection algorithmName="SHA-512" hashValue="cwhfUm+gWBlul8b4g5IyT9NsxGBbRyPqSGTA9DGGxpWJLTPLIdPVkazuzZ7kSyDHeJjCpq4rEhTQrm4x6rgH2Q==" saltValue="/CFxodJJz4vog14XVC8FWA==" spinCount="100000" sheet="1" objects="1" scenarios="1"/>
  <mergeCells count="4">
    <mergeCell ref="B23:D23"/>
    <mergeCell ref="A1:O1"/>
    <mergeCell ref="E16:J16"/>
    <mergeCell ref="B5:G13"/>
  </mergeCells>
  <conditionalFormatting sqref="A1:XFD1048576">
    <cfRule type="expression" dxfId="30" priority="1">
      <formula>$U$15="ex-ante"</formula>
    </cfRule>
    <cfRule type="expression" dxfId="29" priority="2">
      <formula>$Q$14="gas"</formula>
    </cfRule>
  </conditionalFormatting>
  <pageMargins left="7.874015748031496E-2" right="7.874015748031496E-2" top="0.39370078740157483" bottom="0.39370078740157483" header="0.31496062992125984" footer="0.31496062992125984"/>
  <pageSetup paperSize="8" orientation="landscape" r:id="rId1"/>
  <headerFooter alignWithMargins="0">
    <oddFooter>&amp;L&amp;"Arial,Bold Italic"&amp;8&amp;F&amp;C&amp;"Arial,Bold Italic"&amp;8&amp;A&amp;"Arial,Regular"&amp;10
&amp;R&amp;"Arial,Bold Italic"&amp;8&amp;D
Pagina 1 / 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pageSetUpPr fitToPage="1"/>
  </sheetPr>
  <dimension ref="A1:Y38"/>
  <sheetViews>
    <sheetView zoomScale="80" zoomScaleNormal="80" workbookViewId="0">
      <selection activeCell="H36" sqref="H36"/>
    </sheetView>
  </sheetViews>
  <sheetFormatPr defaultColWidth="9.1796875" defaultRowHeight="12.5" x14ac:dyDescent="0.25"/>
  <cols>
    <col min="1" max="1" width="8.54296875" style="489" customWidth="1"/>
    <col min="2" max="2" width="60.26953125" style="489" customWidth="1"/>
    <col min="3" max="3" width="5" style="489" customWidth="1"/>
    <col min="4" max="4" width="3.7265625" style="489" customWidth="1"/>
    <col min="5" max="13" width="20.7265625" style="489" customWidth="1"/>
    <col min="14" max="14" width="3.453125" style="489" customWidth="1"/>
    <col min="15" max="15" width="25.7265625" style="489" customWidth="1"/>
    <col min="16" max="16" width="3.453125" style="489" customWidth="1"/>
    <col min="17" max="17" width="25.7265625" style="489" customWidth="1"/>
    <col min="18" max="16384" width="9.1796875" style="489"/>
  </cols>
  <sheetData>
    <row r="1" spans="1:25" ht="18.5" thickBot="1" x14ac:dyDescent="0.3">
      <c r="A1" s="1067" t="str">
        <f>"TABEL 5E: Werkelijke opbrengsten uit periodieke distributienettarieven in boekjaar "&amp;TITELBLAD!E16&amp;" (gas - afname)"</f>
        <v>TABEL 5E: Werkelijke opbrengsten uit periodieke distributienettarieven in boekjaar 2022 (gas - afname)</v>
      </c>
      <c r="B1" s="1068"/>
      <c r="C1" s="1068"/>
      <c r="D1" s="1068"/>
      <c r="E1" s="1068"/>
      <c r="F1" s="1068"/>
      <c r="G1" s="1068"/>
      <c r="H1" s="1068"/>
      <c r="I1" s="1068"/>
      <c r="J1" s="1068"/>
      <c r="K1" s="1068"/>
      <c r="L1" s="1068"/>
      <c r="M1" s="1068"/>
      <c r="N1" s="1068"/>
      <c r="O1" s="1068"/>
      <c r="P1" s="1068"/>
      <c r="Q1" s="1069"/>
      <c r="R1" s="511"/>
      <c r="S1" s="512"/>
      <c r="T1" s="512"/>
      <c r="U1" s="512"/>
      <c r="V1" s="512"/>
      <c r="W1" s="512"/>
      <c r="X1" s="512"/>
      <c r="Y1" s="512"/>
    </row>
    <row r="2" spans="1:25" x14ac:dyDescent="0.25">
      <c r="Q2" s="512"/>
      <c r="R2" s="512"/>
      <c r="S2" s="512"/>
      <c r="T2" s="512"/>
      <c r="U2" s="512"/>
      <c r="V2" s="512"/>
      <c r="W2" s="512"/>
      <c r="X2" s="512"/>
      <c r="Y2" s="512"/>
    </row>
    <row r="3" spans="1:25" s="166" customFormat="1" x14ac:dyDescent="0.25">
      <c r="Q3" s="291"/>
      <c r="R3" s="291"/>
      <c r="S3" s="291"/>
      <c r="T3" s="291"/>
      <c r="U3" s="291"/>
      <c r="V3" s="291"/>
      <c r="W3" s="291"/>
      <c r="X3" s="291"/>
      <c r="Y3" s="291"/>
    </row>
    <row r="4" spans="1:25" s="166" customFormat="1" ht="13" x14ac:dyDescent="0.25">
      <c r="B4" s="353" t="s">
        <v>99</v>
      </c>
      <c r="Q4" s="291"/>
      <c r="R4" s="291"/>
      <c r="S4" s="291"/>
      <c r="T4" s="291"/>
      <c r="U4" s="291"/>
      <c r="V4" s="291"/>
      <c r="W4" s="291"/>
      <c r="X4" s="291"/>
      <c r="Y4" s="291"/>
    </row>
    <row r="5" spans="1:25" s="166" customFormat="1" ht="12.65" customHeight="1" x14ac:dyDescent="0.25">
      <c r="B5" s="1128" t="s">
        <v>216</v>
      </c>
      <c r="C5" s="1128"/>
      <c r="D5" s="1128"/>
      <c r="E5" s="1128"/>
      <c r="F5" s="1128"/>
      <c r="G5" s="788"/>
      <c r="H5" s="456"/>
      <c r="I5" s="456"/>
      <c r="J5" s="456"/>
      <c r="K5" s="456"/>
      <c r="L5" s="456"/>
      <c r="M5" s="456"/>
      <c r="Q5" s="291"/>
      <c r="R5" s="291"/>
      <c r="S5" s="291"/>
      <c r="T5" s="291"/>
      <c r="U5" s="291"/>
      <c r="V5" s="291"/>
      <c r="W5" s="291"/>
      <c r="X5" s="291"/>
      <c r="Y5" s="291"/>
    </row>
    <row r="6" spans="1:25" s="166" customFormat="1" ht="12.65" customHeight="1" x14ac:dyDescent="0.25">
      <c r="B6" s="1128"/>
      <c r="C6" s="1128"/>
      <c r="D6" s="1128"/>
      <c r="E6" s="1128"/>
      <c r="F6" s="1128"/>
      <c r="G6" s="788"/>
      <c r="H6" s="456"/>
      <c r="I6" s="456"/>
      <c r="J6" s="456"/>
      <c r="K6" s="456"/>
      <c r="L6" s="456"/>
      <c r="M6" s="456"/>
      <c r="Q6" s="291"/>
      <c r="R6" s="291"/>
      <c r="S6" s="203"/>
      <c r="T6" s="203"/>
      <c r="U6" s="203"/>
      <c r="V6" s="203"/>
      <c r="W6" s="203"/>
      <c r="X6" s="291"/>
      <c r="Y6" s="291"/>
    </row>
    <row r="7" spans="1:25" s="166" customFormat="1" ht="12.65" customHeight="1" x14ac:dyDescent="0.25">
      <c r="B7" s="1128"/>
      <c r="C7" s="1128"/>
      <c r="D7" s="1128"/>
      <c r="E7" s="1128"/>
      <c r="F7" s="1128"/>
      <c r="G7" s="788"/>
      <c r="H7" s="456"/>
      <c r="I7" s="456"/>
      <c r="J7" s="456"/>
      <c r="K7" s="456"/>
      <c r="L7" s="456"/>
      <c r="M7" s="456"/>
      <c r="Q7" s="291"/>
      <c r="R7" s="291"/>
      <c r="S7" s="203"/>
      <c r="T7" s="203"/>
      <c r="U7" s="203"/>
      <c r="V7" s="203"/>
      <c r="W7" s="203"/>
      <c r="X7" s="291"/>
      <c r="Y7" s="291"/>
    </row>
    <row r="8" spans="1:25" s="166" customFormat="1" ht="12.65" customHeight="1" x14ac:dyDescent="0.25">
      <c r="B8" s="1128"/>
      <c r="C8" s="1128"/>
      <c r="D8" s="1128"/>
      <c r="E8" s="1128"/>
      <c r="F8" s="1128"/>
      <c r="G8" s="788"/>
      <c r="H8" s="456"/>
      <c r="I8" s="456"/>
      <c r="J8" s="456"/>
      <c r="K8" s="456"/>
      <c r="L8" s="456"/>
      <c r="M8" s="456"/>
      <c r="Q8" s="291"/>
      <c r="R8" s="291"/>
      <c r="S8" s="203"/>
      <c r="T8" s="203"/>
      <c r="U8" s="203"/>
      <c r="V8" s="203"/>
      <c r="W8" s="203"/>
      <c r="X8" s="291"/>
      <c r="Y8" s="291"/>
    </row>
    <row r="9" spans="1:25" s="166" customFormat="1" ht="12.65" customHeight="1" x14ac:dyDescent="0.25">
      <c r="B9" s="1128"/>
      <c r="C9" s="1128"/>
      <c r="D9" s="1128"/>
      <c r="E9" s="1128"/>
      <c r="F9" s="1128"/>
      <c r="G9" s="788"/>
      <c r="H9" s="456"/>
      <c r="I9" s="456"/>
      <c r="J9" s="456"/>
      <c r="K9" s="456"/>
      <c r="L9" s="456"/>
      <c r="M9" s="456"/>
      <c r="Q9" s="291"/>
      <c r="R9" s="291"/>
      <c r="S9" s="203"/>
      <c r="T9" s="203"/>
      <c r="U9" s="203"/>
      <c r="V9" s="203"/>
      <c r="W9" s="203"/>
      <c r="X9" s="291"/>
      <c r="Y9" s="291"/>
    </row>
    <row r="10" spans="1:25" s="166" customFormat="1" ht="12.65" customHeight="1" x14ac:dyDescent="0.25">
      <c r="B10" s="1128"/>
      <c r="C10" s="1128"/>
      <c r="D10" s="1128"/>
      <c r="E10" s="1128"/>
      <c r="F10" s="1128"/>
      <c r="G10" s="788"/>
      <c r="H10" s="456"/>
      <c r="I10" s="456"/>
      <c r="J10" s="456"/>
      <c r="K10" s="456"/>
      <c r="L10" s="456"/>
      <c r="M10" s="456"/>
      <c r="Q10" s="291"/>
      <c r="R10" s="291"/>
      <c r="S10" s="203"/>
      <c r="T10" s="203"/>
      <c r="U10" s="203"/>
      <c r="V10" s="203"/>
      <c r="W10" s="203"/>
      <c r="X10" s="291"/>
      <c r="Y10" s="291"/>
    </row>
    <row r="11" spans="1:25" s="166" customFormat="1" ht="12.65" customHeight="1" x14ac:dyDescent="0.25">
      <c r="B11" s="1128"/>
      <c r="C11" s="1128"/>
      <c r="D11" s="1128"/>
      <c r="E11" s="1128"/>
      <c r="F11" s="1128"/>
      <c r="G11" s="788"/>
      <c r="H11" s="456"/>
      <c r="I11" s="456"/>
      <c r="J11" s="456"/>
      <c r="K11" s="456"/>
      <c r="L11" s="456"/>
      <c r="M11" s="456"/>
      <c r="Q11" s="291"/>
      <c r="R11" s="291"/>
      <c r="S11" s="203"/>
      <c r="T11" s="203"/>
      <c r="U11" s="203"/>
      <c r="V11" s="203"/>
      <c r="W11" s="203"/>
      <c r="X11" s="291"/>
      <c r="Y11" s="291"/>
    </row>
    <row r="12" spans="1:25" s="166" customFormat="1" ht="12.65" customHeight="1" x14ac:dyDescent="0.25">
      <c r="B12" s="1128"/>
      <c r="C12" s="1128"/>
      <c r="D12" s="1128"/>
      <c r="E12" s="1128"/>
      <c r="F12" s="1128"/>
      <c r="G12" s="788"/>
      <c r="H12" s="456"/>
      <c r="I12" s="456"/>
      <c r="J12" s="456"/>
      <c r="K12" s="456"/>
      <c r="L12" s="456"/>
      <c r="M12" s="456"/>
      <c r="Q12" s="291"/>
      <c r="R12" s="291"/>
      <c r="S12" s="203"/>
      <c r="T12" s="203"/>
      <c r="U12" s="203"/>
      <c r="V12" s="203"/>
      <c r="W12" s="203"/>
      <c r="X12" s="291"/>
      <c r="Y12" s="291"/>
    </row>
    <row r="13" spans="1:25" s="166" customFormat="1" ht="30.75" customHeight="1" x14ac:dyDescent="0.25">
      <c r="B13" s="1128"/>
      <c r="C13" s="1128"/>
      <c r="D13" s="1128"/>
      <c r="E13" s="1128"/>
      <c r="F13" s="1128"/>
      <c r="G13" s="788"/>
      <c r="H13" s="456"/>
      <c r="I13" s="456"/>
      <c r="J13" s="456"/>
      <c r="K13" s="456"/>
      <c r="L13" s="456"/>
      <c r="M13" s="456"/>
      <c r="Q13" s="291"/>
      <c r="R13" s="291"/>
      <c r="S13" s="203"/>
      <c r="T13" s="203"/>
      <c r="U13" s="203"/>
      <c r="V13" s="203"/>
      <c r="W13" s="203"/>
      <c r="X13" s="291"/>
      <c r="Y13" s="291"/>
    </row>
    <row r="14" spans="1:25" s="166" customFormat="1" x14ac:dyDescent="0.25">
      <c r="Q14" s="291"/>
      <c r="R14" s="291"/>
      <c r="S14" s="203"/>
      <c r="T14" s="203"/>
      <c r="U14" s="203"/>
      <c r="V14" s="203"/>
      <c r="W14" s="203"/>
      <c r="X14" s="291"/>
      <c r="Y14" s="291"/>
    </row>
    <row r="15" spans="1:25" x14ac:dyDescent="0.25">
      <c r="Q15" s="512"/>
      <c r="R15" s="512"/>
      <c r="S15" s="490" t="str">
        <f>+TITELBLAD!C10</f>
        <v>elektriciteit</v>
      </c>
      <c r="T15" s="490"/>
      <c r="U15" s="490"/>
      <c r="V15" s="490"/>
      <c r="W15" s="490"/>
      <c r="X15" s="512"/>
      <c r="Y15" s="512"/>
    </row>
    <row r="16" spans="1:25" ht="15" customHeight="1" thickBot="1" x14ac:dyDescent="0.3">
      <c r="R16" s="490"/>
      <c r="S16" s="490" t="str">
        <f>+TITELBLAD!B16</f>
        <v>Rapportering over boekjaar:</v>
      </c>
      <c r="T16" s="490"/>
      <c r="U16" s="490"/>
      <c r="V16" s="490">
        <f>+TITELBLAD!E16</f>
        <v>2022</v>
      </c>
      <c r="W16" s="490" t="str">
        <f>+TITELBLAD!F16</f>
        <v>ex-post</v>
      </c>
    </row>
    <row r="17" spans="1:23" ht="71.25" customHeight="1" thickBot="1" x14ac:dyDescent="0.3">
      <c r="A17" s="1140"/>
      <c r="B17" s="1141"/>
      <c r="C17" s="1142"/>
      <c r="D17" s="210"/>
      <c r="E17" s="1146" t="str">
        <f>"Werkelijke opbrengsten uit periodieke distributienettarieven in boekjaar "&amp;TITELBLAD!E16&amp;" (gas-afname)"</f>
        <v>Werkelijke opbrengsten uit periodieke distributienettarieven in boekjaar 2022 (gas-afname)</v>
      </c>
      <c r="F17" s="1147"/>
      <c r="G17" s="1147"/>
      <c r="H17" s="1147"/>
      <c r="I17" s="1147"/>
      <c r="J17" s="1147"/>
      <c r="K17" s="1147"/>
      <c r="L17" s="1148"/>
      <c r="M17" s="684" t="s">
        <v>94</v>
      </c>
      <c r="O17" s="209" t="str">
        <f>"Werkelijke opbrengsten m.b.t. endogene kosten in boekjaar "&amp;TITELBLAD!E16&amp;" (gas-afname)"</f>
        <v>Werkelijke opbrengsten m.b.t. endogene kosten in boekjaar 2022 (gas-afname)</v>
      </c>
      <c r="Q17" s="209" t="str">
        <f>"Werkelijke opbrengsten m.b.t. exogene kosten in boekjaar "&amp;TITELBLAD!E16&amp;" (gas-afname)"</f>
        <v>Werkelijke opbrengsten m.b.t. exogene kosten in boekjaar 2022 (gas-afname)</v>
      </c>
      <c r="R17" s="490"/>
      <c r="S17" s="490"/>
      <c r="T17" s="490"/>
      <c r="U17" s="490"/>
      <c r="V17" s="490"/>
      <c r="W17" s="490"/>
    </row>
    <row r="18" spans="1:23" s="121" customFormat="1" ht="23.5" customHeight="1" thickBot="1" x14ac:dyDescent="0.3">
      <c r="A18" s="1143"/>
      <c r="B18" s="1144"/>
      <c r="C18" s="1145"/>
      <c r="D18" s="210"/>
      <c r="E18" s="715" t="s">
        <v>221</v>
      </c>
      <c r="F18" s="716" t="s">
        <v>222</v>
      </c>
      <c r="G18" s="716" t="s">
        <v>223</v>
      </c>
      <c r="H18" s="716" t="s">
        <v>224</v>
      </c>
      <c r="I18" s="716" t="s">
        <v>225</v>
      </c>
      <c r="J18" s="716" t="s">
        <v>226</v>
      </c>
      <c r="K18" s="716" t="s">
        <v>227</v>
      </c>
      <c r="L18" s="717" t="s">
        <v>20</v>
      </c>
      <c r="M18" s="718"/>
      <c r="O18" s="683" t="s">
        <v>372</v>
      </c>
      <c r="P18" s="709"/>
      <c r="Q18" s="683" t="s">
        <v>373</v>
      </c>
      <c r="S18" s="490"/>
      <c r="T18" s="490"/>
      <c r="U18" s="490"/>
      <c r="V18" s="490"/>
      <c r="W18" s="490"/>
    </row>
    <row r="19" spans="1:23" s="121" customFormat="1" ht="18.75" customHeight="1" x14ac:dyDescent="0.25">
      <c r="A19" s="494" t="s">
        <v>217</v>
      </c>
      <c r="B19" s="102"/>
      <c r="C19" s="103"/>
      <c r="D19" s="104"/>
      <c r="E19" s="496">
        <f t="shared" ref="E19:L19" si="0">SUM(E21,E27,E24)</f>
        <v>0</v>
      </c>
      <c r="F19" s="505">
        <f t="shared" si="0"/>
        <v>0</v>
      </c>
      <c r="G19" s="505">
        <f t="shared" si="0"/>
        <v>0</v>
      </c>
      <c r="H19" s="505">
        <f t="shared" si="0"/>
        <v>0</v>
      </c>
      <c r="I19" s="505">
        <f t="shared" si="0"/>
        <v>0</v>
      </c>
      <c r="J19" s="505">
        <f t="shared" si="0"/>
        <v>0</v>
      </c>
      <c r="K19" s="505">
        <f t="shared" si="0"/>
        <v>0</v>
      </c>
      <c r="L19" s="498">
        <f t="shared" si="0"/>
        <v>0</v>
      </c>
      <c r="M19" s="685"/>
      <c r="O19" s="150">
        <f>SUM(O21,O27,O24)</f>
        <v>0</v>
      </c>
      <c r="Q19" s="150">
        <f>SUM(Q21,Q27,Q24)</f>
        <v>0</v>
      </c>
      <c r="S19" s="490"/>
      <c r="T19" s="490"/>
      <c r="U19" s="490"/>
      <c r="V19" s="490"/>
      <c r="W19" s="490"/>
    </row>
    <row r="20" spans="1:23" s="491" customFormat="1" ht="18" customHeight="1" x14ac:dyDescent="0.25">
      <c r="A20" s="105"/>
      <c r="B20" s="102"/>
      <c r="C20" s="103"/>
      <c r="D20" s="104"/>
      <c r="E20" s="105"/>
      <c r="F20" s="506"/>
      <c r="G20" s="506"/>
      <c r="H20" s="506"/>
      <c r="I20" s="506"/>
      <c r="J20" s="506"/>
      <c r="K20" s="506"/>
      <c r="L20" s="499"/>
      <c r="M20" s="686"/>
      <c r="O20" s="151"/>
      <c r="Q20" s="151"/>
      <c r="S20" s="513"/>
      <c r="T20" s="513"/>
      <c r="U20" s="513"/>
      <c r="V20" s="513"/>
      <c r="W20" s="513"/>
    </row>
    <row r="21" spans="1:23" s="121" customFormat="1" ht="18" customHeight="1" x14ac:dyDescent="0.25">
      <c r="A21" s="106"/>
      <c r="B21" s="495" t="s">
        <v>233</v>
      </c>
      <c r="C21" s="108"/>
      <c r="D21" s="109"/>
      <c r="E21" s="826">
        <v>0</v>
      </c>
      <c r="F21" s="827">
        <v>0</v>
      </c>
      <c r="G21" s="827">
        <v>0</v>
      </c>
      <c r="H21" s="827">
        <v>0</v>
      </c>
      <c r="I21" s="827">
        <v>0</v>
      </c>
      <c r="J21" s="827">
        <v>0</v>
      </c>
      <c r="K21" s="827">
        <v>0</v>
      </c>
      <c r="L21" s="508">
        <f>SUM(E21:K21)</f>
        <v>0</v>
      </c>
      <c r="M21" s="828">
        <v>0</v>
      </c>
      <c r="O21" s="152">
        <f>L21*M21</f>
        <v>0</v>
      </c>
      <c r="Q21" s="152">
        <f>L21-O21</f>
        <v>0</v>
      </c>
    </row>
    <row r="22" spans="1:23" s="121" customFormat="1" ht="18" customHeight="1" x14ac:dyDescent="0.25">
      <c r="A22" s="105"/>
      <c r="B22" s="110"/>
      <c r="C22" s="111"/>
      <c r="D22" s="112"/>
      <c r="E22" s="161"/>
      <c r="F22" s="500"/>
      <c r="G22" s="500"/>
      <c r="H22" s="500"/>
      <c r="I22" s="500"/>
      <c r="J22" s="500"/>
      <c r="K22" s="500"/>
      <c r="L22" s="500"/>
      <c r="M22" s="687"/>
      <c r="O22" s="153"/>
      <c r="Q22" s="153"/>
    </row>
    <row r="23" spans="1:23" s="121" customFormat="1" ht="18" customHeight="1" x14ac:dyDescent="0.25">
      <c r="A23" s="105"/>
      <c r="B23" s="102"/>
      <c r="C23" s="113"/>
      <c r="D23" s="114"/>
      <c r="E23" s="162"/>
      <c r="F23" s="501"/>
      <c r="G23" s="501"/>
      <c r="H23" s="501"/>
      <c r="I23" s="501"/>
      <c r="J23" s="501"/>
      <c r="K23" s="501"/>
      <c r="L23" s="501"/>
      <c r="M23" s="688"/>
      <c r="O23" s="154"/>
      <c r="Q23" s="154"/>
    </row>
    <row r="24" spans="1:23" s="121" customFormat="1" ht="19.5" customHeight="1" x14ac:dyDescent="0.25">
      <c r="A24" s="106"/>
      <c r="B24" s="495" t="s">
        <v>218</v>
      </c>
      <c r="C24" s="111"/>
      <c r="D24" s="112"/>
      <c r="E24" s="826">
        <v>0</v>
      </c>
      <c r="F24" s="827">
        <v>0</v>
      </c>
      <c r="G24" s="827">
        <v>0</v>
      </c>
      <c r="H24" s="827">
        <v>0</v>
      </c>
      <c r="I24" s="827">
        <v>0</v>
      </c>
      <c r="J24" s="827">
        <v>0</v>
      </c>
      <c r="K24" s="827">
        <v>0</v>
      </c>
      <c r="L24" s="508">
        <f>SUM(E24:K24)</f>
        <v>0</v>
      </c>
      <c r="M24" s="828">
        <v>0</v>
      </c>
      <c r="O24" s="152">
        <f>L24*M24</f>
        <v>0</v>
      </c>
      <c r="Q24" s="152">
        <f>L24-O24</f>
        <v>0</v>
      </c>
    </row>
    <row r="25" spans="1:23" s="121" customFormat="1" ht="14.25" customHeight="1" x14ac:dyDescent="0.25">
      <c r="A25" s="105"/>
      <c r="B25" s="102"/>
      <c r="C25" s="113"/>
      <c r="D25" s="114"/>
      <c r="E25" s="163"/>
      <c r="F25" s="501"/>
      <c r="G25" s="501"/>
      <c r="H25" s="501"/>
      <c r="I25" s="501"/>
      <c r="J25" s="501"/>
      <c r="K25" s="501"/>
      <c r="L25" s="501"/>
      <c r="M25" s="688"/>
      <c r="O25" s="154"/>
      <c r="Q25" s="154"/>
    </row>
    <row r="26" spans="1:23" s="121" customFormat="1" ht="14.25" customHeight="1" x14ac:dyDescent="0.25">
      <c r="A26" s="105"/>
      <c r="B26" s="102"/>
      <c r="C26" s="113"/>
      <c r="D26" s="114"/>
      <c r="E26" s="163"/>
      <c r="F26" s="501"/>
      <c r="G26" s="501"/>
      <c r="H26" s="501"/>
      <c r="I26" s="501"/>
      <c r="J26" s="501"/>
      <c r="K26" s="501"/>
      <c r="L26" s="501"/>
      <c r="M26" s="688"/>
      <c r="O26" s="154"/>
      <c r="Q26" s="154"/>
    </row>
    <row r="27" spans="1:23" s="121" customFormat="1" ht="18" customHeight="1" x14ac:dyDescent="0.25">
      <c r="A27" s="106"/>
      <c r="B27" s="495" t="s">
        <v>219</v>
      </c>
      <c r="C27" s="113"/>
      <c r="D27" s="114"/>
      <c r="E27" s="826">
        <v>0</v>
      </c>
      <c r="F27" s="827">
        <v>0</v>
      </c>
      <c r="G27" s="827">
        <v>0</v>
      </c>
      <c r="H27" s="827">
        <v>0</v>
      </c>
      <c r="I27" s="827">
        <v>0</v>
      </c>
      <c r="J27" s="827">
        <v>0</v>
      </c>
      <c r="K27" s="827">
        <v>0</v>
      </c>
      <c r="L27" s="508">
        <f>SUM(E27:K27)</f>
        <v>0</v>
      </c>
      <c r="M27" s="828">
        <v>0</v>
      </c>
      <c r="O27" s="152">
        <f>L27*M27</f>
        <v>0</v>
      </c>
      <c r="Q27" s="152">
        <f>L27-O27</f>
        <v>0</v>
      </c>
    </row>
    <row r="28" spans="1:23" s="121" customFormat="1" ht="21" customHeight="1" x14ac:dyDescent="0.25">
      <c r="A28" s="105"/>
      <c r="B28" s="110"/>
      <c r="C28" s="111"/>
      <c r="D28" s="112"/>
      <c r="E28" s="161"/>
      <c r="F28" s="500"/>
      <c r="G28" s="500"/>
      <c r="H28" s="500"/>
      <c r="I28" s="500"/>
      <c r="J28" s="500"/>
      <c r="K28" s="500"/>
      <c r="L28" s="500"/>
      <c r="M28" s="687"/>
      <c r="O28" s="153"/>
      <c r="Q28" s="153"/>
    </row>
    <row r="29" spans="1:23" s="121" customFormat="1" ht="18" customHeight="1" x14ac:dyDescent="0.25">
      <c r="A29" s="105"/>
      <c r="B29" s="102"/>
      <c r="C29" s="113"/>
      <c r="D29" s="114"/>
      <c r="E29" s="162"/>
      <c r="F29" s="501"/>
      <c r="G29" s="501"/>
      <c r="H29" s="501"/>
      <c r="I29" s="501"/>
      <c r="J29" s="501"/>
      <c r="K29" s="501"/>
      <c r="L29" s="501"/>
      <c r="M29" s="688"/>
      <c r="O29" s="154"/>
      <c r="Q29" s="154"/>
    </row>
    <row r="30" spans="1:23" s="121" customFormat="1" ht="18" customHeight="1" x14ac:dyDescent="0.25">
      <c r="A30" s="494" t="s">
        <v>237</v>
      </c>
      <c r="B30" s="102"/>
      <c r="C30" s="111"/>
      <c r="D30" s="112"/>
      <c r="E30" s="829">
        <v>0</v>
      </c>
      <c r="F30" s="830">
        <v>0</v>
      </c>
      <c r="G30" s="830">
        <v>0</v>
      </c>
      <c r="H30" s="830">
        <v>0</v>
      </c>
      <c r="I30" s="830">
        <v>0</v>
      </c>
      <c r="J30" s="830">
        <v>0</v>
      </c>
      <c r="K30" s="830">
        <v>0</v>
      </c>
      <c r="L30" s="509">
        <f>SUM(E30:K30)</f>
        <v>0</v>
      </c>
      <c r="M30" s="825">
        <v>0</v>
      </c>
      <c r="O30" s="150">
        <f>L30*M30</f>
        <v>0</v>
      </c>
      <c r="Q30" s="150">
        <f>L30-O30</f>
        <v>0</v>
      </c>
    </row>
    <row r="31" spans="1:23" s="121" customFormat="1" ht="18" customHeight="1" x14ac:dyDescent="0.25">
      <c r="A31" s="105"/>
      <c r="B31" s="102"/>
      <c r="C31" s="113"/>
      <c r="D31" s="114"/>
      <c r="E31" s="162"/>
      <c r="F31" s="501"/>
      <c r="G31" s="501"/>
      <c r="H31" s="501"/>
      <c r="I31" s="501"/>
      <c r="J31" s="501"/>
      <c r="K31" s="501"/>
      <c r="L31" s="501"/>
      <c r="M31" s="688"/>
      <c r="O31" s="154"/>
      <c r="Q31" s="154"/>
    </row>
    <row r="32" spans="1:23" s="121" customFormat="1" ht="18" customHeight="1" x14ac:dyDescent="0.25">
      <c r="A32" s="105"/>
      <c r="B32" s="102"/>
      <c r="C32" s="113"/>
      <c r="D32" s="114"/>
      <c r="E32" s="162"/>
      <c r="F32" s="501"/>
      <c r="G32" s="501"/>
      <c r="H32" s="501"/>
      <c r="I32" s="501"/>
      <c r="J32" s="501"/>
      <c r="K32" s="501"/>
      <c r="L32" s="501"/>
      <c r="M32" s="688"/>
      <c r="O32" s="154"/>
      <c r="Q32" s="154"/>
    </row>
    <row r="33" spans="1:17" s="121" customFormat="1" ht="22.5" customHeight="1" x14ac:dyDescent="0.25">
      <c r="A33" s="494" t="s">
        <v>220</v>
      </c>
      <c r="B33" s="102"/>
      <c r="C33" s="113"/>
      <c r="D33" s="114"/>
      <c r="E33" s="829">
        <v>0</v>
      </c>
      <c r="F33" s="830">
        <v>0</v>
      </c>
      <c r="G33" s="830">
        <v>0</v>
      </c>
      <c r="H33" s="830">
        <v>0</v>
      </c>
      <c r="I33" s="830">
        <v>0</v>
      </c>
      <c r="J33" s="830">
        <v>0</v>
      </c>
      <c r="K33" s="830">
        <v>0</v>
      </c>
      <c r="L33" s="509">
        <f>SUM(E33:K33)</f>
        <v>0</v>
      </c>
      <c r="M33" s="825">
        <v>0</v>
      </c>
      <c r="O33" s="150">
        <f>L33*M33</f>
        <v>0</v>
      </c>
      <c r="Q33" s="150">
        <f>L33-O33</f>
        <v>0</v>
      </c>
    </row>
    <row r="34" spans="1:17" s="121" customFormat="1" ht="18" customHeight="1" x14ac:dyDescent="0.25">
      <c r="A34" s="115"/>
      <c r="B34" s="107"/>
      <c r="C34" s="111"/>
      <c r="D34" s="112"/>
      <c r="E34" s="164"/>
      <c r="F34" s="502"/>
      <c r="G34" s="502"/>
      <c r="H34" s="502"/>
      <c r="I34" s="502"/>
      <c r="J34" s="502"/>
      <c r="K34" s="502"/>
      <c r="L34" s="510"/>
      <c r="M34" s="689"/>
      <c r="O34" s="155"/>
      <c r="Q34" s="155"/>
    </row>
    <row r="35" spans="1:17" s="121" customFormat="1" ht="14.25" customHeight="1" thickBot="1" x14ac:dyDescent="0.3">
      <c r="A35" s="115"/>
      <c r="B35" s="116"/>
      <c r="C35" s="117"/>
      <c r="D35" s="112"/>
      <c r="E35" s="112"/>
      <c r="F35" s="507"/>
      <c r="G35" s="507"/>
      <c r="H35" s="507"/>
      <c r="I35" s="507"/>
      <c r="J35" s="507"/>
      <c r="K35" s="507"/>
      <c r="L35" s="503"/>
      <c r="M35" s="690"/>
      <c r="O35" s="156"/>
      <c r="Q35" s="156"/>
    </row>
    <row r="36" spans="1:17" s="121" customFormat="1" ht="21" customHeight="1" thickBot="1" x14ac:dyDescent="0.3">
      <c r="A36" s="118"/>
      <c r="B36" s="119" t="s">
        <v>231</v>
      </c>
      <c r="C36" s="120"/>
      <c r="D36" s="112"/>
      <c r="E36" s="497">
        <f t="shared" ref="E36:L36" si="1">+SUM(E19,E30,E33)</f>
        <v>0</v>
      </c>
      <c r="F36" s="504">
        <f t="shared" si="1"/>
        <v>0</v>
      </c>
      <c r="G36" s="504">
        <f t="shared" si="1"/>
        <v>0</v>
      </c>
      <c r="H36" s="504">
        <f t="shared" si="1"/>
        <v>0</v>
      </c>
      <c r="I36" s="504">
        <f t="shared" si="1"/>
        <v>0</v>
      </c>
      <c r="J36" s="504">
        <f t="shared" si="1"/>
        <v>0</v>
      </c>
      <c r="K36" s="504">
        <f t="shared" si="1"/>
        <v>0</v>
      </c>
      <c r="L36" s="504">
        <f t="shared" si="1"/>
        <v>0</v>
      </c>
      <c r="M36" s="149"/>
      <c r="O36" s="157">
        <f>+SUM(O19,O30,O33)</f>
        <v>0</v>
      </c>
      <c r="Q36" s="157">
        <f>+SUM(Q19,Q30,Q33)</f>
        <v>0</v>
      </c>
    </row>
    <row r="38" spans="1:17" ht="13" x14ac:dyDescent="0.25">
      <c r="C38" s="492"/>
      <c r="E38" s="493"/>
      <c r="F38" s="493"/>
      <c r="G38" s="493"/>
      <c r="H38" s="493"/>
      <c r="I38" s="493"/>
      <c r="J38" s="493"/>
      <c r="K38" s="493"/>
      <c r="L38" s="493"/>
      <c r="M38" s="493"/>
    </row>
  </sheetData>
  <sheetProtection algorithmName="SHA-512" hashValue="oawEYBYnoICci7aaPCAgki98TNvsHTLb5jXnjFZoFzlwSuCDBiL/HbSseWiAqAbXh0HEnBgzJ2re6CJwuJqL+Q==" saltValue="6uT6HlM9npqzj3xsqnd5zg==" spinCount="100000" sheet="1" objects="1" scenarios="1"/>
  <mergeCells count="4">
    <mergeCell ref="A17:C18"/>
    <mergeCell ref="B5:F13"/>
    <mergeCell ref="E17:L17"/>
    <mergeCell ref="A1:Q1"/>
  </mergeCells>
  <conditionalFormatting sqref="A1:XFD1048576">
    <cfRule type="expression" dxfId="28" priority="1">
      <formula>$W$16="ex-ante"</formula>
    </cfRule>
    <cfRule type="expression" dxfId="27" priority="2">
      <formula>$S$15="elektriciteit"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0975-2D20-4D95-A879-AA50E15E71FF}">
  <sheetPr codeName="Blad10">
    <pageSetUpPr fitToPage="1"/>
  </sheetPr>
  <dimension ref="A1:R29"/>
  <sheetViews>
    <sheetView zoomScale="80" zoomScaleNormal="80" workbookViewId="0">
      <selection activeCell="J19" sqref="J19"/>
    </sheetView>
  </sheetViews>
  <sheetFormatPr defaultColWidth="9.1796875" defaultRowHeight="12.5" x14ac:dyDescent="0.25"/>
  <cols>
    <col min="1" max="1" width="8.54296875" style="489" customWidth="1"/>
    <col min="2" max="2" width="47.1796875" style="489" customWidth="1"/>
    <col min="3" max="3" width="3.81640625" style="489" customWidth="1"/>
    <col min="4" max="4" width="3.7265625" style="489" customWidth="1"/>
    <col min="5" max="6" width="20.7265625" style="489" customWidth="1"/>
    <col min="7" max="7" width="3.453125" style="489" customWidth="1"/>
    <col min="8" max="8" width="25.7265625" style="489" customWidth="1"/>
    <col min="9" max="9" width="3.453125" style="489" customWidth="1"/>
    <col min="10" max="10" width="25.7265625" style="489" customWidth="1"/>
    <col min="11" max="16384" width="9.1796875" style="489"/>
  </cols>
  <sheetData>
    <row r="1" spans="1:18" ht="18.5" thickBot="1" x14ac:dyDescent="0.3">
      <c r="A1" s="1067" t="str">
        <f>"TABEL 5F: Werkelijke opbrengsten uit periodieke distributienettarieven in boekjaar "&amp;TITELBLAD!E16&amp;" (gas - injectie)"</f>
        <v>TABEL 5F: Werkelijke opbrengsten uit periodieke distributienettarieven in boekjaar 2022 (gas - injectie)</v>
      </c>
      <c r="B1" s="1068"/>
      <c r="C1" s="1068"/>
      <c r="D1" s="1068"/>
      <c r="E1" s="1068"/>
      <c r="F1" s="1068"/>
      <c r="G1" s="1068"/>
      <c r="H1" s="1068"/>
      <c r="I1" s="1068"/>
      <c r="J1" s="1069"/>
      <c r="K1" s="511"/>
      <c r="L1" s="512"/>
      <c r="M1" s="512"/>
      <c r="N1" s="512"/>
      <c r="O1" s="512"/>
      <c r="P1" s="512"/>
      <c r="Q1" s="512"/>
      <c r="R1" s="512"/>
    </row>
    <row r="2" spans="1:18" x14ac:dyDescent="0.25">
      <c r="J2" s="512"/>
      <c r="K2" s="512"/>
      <c r="L2" s="512"/>
      <c r="M2" s="512"/>
      <c r="N2" s="512"/>
      <c r="O2" s="512"/>
      <c r="P2" s="512"/>
      <c r="Q2" s="512"/>
      <c r="R2" s="512"/>
    </row>
    <row r="3" spans="1:18" s="166" customFormat="1" x14ac:dyDescent="0.25">
      <c r="J3" s="291"/>
      <c r="K3" s="291"/>
      <c r="L3" s="291"/>
      <c r="M3" s="291"/>
      <c r="N3" s="291"/>
      <c r="O3" s="291"/>
      <c r="P3" s="291"/>
      <c r="Q3" s="291"/>
      <c r="R3" s="291"/>
    </row>
    <row r="4" spans="1:18" s="166" customFormat="1" ht="13" x14ac:dyDescent="0.25">
      <c r="B4" s="353" t="s">
        <v>99</v>
      </c>
      <c r="J4" s="291"/>
      <c r="K4" s="291"/>
      <c r="L4" s="291"/>
      <c r="M4" s="291"/>
      <c r="N4" s="291"/>
      <c r="O4" s="291"/>
      <c r="P4" s="291"/>
      <c r="Q4" s="291"/>
      <c r="R4" s="291"/>
    </row>
    <row r="5" spans="1:18" s="166" customFormat="1" ht="12.65" customHeight="1" x14ac:dyDescent="0.25">
      <c r="B5" s="1128" t="s">
        <v>228</v>
      </c>
      <c r="C5" s="1128"/>
      <c r="D5" s="1128"/>
      <c r="E5" s="1128"/>
      <c r="F5" s="1128"/>
      <c r="J5" s="291"/>
      <c r="K5" s="291"/>
      <c r="L5" s="291"/>
      <c r="M5" s="291"/>
      <c r="N5" s="291"/>
      <c r="O5" s="291"/>
      <c r="P5" s="291"/>
      <c r="Q5" s="291"/>
      <c r="R5" s="291"/>
    </row>
    <row r="6" spans="1:18" s="166" customFormat="1" ht="12.65" customHeight="1" x14ac:dyDescent="0.25">
      <c r="B6" s="1128"/>
      <c r="C6" s="1128"/>
      <c r="D6" s="1128"/>
      <c r="E6" s="1128"/>
      <c r="F6" s="1128"/>
      <c r="J6" s="291"/>
      <c r="K6" s="291"/>
      <c r="L6" s="203"/>
      <c r="M6" s="203"/>
      <c r="N6" s="203"/>
      <c r="O6" s="203"/>
      <c r="P6" s="203"/>
      <c r="Q6" s="291"/>
      <c r="R6" s="291"/>
    </row>
    <row r="7" spans="1:18" s="166" customFormat="1" ht="12.65" customHeight="1" x14ac:dyDescent="0.25">
      <c r="B7" s="1128"/>
      <c r="C7" s="1128"/>
      <c r="D7" s="1128"/>
      <c r="E7" s="1128"/>
      <c r="F7" s="1128"/>
      <c r="J7" s="291"/>
      <c r="K7" s="291"/>
      <c r="L7" s="203"/>
      <c r="M7" s="203"/>
      <c r="N7" s="203"/>
      <c r="O7" s="203"/>
      <c r="P7" s="203"/>
      <c r="Q7" s="291"/>
      <c r="R7" s="291"/>
    </row>
    <row r="8" spans="1:18" s="166" customFormat="1" ht="12.65" customHeight="1" x14ac:dyDescent="0.25">
      <c r="B8" s="1128"/>
      <c r="C8" s="1128"/>
      <c r="D8" s="1128"/>
      <c r="E8" s="1128"/>
      <c r="F8" s="1128"/>
      <c r="J8" s="291"/>
      <c r="K8" s="291"/>
      <c r="L8" s="203"/>
      <c r="M8" s="203"/>
      <c r="N8" s="203"/>
      <c r="O8" s="203"/>
      <c r="P8" s="203"/>
      <c r="Q8" s="291"/>
      <c r="R8" s="291"/>
    </row>
    <row r="9" spans="1:18" s="166" customFormat="1" ht="12.65" customHeight="1" x14ac:dyDescent="0.25">
      <c r="B9" s="1128"/>
      <c r="C9" s="1128"/>
      <c r="D9" s="1128"/>
      <c r="E9" s="1128"/>
      <c r="F9" s="1128"/>
      <c r="J9" s="291"/>
      <c r="K9" s="291"/>
      <c r="L9" s="203"/>
      <c r="M9" s="203"/>
      <c r="N9" s="203"/>
      <c r="O9" s="203"/>
      <c r="P9" s="203"/>
      <c r="Q9" s="291"/>
      <c r="R9" s="291"/>
    </row>
    <row r="10" spans="1:18" s="166" customFormat="1" ht="12.65" customHeight="1" x14ac:dyDescent="0.25">
      <c r="B10" s="1128"/>
      <c r="C10" s="1128"/>
      <c r="D10" s="1128"/>
      <c r="E10" s="1128"/>
      <c r="F10" s="1128"/>
      <c r="J10" s="291"/>
      <c r="K10" s="291"/>
      <c r="L10" s="203"/>
      <c r="M10" s="203"/>
      <c r="N10" s="203"/>
      <c r="O10" s="203"/>
      <c r="P10" s="203"/>
      <c r="Q10" s="291"/>
      <c r="R10" s="291"/>
    </row>
    <row r="11" spans="1:18" s="166" customFormat="1" ht="12.65" customHeight="1" x14ac:dyDescent="0.25">
      <c r="B11" s="1128"/>
      <c r="C11" s="1128"/>
      <c r="D11" s="1128"/>
      <c r="E11" s="1128"/>
      <c r="F11" s="1128"/>
      <c r="J11" s="291"/>
      <c r="K11" s="291"/>
      <c r="L11" s="203"/>
      <c r="M11" s="203"/>
      <c r="N11" s="203"/>
      <c r="O11" s="203"/>
      <c r="P11" s="203"/>
      <c r="Q11" s="291"/>
      <c r="R11" s="291"/>
    </row>
    <row r="12" spans="1:18" s="166" customFormat="1" ht="12.65" customHeight="1" x14ac:dyDescent="0.25">
      <c r="B12" s="1128"/>
      <c r="C12" s="1128"/>
      <c r="D12" s="1128"/>
      <c r="E12" s="1128"/>
      <c r="F12" s="1128"/>
      <c r="J12" s="291"/>
      <c r="K12" s="291"/>
      <c r="L12" s="203"/>
      <c r="M12" s="203"/>
      <c r="N12" s="203"/>
      <c r="O12" s="203"/>
      <c r="P12" s="203"/>
      <c r="Q12" s="291"/>
      <c r="R12" s="291"/>
    </row>
    <row r="13" spans="1:18" s="166" customFormat="1" ht="34.5" customHeight="1" x14ac:dyDescent="0.25">
      <c r="B13" s="1128"/>
      <c r="C13" s="1128"/>
      <c r="D13" s="1128"/>
      <c r="E13" s="1128"/>
      <c r="F13" s="1128"/>
      <c r="J13" s="291"/>
      <c r="K13" s="291"/>
      <c r="L13" s="203"/>
      <c r="M13" s="203"/>
      <c r="N13" s="203"/>
      <c r="O13" s="203"/>
      <c r="P13" s="203"/>
      <c r="Q13" s="291"/>
      <c r="R13" s="291"/>
    </row>
    <row r="14" spans="1:18" s="166" customFormat="1" x14ac:dyDescent="0.25">
      <c r="J14" s="291"/>
      <c r="K14" s="291"/>
      <c r="L14" s="203"/>
      <c r="M14" s="203"/>
      <c r="N14" s="203"/>
      <c r="O14" s="203"/>
      <c r="P14" s="203"/>
      <c r="Q14" s="291"/>
      <c r="R14" s="291"/>
    </row>
    <row r="15" spans="1:18" x14ac:dyDescent="0.25">
      <c r="J15" s="512"/>
      <c r="K15" s="512"/>
      <c r="L15" s="490" t="str">
        <f>+TITELBLAD!C10</f>
        <v>elektriciteit</v>
      </c>
      <c r="M15" s="490"/>
      <c r="N15" s="490"/>
      <c r="O15" s="490"/>
      <c r="P15" s="490"/>
      <c r="Q15" s="512"/>
      <c r="R15" s="512"/>
    </row>
    <row r="16" spans="1:18" ht="15" customHeight="1" thickBot="1" x14ac:dyDescent="0.3">
      <c r="K16" s="490"/>
      <c r="L16" s="490" t="str">
        <f>+TITELBLAD!B16</f>
        <v>Rapportering over boekjaar:</v>
      </c>
      <c r="M16" s="490"/>
      <c r="N16" s="490"/>
      <c r="O16" s="490">
        <f>+TITELBLAD!E16</f>
        <v>2022</v>
      </c>
      <c r="P16" s="490" t="str">
        <f>+TITELBLAD!F16</f>
        <v>ex-post</v>
      </c>
    </row>
    <row r="17" spans="1:16" ht="99.75" customHeight="1" thickBot="1" x14ac:dyDescent="0.3">
      <c r="A17" s="1140"/>
      <c r="B17" s="1141"/>
      <c r="C17" s="1142"/>
      <c r="D17" s="210"/>
      <c r="E17" s="211" t="str">
        <f>"Werkelijke opbrengsten uit periodieke distributienettarieven in boekjaar "&amp;TITELBLAD!E16&amp;" (gas-injectie)"</f>
        <v>Werkelijke opbrengsten uit periodieke distributienettarieven in boekjaar 2022 (gas-injectie)</v>
      </c>
      <c r="F17" s="710" t="s">
        <v>94</v>
      </c>
      <c r="H17" s="209" t="str">
        <f>"Werkelijke opbrengsten m.b.t. endogene kosten in boekjaar "&amp;TITELBLAD!E16&amp;" (gas-injectie)"</f>
        <v>Werkelijke opbrengsten m.b.t. endogene kosten in boekjaar 2022 (gas-injectie)</v>
      </c>
      <c r="J17" s="209" t="str">
        <f>"Werkelijke opbrengsten m.b.t. exogene kosten in boekjaar "&amp;TITELBLAD!E16&amp;" (gas-injectie)"</f>
        <v>Werkelijke opbrengsten m.b.t. exogene kosten in boekjaar 2022 (gas-injectie)</v>
      </c>
      <c r="K17" s="490"/>
      <c r="L17" s="490"/>
      <c r="M17" s="490"/>
      <c r="N17" s="490"/>
      <c r="O17" s="490"/>
      <c r="P17" s="490"/>
    </row>
    <row r="18" spans="1:16" s="121" customFormat="1" ht="23.5" customHeight="1" thickBot="1" x14ac:dyDescent="0.3">
      <c r="A18" s="1143"/>
      <c r="B18" s="1144"/>
      <c r="C18" s="1145"/>
      <c r="D18" s="210"/>
      <c r="E18" s="713" t="s">
        <v>20</v>
      </c>
      <c r="F18" s="714"/>
      <c r="G18" s="709"/>
      <c r="H18" s="683" t="s">
        <v>372</v>
      </c>
      <c r="I18" s="709"/>
      <c r="J18" s="683" t="s">
        <v>373</v>
      </c>
      <c r="L18" s="490"/>
      <c r="M18" s="490"/>
      <c r="N18" s="490"/>
      <c r="O18" s="490"/>
      <c r="P18" s="490"/>
    </row>
    <row r="19" spans="1:16" s="121" customFormat="1" ht="18.75" customHeight="1" x14ac:dyDescent="0.25">
      <c r="A19" s="494" t="s">
        <v>217</v>
      </c>
      <c r="B19" s="102"/>
      <c r="C19" s="103"/>
      <c r="D19" s="104"/>
      <c r="E19" s="145">
        <f>+SUM(E21,E24)</f>
        <v>0</v>
      </c>
      <c r="F19" s="685"/>
      <c r="H19" s="150">
        <f>+SUM(H21,H24)</f>
        <v>0</v>
      </c>
      <c r="J19" s="150">
        <f>+SUM(J21,J24)</f>
        <v>0</v>
      </c>
      <c r="L19" s="490"/>
      <c r="M19" s="490"/>
      <c r="N19" s="490"/>
      <c r="O19" s="490"/>
      <c r="P19" s="490"/>
    </row>
    <row r="20" spans="1:16" s="491" customFormat="1" ht="18" customHeight="1" x14ac:dyDescent="0.25">
      <c r="A20" s="105"/>
      <c r="B20" s="102"/>
      <c r="C20" s="103"/>
      <c r="D20" s="104"/>
      <c r="E20" s="146"/>
      <c r="F20" s="686"/>
      <c r="H20" s="151"/>
      <c r="J20" s="151"/>
      <c r="L20" s="513"/>
      <c r="M20" s="513"/>
      <c r="N20" s="513"/>
      <c r="O20" s="513"/>
      <c r="P20" s="513"/>
    </row>
    <row r="21" spans="1:16" s="121" customFormat="1" ht="19.5" customHeight="1" x14ac:dyDescent="0.25">
      <c r="A21" s="106"/>
      <c r="B21" s="495" t="s">
        <v>229</v>
      </c>
      <c r="C21" s="111"/>
      <c r="D21" s="112"/>
      <c r="E21" s="831">
        <v>0</v>
      </c>
      <c r="F21" s="832">
        <v>0</v>
      </c>
      <c r="H21" s="152">
        <f>+E21*F21</f>
        <v>0</v>
      </c>
      <c r="J21" s="152">
        <f>+E21-H21</f>
        <v>0</v>
      </c>
    </row>
    <row r="22" spans="1:16" s="121" customFormat="1" ht="14.25" customHeight="1" x14ac:dyDescent="0.25">
      <c r="A22" s="105"/>
      <c r="B22" s="102"/>
      <c r="C22" s="113"/>
      <c r="D22" s="114"/>
      <c r="E22" s="514"/>
      <c r="F22" s="686"/>
      <c r="H22" s="154"/>
      <c r="J22" s="154"/>
    </row>
    <row r="23" spans="1:16" s="121" customFormat="1" ht="14.25" customHeight="1" x14ac:dyDescent="0.25">
      <c r="A23" s="105"/>
      <c r="B23" s="102"/>
      <c r="C23" s="113"/>
      <c r="D23" s="114"/>
      <c r="E23" s="514"/>
      <c r="F23" s="686"/>
      <c r="H23" s="154"/>
      <c r="J23" s="154"/>
    </row>
    <row r="24" spans="1:16" s="121" customFormat="1" ht="18" customHeight="1" x14ac:dyDescent="0.25">
      <c r="A24" s="106"/>
      <c r="B24" s="495" t="s">
        <v>230</v>
      </c>
      <c r="C24" s="113"/>
      <c r="D24" s="114"/>
      <c r="E24" s="831">
        <v>0</v>
      </c>
      <c r="F24" s="832">
        <v>0</v>
      </c>
      <c r="H24" s="152">
        <f>+E24*F24</f>
        <v>0</v>
      </c>
      <c r="J24" s="152">
        <f>+E24-H24</f>
        <v>0</v>
      </c>
    </row>
    <row r="25" spans="1:16" s="121" customFormat="1" ht="18" customHeight="1" x14ac:dyDescent="0.25">
      <c r="A25" s="115"/>
      <c r="B25" s="107"/>
      <c r="C25" s="111"/>
      <c r="D25" s="112"/>
      <c r="E25" s="515"/>
      <c r="F25" s="711"/>
      <c r="H25" s="155"/>
      <c r="J25" s="155"/>
    </row>
    <row r="26" spans="1:16" s="121" customFormat="1" ht="14.25" customHeight="1" thickBot="1" x14ac:dyDescent="0.3">
      <c r="A26" s="115"/>
      <c r="B26" s="116"/>
      <c r="C26" s="117"/>
      <c r="D26" s="112"/>
      <c r="E26" s="147"/>
      <c r="F26" s="690"/>
      <c r="H26" s="156"/>
      <c r="J26" s="156"/>
    </row>
    <row r="27" spans="1:16" s="121" customFormat="1" ht="21" customHeight="1" thickBot="1" x14ac:dyDescent="0.3">
      <c r="A27" s="118"/>
      <c r="B27" s="119" t="s">
        <v>232</v>
      </c>
      <c r="C27" s="120"/>
      <c r="D27" s="112"/>
      <c r="E27" s="148">
        <f>+E19</f>
        <v>0</v>
      </c>
      <c r="F27" s="712"/>
      <c r="H27" s="157">
        <f>+H19</f>
        <v>0</v>
      </c>
      <c r="J27" s="157">
        <f>+J19</f>
        <v>0</v>
      </c>
    </row>
    <row r="29" spans="1:16" ht="13" x14ac:dyDescent="0.25">
      <c r="C29" s="492"/>
      <c r="E29" s="493"/>
      <c r="F29" s="493"/>
    </row>
  </sheetData>
  <sheetProtection algorithmName="SHA-512" hashValue="ga2qZa1KM7TLwe7kONI8SwQFSc6zfx2+mMScY6SG1r8IhGlDD+JV0+uUkY+gs+FVlyFoQCIrLLzoF6fEY2W/EQ==" saltValue="IJR9GugQytSd87ogrS/vHA==" spinCount="100000" sheet="1" objects="1" scenarios="1"/>
  <mergeCells count="3">
    <mergeCell ref="A17:C18"/>
    <mergeCell ref="B5:F13"/>
    <mergeCell ref="A1:J1"/>
  </mergeCells>
  <conditionalFormatting sqref="A1:XFD1048576">
    <cfRule type="expression" dxfId="26" priority="21">
      <formula>$P$16="ex-ante"</formula>
    </cfRule>
    <cfRule type="expression" dxfId="25" priority="22">
      <formula>$L$15="elektriciteit"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pageSetUpPr fitToPage="1"/>
  </sheetPr>
  <dimension ref="A1:AE128"/>
  <sheetViews>
    <sheetView zoomScale="80" zoomScaleNormal="80" zoomScaleSheetLayoutView="80" workbookViewId="0">
      <selection activeCell="E54" sqref="E54"/>
    </sheetView>
  </sheetViews>
  <sheetFormatPr defaultColWidth="11.453125" defaultRowHeight="12.5" x14ac:dyDescent="0.25"/>
  <cols>
    <col min="1" max="1" width="25.453125" style="177" customWidth="1"/>
    <col min="2" max="2" width="28.26953125" style="177" customWidth="1"/>
    <col min="3" max="10" width="19.81640625" style="177" customWidth="1"/>
    <col min="11" max="11" width="2.26953125" style="177" customWidth="1"/>
    <col min="12" max="12" width="17.7265625" style="177" customWidth="1"/>
    <col min="13" max="13" width="2" style="177" customWidth="1"/>
    <col min="14" max="14" width="17.7265625" style="177" customWidth="1"/>
    <col min="15" max="15" width="28.7265625" style="177" bestFit="1" customWidth="1"/>
    <col min="16" max="16" width="14" style="177" customWidth="1"/>
    <col min="17" max="17" width="11.453125" style="177"/>
    <col min="18" max="18" width="12.26953125" style="177" bestFit="1" customWidth="1"/>
    <col min="19" max="16384" width="11.453125" style="177"/>
  </cols>
  <sheetData>
    <row r="1" spans="1:19" ht="21.75" customHeight="1" thickBot="1" x14ac:dyDescent="0.3">
      <c r="A1" s="1109" t="s">
        <v>102</v>
      </c>
      <c r="B1" s="1110"/>
      <c r="C1" s="1110"/>
      <c r="D1" s="1110"/>
      <c r="E1" s="1110"/>
      <c r="F1" s="1110"/>
      <c r="G1" s="1110"/>
      <c r="H1" s="1110"/>
      <c r="I1" s="1110"/>
      <c r="J1" s="1110"/>
      <c r="K1" s="1110"/>
      <c r="L1" s="1111"/>
      <c r="M1" s="212"/>
      <c r="N1" s="291"/>
      <c r="O1" s="531"/>
      <c r="P1" s="229"/>
      <c r="Q1" s="229"/>
      <c r="R1" s="223"/>
      <c r="S1" s="223"/>
    </row>
    <row r="2" spans="1:19" x14ac:dyDescent="0.25">
      <c r="A2" s="225"/>
      <c r="B2" s="225"/>
      <c r="C2" s="225"/>
      <c r="D2" s="225"/>
      <c r="E2" s="225"/>
      <c r="F2" s="225"/>
      <c r="G2" s="225"/>
      <c r="H2" s="225"/>
      <c r="I2" s="225"/>
      <c r="J2" s="225"/>
      <c r="K2" s="225"/>
      <c r="L2" s="225"/>
      <c r="M2" s="212"/>
      <c r="N2" s="291"/>
      <c r="O2" s="280"/>
      <c r="P2" s="229"/>
      <c r="Q2" s="229"/>
      <c r="R2" s="223"/>
      <c r="S2" s="223"/>
    </row>
    <row r="3" spans="1:19" x14ac:dyDescent="0.25">
      <c r="A3" s="225"/>
      <c r="B3" s="225"/>
      <c r="C3" s="225"/>
      <c r="D3" s="225"/>
      <c r="E3" s="225"/>
      <c r="F3" s="225"/>
      <c r="G3" s="225"/>
      <c r="H3" s="225"/>
      <c r="I3" s="225"/>
      <c r="J3" s="225"/>
      <c r="K3" s="225"/>
      <c r="L3" s="225"/>
      <c r="M3" s="212"/>
      <c r="N3" s="291"/>
      <c r="O3" s="280" t="str">
        <f>+TITELBLAD!B16</f>
        <v>Rapportering over boekjaar:</v>
      </c>
      <c r="P3" s="229">
        <f>+TITELBLAD!E16</f>
        <v>2022</v>
      </c>
      <c r="Q3" s="229" t="str">
        <f>+TITELBLAD!F16</f>
        <v>ex-post</v>
      </c>
      <c r="R3" s="223"/>
      <c r="S3" s="223"/>
    </row>
    <row r="4" spans="1:19" s="166" customFormat="1" ht="16.5" x14ac:dyDescent="0.25">
      <c r="A4" s="216"/>
      <c r="C4" s="1057" t="str">
        <f>+TITELBLAD!C7</f>
        <v>NAAM DNB</v>
      </c>
      <c r="D4" s="1058"/>
      <c r="E4" s="1058"/>
      <c r="F4" s="1058"/>
      <c r="G4" s="1058"/>
      <c r="H4" s="1058"/>
      <c r="I4" s="1058"/>
      <c r="J4" s="1059"/>
      <c r="K4" s="212"/>
      <c r="M4" s="203"/>
      <c r="N4" s="223"/>
      <c r="O4" s="229"/>
      <c r="P4" s="203"/>
      <c r="Q4" s="203"/>
      <c r="R4" s="291"/>
      <c r="S4" s="291"/>
    </row>
    <row r="5" spans="1:19" s="166" customFormat="1" ht="16.5" x14ac:dyDescent="0.25">
      <c r="A5" s="216"/>
      <c r="C5" s="1057" t="str">
        <f>+TITELBLAD!C10</f>
        <v>elektriciteit</v>
      </c>
      <c r="D5" s="1058"/>
      <c r="E5" s="1058"/>
      <c r="F5" s="1058"/>
      <c r="G5" s="1058"/>
      <c r="H5" s="1058"/>
      <c r="I5" s="1058"/>
      <c r="J5" s="1059"/>
      <c r="K5" s="212"/>
      <c r="M5" s="203"/>
      <c r="N5" s="291"/>
      <c r="O5" s="203"/>
      <c r="P5" s="203"/>
      <c r="Q5" s="203"/>
      <c r="R5" s="291"/>
      <c r="S5" s="291"/>
    </row>
    <row r="6" spans="1:19" s="166" customFormat="1" ht="17" thickBot="1" x14ac:dyDescent="0.3">
      <c r="A6" s="216"/>
      <c r="C6" s="1149" t="s">
        <v>19</v>
      </c>
      <c r="D6" s="1150"/>
      <c r="E6" s="1150"/>
      <c r="F6" s="1150"/>
      <c r="G6" s="1150"/>
      <c r="H6" s="1150"/>
      <c r="I6" s="1150"/>
      <c r="J6" s="1151"/>
      <c r="K6" s="212"/>
      <c r="N6" s="291"/>
      <c r="O6" s="203"/>
      <c r="P6" s="203"/>
      <c r="Q6" s="203"/>
      <c r="R6" s="291"/>
      <c r="S6" s="291"/>
    </row>
    <row r="7" spans="1:19" s="166" customFormat="1" ht="44.5" customHeight="1" thickBot="1" x14ac:dyDescent="0.3">
      <c r="A7" s="1169"/>
      <c r="B7" s="1170"/>
      <c r="C7" s="764">
        <v>2017</v>
      </c>
      <c r="D7" s="764">
        <v>2018</v>
      </c>
      <c r="E7" s="764">
        <v>2019</v>
      </c>
      <c r="F7" s="764">
        <v>2020</v>
      </c>
      <c r="G7" s="764">
        <v>2021</v>
      </c>
      <c r="H7" s="764">
        <v>2022</v>
      </c>
      <c r="I7" s="764">
        <v>2023</v>
      </c>
      <c r="J7" s="765">
        <v>2024</v>
      </c>
      <c r="K7" s="212"/>
      <c r="N7" s="291"/>
      <c r="O7" s="203"/>
      <c r="P7" s="203"/>
      <c r="Q7" s="203"/>
      <c r="R7" s="291"/>
      <c r="S7" s="291"/>
    </row>
    <row r="8" spans="1:19" s="166" customFormat="1" ht="29.15" customHeight="1" thickBot="1" x14ac:dyDescent="0.3">
      <c r="A8" s="1120" t="s">
        <v>121</v>
      </c>
      <c r="B8" s="1121"/>
      <c r="C8" s="680">
        <f t="shared" ref="C8:J8" si="0">SUM(C9:C16)</f>
        <v>0</v>
      </c>
      <c r="D8" s="680">
        <f t="shared" si="0"/>
        <v>0</v>
      </c>
      <c r="E8" s="680">
        <f t="shared" si="0"/>
        <v>0</v>
      </c>
      <c r="F8" s="680">
        <f t="shared" si="0"/>
        <v>0</v>
      </c>
      <c r="G8" s="680">
        <f t="shared" si="0"/>
        <v>0</v>
      </c>
      <c r="H8" s="680">
        <f t="shared" si="0"/>
        <v>0</v>
      </c>
      <c r="I8" s="680">
        <f t="shared" si="0"/>
        <v>0</v>
      </c>
      <c r="J8" s="681">
        <f t="shared" si="0"/>
        <v>0</v>
      </c>
      <c r="K8" s="212"/>
      <c r="N8" s="291"/>
      <c r="O8" s="291"/>
      <c r="P8" s="291"/>
      <c r="Q8" s="291"/>
      <c r="R8" s="291"/>
      <c r="S8" s="291"/>
    </row>
    <row r="9" spans="1:19" s="166" customFormat="1" ht="29.15" customHeight="1" x14ac:dyDescent="0.25">
      <c r="A9" s="1154" t="s">
        <v>89</v>
      </c>
      <c r="B9" s="1155"/>
      <c r="C9" s="754">
        <f>+T5A!E9</f>
        <v>0</v>
      </c>
      <c r="D9" s="754">
        <f>+T5A!F9</f>
        <v>0</v>
      </c>
      <c r="E9" s="754">
        <f>+T5A!G9</f>
        <v>0</v>
      </c>
      <c r="F9" s="814">
        <v>0</v>
      </c>
      <c r="G9" s="814">
        <v>0</v>
      </c>
      <c r="H9" s="814">
        <v>0</v>
      </c>
      <c r="I9" s="814">
        <v>0</v>
      </c>
      <c r="J9" s="815">
        <v>0</v>
      </c>
      <c r="K9" s="212"/>
      <c r="N9" s="291"/>
      <c r="O9" s="291"/>
      <c r="P9" s="291"/>
      <c r="Q9" s="291"/>
      <c r="R9" s="291"/>
      <c r="S9" s="291"/>
    </row>
    <row r="10" spans="1:19" s="166" customFormat="1" ht="29.15" customHeight="1" x14ac:dyDescent="0.25">
      <c r="A10" s="1152" t="s">
        <v>331</v>
      </c>
      <c r="B10" s="1153"/>
      <c r="C10" s="520"/>
      <c r="D10" s="520"/>
      <c r="E10" s="520"/>
      <c r="F10" s="335"/>
      <c r="G10" s="335"/>
      <c r="H10" s="207">
        <v>0</v>
      </c>
      <c r="I10" s="207">
        <v>0</v>
      </c>
      <c r="J10" s="816">
        <v>0</v>
      </c>
      <c r="K10" s="212"/>
      <c r="N10" s="291"/>
      <c r="O10" s="291"/>
      <c r="P10" s="291"/>
      <c r="Q10" s="291"/>
      <c r="R10" s="291"/>
      <c r="S10" s="291"/>
    </row>
    <row r="11" spans="1:19" s="166" customFormat="1" ht="29.15" customHeight="1" x14ac:dyDescent="0.25">
      <c r="A11" s="1152" t="s">
        <v>90</v>
      </c>
      <c r="B11" s="1153"/>
      <c r="C11" s="247">
        <f>+T5A!E11</f>
        <v>0</v>
      </c>
      <c r="D11" s="247">
        <f>+T5A!F11</f>
        <v>0</v>
      </c>
      <c r="E11" s="247">
        <f>+T5A!G11</f>
        <v>0</v>
      </c>
      <c r="F11" s="207">
        <v>0</v>
      </c>
      <c r="G11" s="207">
        <v>0</v>
      </c>
      <c r="H11" s="207">
        <v>0</v>
      </c>
      <c r="I11" s="207">
        <v>0</v>
      </c>
      <c r="J11" s="816">
        <v>0</v>
      </c>
      <c r="K11" s="212"/>
    </row>
    <row r="12" spans="1:19" s="166" customFormat="1" ht="29.15" customHeight="1" x14ac:dyDescent="0.25">
      <c r="A12" s="1152" t="s">
        <v>332</v>
      </c>
      <c r="B12" s="1153"/>
      <c r="C12" s="247">
        <f>+T5A!E12</f>
        <v>0</v>
      </c>
      <c r="D12" s="247">
        <f>+T5A!F12</f>
        <v>0</v>
      </c>
      <c r="E12" s="247">
        <f>+T5A!G12</f>
        <v>0</v>
      </c>
      <c r="F12" s="207">
        <v>0</v>
      </c>
      <c r="G12" s="207">
        <v>0</v>
      </c>
      <c r="H12" s="207">
        <v>0</v>
      </c>
      <c r="I12" s="207">
        <v>0</v>
      </c>
      <c r="J12" s="816">
        <v>0</v>
      </c>
      <c r="K12" s="212"/>
    </row>
    <row r="13" spans="1:19" s="166" customFormat="1" ht="29.15" customHeight="1" x14ac:dyDescent="0.25">
      <c r="A13" s="1152" t="s">
        <v>168</v>
      </c>
      <c r="B13" s="1153"/>
      <c r="C13" s="207">
        <v>0</v>
      </c>
      <c r="D13" s="207">
        <v>0</v>
      </c>
      <c r="E13" s="207">
        <v>0</v>
      </c>
      <c r="F13" s="207">
        <v>0</v>
      </c>
      <c r="G13" s="207">
        <v>0</v>
      </c>
      <c r="H13" s="207">
        <v>0</v>
      </c>
      <c r="I13" s="207">
        <v>0</v>
      </c>
      <c r="J13" s="816">
        <v>0</v>
      </c>
      <c r="K13" s="212"/>
    </row>
    <row r="14" spans="1:19" s="166" customFormat="1" ht="29.15" customHeight="1" x14ac:dyDescent="0.25">
      <c r="A14" s="1152" t="s">
        <v>91</v>
      </c>
      <c r="B14" s="1153"/>
      <c r="C14" s="247">
        <f>+T5A!E14</f>
        <v>0</v>
      </c>
      <c r="D14" s="247">
        <f>+T5A!F14</f>
        <v>0</v>
      </c>
      <c r="E14" s="247">
        <f>+T5A!G14</f>
        <v>0</v>
      </c>
      <c r="F14" s="207">
        <v>0</v>
      </c>
      <c r="G14" s="207">
        <v>0</v>
      </c>
      <c r="H14" s="207">
        <v>0</v>
      </c>
      <c r="I14" s="207">
        <v>0</v>
      </c>
      <c r="J14" s="816">
        <v>0</v>
      </c>
      <c r="K14" s="212"/>
    </row>
    <row r="15" spans="1:19" s="166" customFormat="1" ht="29.15" customHeight="1" x14ac:dyDescent="0.25">
      <c r="A15" s="1152" t="s">
        <v>92</v>
      </c>
      <c r="B15" s="1153"/>
      <c r="C15" s="247">
        <f>+T5A!E15</f>
        <v>0</v>
      </c>
      <c r="D15" s="247">
        <f>+T5A!F15</f>
        <v>0</v>
      </c>
      <c r="E15" s="247">
        <f>+T5A!G15</f>
        <v>0</v>
      </c>
      <c r="F15" s="207">
        <v>0</v>
      </c>
      <c r="G15" s="207">
        <v>0</v>
      </c>
      <c r="H15" s="335"/>
      <c r="I15" s="335"/>
      <c r="J15" s="669"/>
      <c r="K15" s="212"/>
    </row>
    <row r="16" spans="1:19" s="166" customFormat="1" ht="29.15" customHeight="1" thickBot="1" x14ac:dyDescent="0.3">
      <c r="A16" s="1167" t="s">
        <v>359</v>
      </c>
      <c r="B16" s="1168"/>
      <c r="C16" s="719">
        <f>+T5A!E16</f>
        <v>0</v>
      </c>
      <c r="D16" s="719">
        <f>+T5A!F16</f>
        <v>0</v>
      </c>
      <c r="E16" s="719">
        <f>+T5A!G16</f>
        <v>0</v>
      </c>
      <c r="F16" s="817">
        <v>0</v>
      </c>
      <c r="G16" s="817">
        <v>0</v>
      </c>
      <c r="H16" s="817">
        <v>0</v>
      </c>
      <c r="I16" s="817">
        <v>0</v>
      </c>
      <c r="J16" s="818">
        <v>0</v>
      </c>
      <c r="K16" s="212"/>
    </row>
    <row r="17" spans="1:11" ht="13" thickBot="1" x14ac:dyDescent="0.3"/>
    <row r="18" spans="1:11" s="166" customFormat="1" ht="66" customHeight="1" thickBot="1" x14ac:dyDescent="0.3">
      <c r="A18" s="1120" t="s">
        <v>234</v>
      </c>
      <c r="B18" s="1121"/>
      <c r="C18" s="680"/>
      <c r="D18" s="680"/>
      <c r="E18" s="680"/>
      <c r="F18" s="680"/>
      <c r="G18" s="680"/>
      <c r="H18" s="680"/>
      <c r="I18" s="680"/>
      <c r="J18" s="681"/>
      <c r="K18" s="212"/>
    </row>
    <row r="19" spans="1:11" s="166" customFormat="1" ht="24" customHeight="1" thickBot="1" x14ac:dyDescent="0.3">
      <c r="A19" s="1165" t="s">
        <v>340</v>
      </c>
      <c r="B19" s="1166"/>
      <c r="C19" s="834">
        <v>0</v>
      </c>
      <c r="D19" s="834">
        <v>0</v>
      </c>
      <c r="E19" s="834">
        <v>0</v>
      </c>
      <c r="F19" s="834">
        <v>0</v>
      </c>
      <c r="G19" s="834">
        <v>0</v>
      </c>
      <c r="H19" s="834">
        <v>0</v>
      </c>
      <c r="I19" s="834">
        <v>0</v>
      </c>
      <c r="J19" s="835">
        <v>0</v>
      </c>
      <c r="K19" s="212"/>
    </row>
    <row r="20" spans="1:11" ht="13" thickBot="1" x14ac:dyDescent="0.3"/>
    <row r="21" spans="1:11" s="166" customFormat="1" ht="85.5" customHeight="1" thickBot="1" x14ac:dyDescent="0.3">
      <c r="A21" s="1120" t="s">
        <v>235</v>
      </c>
      <c r="B21" s="1121"/>
      <c r="C21" s="680"/>
      <c r="D21" s="680"/>
      <c r="E21" s="680"/>
      <c r="F21" s="680"/>
      <c r="G21" s="680"/>
      <c r="H21" s="680"/>
      <c r="I21" s="680"/>
      <c r="J21" s="681"/>
      <c r="K21" s="212"/>
    </row>
    <row r="22" spans="1:11" s="166" customFormat="1" ht="24" customHeight="1" thickBot="1" x14ac:dyDescent="0.3">
      <c r="A22" s="1165" t="s">
        <v>340</v>
      </c>
      <c r="B22" s="1166"/>
      <c r="C22" s="752"/>
      <c r="D22" s="752"/>
      <c r="E22" s="752"/>
      <c r="F22" s="752"/>
      <c r="G22" s="834">
        <v>0</v>
      </c>
      <c r="H22" s="834">
        <v>0</v>
      </c>
      <c r="I22" s="834">
        <v>0</v>
      </c>
      <c r="J22" s="835">
        <v>0</v>
      </c>
      <c r="K22" s="212"/>
    </row>
    <row r="23" spans="1:11" ht="13" thickBot="1" x14ac:dyDescent="0.3"/>
    <row r="24" spans="1:11" s="166" customFormat="1" ht="70.5" customHeight="1" thickBot="1" x14ac:dyDescent="0.3">
      <c r="A24" s="1120" t="s">
        <v>236</v>
      </c>
      <c r="B24" s="1121"/>
      <c r="C24" s="680"/>
      <c r="D24" s="680"/>
      <c r="E24" s="680"/>
      <c r="F24" s="680"/>
      <c r="G24" s="680"/>
      <c r="H24" s="680"/>
      <c r="I24" s="680"/>
      <c r="J24" s="681"/>
      <c r="K24" s="212"/>
    </row>
    <row r="25" spans="1:11" s="166" customFormat="1" ht="24" customHeight="1" thickBot="1" x14ac:dyDescent="0.3">
      <c r="A25" s="1165" t="s">
        <v>340</v>
      </c>
      <c r="B25" s="1166"/>
      <c r="C25" s="752"/>
      <c r="D25" s="752"/>
      <c r="E25" s="752"/>
      <c r="F25" s="752"/>
      <c r="G25" s="834">
        <v>0</v>
      </c>
      <c r="H25" s="834">
        <v>0</v>
      </c>
      <c r="I25" s="834">
        <v>0</v>
      </c>
      <c r="J25" s="835">
        <v>0</v>
      </c>
      <c r="K25" s="212"/>
    </row>
    <row r="26" spans="1:11" ht="13" thickBot="1" x14ac:dyDescent="0.3"/>
    <row r="27" spans="1:11" s="166" customFormat="1" ht="62.25" customHeight="1" thickBot="1" x14ac:dyDescent="0.3">
      <c r="A27" s="1120" t="s">
        <v>135</v>
      </c>
      <c r="B27" s="1121"/>
      <c r="C27" s="680">
        <v>0</v>
      </c>
      <c r="D27" s="680">
        <f t="shared" ref="D27:J27" si="1">SUM(D28:D35)</f>
        <v>0</v>
      </c>
      <c r="E27" s="680">
        <f t="shared" si="1"/>
        <v>0</v>
      </c>
      <c r="F27" s="680">
        <f t="shared" si="1"/>
        <v>0</v>
      </c>
      <c r="G27" s="680">
        <f t="shared" si="1"/>
        <v>0</v>
      </c>
      <c r="H27" s="680">
        <f t="shared" si="1"/>
        <v>0</v>
      </c>
      <c r="I27" s="680">
        <f t="shared" si="1"/>
        <v>0</v>
      </c>
      <c r="J27" s="681">
        <f t="shared" si="1"/>
        <v>0</v>
      </c>
      <c r="K27" s="212"/>
    </row>
    <row r="28" spans="1:11" s="166" customFormat="1" ht="24.65" customHeight="1" x14ac:dyDescent="0.25">
      <c r="A28" s="1154" t="s">
        <v>89</v>
      </c>
      <c r="B28" s="1155"/>
      <c r="C28" s="753"/>
      <c r="D28" s="754">
        <v>0</v>
      </c>
      <c r="E28" s="754">
        <v>0</v>
      </c>
      <c r="F28" s="754">
        <v>0</v>
      </c>
      <c r="G28" s="814">
        <v>0</v>
      </c>
      <c r="H28" s="814">
        <v>0</v>
      </c>
      <c r="I28" s="814">
        <v>0</v>
      </c>
      <c r="J28" s="815">
        <v>0</v>
      </c>
      <c r="K28" s="212"/>
    </row>
    <row r="29" spans="1:11" s="166" customFormat="1" ht="24.65" customHeight="1" x14ac:dyDescent="0.25">
      <c r="A29" s="1152" t="s">
        <v>331</v>
      </c>
      <c r="B29" s="1153"/>
      <c r="C29" s="520"/>
      <c r="D29" s="520"/>
      <c r="E29" s="520"/>
      <c r="F29" s="520"/>
      <c r="G29" s="335"/>
      <c r="H29" s="207">
        <v>0</v>
      </c>
      <c r="I29" s="207">
        <v>0</v>
      </c>
      <c r="J29" s="816">
        <v>0</v>
      </c>
      <c r="K29" s="212"/>
    </row>
    <row r="30" spans="1:11" s="166" customFormat="1" ht="24.65" customHeight="1" x14ac:dyDescent="0.25">
      <c r="A30" s="1152" t="s">
        <v>90</v>
      </c>
      <c r="B30" s="1153"/>
      <c r="C30" s="520"/>
      <c r="D30" s="247">
        <v>0</v>
      </c>
      <c r="E30" s="247">
        <v>0</v>
      </c>
      <c r="F30" s="247">
        <v>0</v>
      </c>
      <c r="G30" s="207">
        <v>0</v>
      </c>
      <c r="H30" s="207">
        <v>0</v>
      </c>
      <c r="I30" s="207">
        <v>0</v>
      </c>
      <c r="J30" s="816">
        <v>0</v>
      </c>
      <c r="K30" s="212"/>
    </row>
    <row r="31" spans="1:11" s="166" customFormat="1" ht="24.65" customHeight="1" x14ac:dyDescent="0.25">
      <c r="A31" s="1152" t="s">
        <v>332</v>
      </c>
      <c r="B31" s="1153"/>
      <c r="C31" s="520"/>
      <c r="D31" s="247">
        <v>0</v>
      </c>
      <c r="E31" s="247">
        <v>0</v>
      </c>
      <c r="F31" s="247">
        <v>0</v>
      </c>
      <c r="G31" s="207">
        <v>0</v>
      </c>
      <c r="H31" s="207">
        <v>0</v>
      </c>
      <c r="I31" s="207">
        <v>0</v>
      </c>
      <c r="J31" s="816">
        <v>0</v>
      </c>
      <c r="K31" s="212"/>
    </row>
    <row r="32" spans="1:11" s="166" customFormat="1" ht="24.65" customHeight="1" x14ac:dyDescent="0.25">
      <c r="A32" s="1152" t="s">
        <v>168</v>
      </c>
      <c r="B32" s="1153"/>
      <c r="C32" s="520"/>
      <c r="D32" s="247">
        <v>0</v>
      </c>
      <c r="E32" s="247">
        <v>0</v>
      </c>
      <c r="F32" s="247">
        <v>0</v>
      </c>
      <c r="G32" s="207">
        <v>0</v>
      </c>
      <c r="H32" s="207">
        <v>0</v>
      </c>
      <c r="I32" s="207">
        <v>0</v>
      </c>
      <c r="J32" s="816">
        <v>0</v>
      </c>
      <c r="K32" s="212"/>
    </row>
    <row r="33" spans="1:11" s="166" customFormat="1" ht="24.65" customHeight="1" x14ac:dyDescent="0.25">
      <c r="A33" s="1152" t="s">
        <v>91</v>
      </c>
      <c r="B33" s="1153"/>
      <c r="C33" s="520"/>
      <c r="D33" s="247">
        <v>0</v>
      </c>
      <c r="E33" s="247">
        <v>0</v>
      </c>
      <c r="F33" s="247">
        <v>0</v>
      </c>
      <c r="G33" s="207">
        <v>0</v>
      </c>
      <c r="H33" s="207">
        <v>0</v>
      </c>
      <c r="I33" s="207">
        <v>0</v>
      </c>
      <c r="J33" s="816">
        <v>0</v>
      </c>
      <c r="K33" s="212"/>
    </row>
    <row r="34" spans="1:11" s="166" customFormat="1" ht="24.65" customHeight="1" x14ac:dyDescent="0.25">
      <c r="A34" s="1152" t="s">
        <v>92</v>
      </c>
      <c r="B34" s="1153"/>
      <c r="C34" s="520"/>
      <c r="D34" s="247">
        <v>0</v>
      </c>
      <c r="E34" s="247">
        <v>0</v>
      </c>
      <c r="F34" s="247">
        <v>0</v>
      </c>
      <c r="G34" s="207">
        <v>0</v>
      </c>
      <c r="H34" s="335"/>
      <c r="I34" s="335"/>
      <c r="J34" s="669"/>
      <c r="K34" s="212"/>
    </row>
    <row r="35" spans="1:11" s="166" customFormat="1" ht="25.5" customHeight="1" thickBot="1" x14ac:dyDescent="0.3">
      <c r="A35" s="1167" t="s">
        <v>359</v>
      </c>
      <c r="B35" s="1168"/>
      <c r="C35" s="726"/>
      <c r="D35" s="719">
        <v>0</v>
      </c>
      <c r="E35" s="719">
        <v>0</v>
      </c>
      <c r="F35" s="719">
        <v>0</v>
      </c>
      <c r="G35" s="817">
        <v>0</v>
      </c>
      <c r="H35" s="817">
        <v>0</v>
      </c>
      <c r="I35" s="817">
        <v>0</v>
      </c>
      <c r="J35" s="818">
        <v>0</v>
      </c>
      <c r="K35" s="212"/>
    </row>
    <row r="36" spans="1:11" ht="13" thickBot="1" x14ac:dyDescent="0.3"/>
    <row r="37" spans="1:11" s="166" customFormat="1" ht="62.25" customHeight="1" thickBot="1" x14ac:dyDescent="0.3">
      <c r="A37" s="1120" t="s">
        <v>137</v>
      </c>
      <c r="B37" s="1121"/>
      <c r="C37" s="680">
        <v>0</v>
      </c>
      <c r="D37" s="680">
        <f t="shared" ref="D37:J37" si="2">SUM(D38:D45)</f>
        <v>0</v>
      </c>
      <c r="E37" s="680">
        <f t="shared" si="2"/>
        <v>0</v>
      </c>
      <c r="F37" s="680">
        <f t="shared" si="2"/>
        <v>0</v>
      </c>
      <c r="G37" s="680">
        <f t="shared" si="2"/>
        <v>0</v>
      </c>
      <c r="H37" s="680">
        <f t="shared" si="2"/>
        <v>0</v>
      </c>
      <c r="I37" s="680">
        <f t="shared" si="2"/>
        <v>0</v>
      </c>
      <c r="J37" s="681">
        <f t="shared" si="2"/>
        <v>0</v>
      </c>
      <c r="K37" s="212"/>
    </row>
    <row r="38" spans="1:11" s="166" customFormat="1" ht="25.5" customHeight="1" x14ac:dyDescent="0.25">
      <c r="A38" s="1154" t="s">
        <v>89</v>
      </c>
      <c r="B38" s="1155"/>
      <c r="C38" s="753"/>
      <c r="D38" s="754">
        <v>0</v>
      </c>
      <c r="E38" s="754">
        <v>0</v>
      </c>
      <c r="F38" s="754">
        <v>0</v>
      </c>
      <c r="G38" s="814">
        <v>0</v>
      </c>
      <c r="H38" s="814">
        <v>0</v>
      </c>
      <c r="I38" s="814">
        <v>0</v>
      </c>
      <c r="J38" s="815">
        <v>0</v>
      </c>
      <c r="K38" s="212"/>
    </row>
    <row r="39" spans="1:11" s="166" customFormat="1" ht="25.5" customHeight="1" x14ac:dyDescent="0.25">
      <c r="A39" s="1152" t="s">
        <v>331</v>
      </c>
      <c r="B39" s="1153"/>
      <c r="C39" s="520"/>
      <c r="D39" s="520"/>
      <c r="E39" s="520"/>
      <c r="F39" s="520"/>
      <c r="G39" s="335"/>
      <c r="H39" s="207">
        <v>0</v>
      </c>
      <c r="I39" s="207">
        <v>0</v>
      </c>
      <c r="J39" s="816">
        <v>0</v>
      </c>
      <c r="K39" s="212"/>
    </row>
    <row r="40" spans="1:11" s="166" customFormat="1" ht="25.5" customHeight="1" x14ac:dyDescent="0.25">
      <c r="A40" s="1152" t="s">
        <v>90</v>
      </c>
      <c r="B40" s="1153"/>
      <c r="C40" s="520"/>
      <c r="D40" s="247">
        <v>0</v>
      </c>
      <c r="E40" s="247">
        <v>0</v>
      </c>
      <c r="F40" s="247">
        <v>0</v>
      </c>
      <c r="G40" s="207">
        <v>0</v>
      </c>
      <c r="H40" s="207">
        <v>0</v>
      </c>
      <c r="I40" s="207">
        <v>0</v>
      </c>
      <c r="J40" s="816">
        <v>0</v>
      </c>
      <c r="K40" s="212"/>
    </row>
    <row r="41" spans="1:11" s="166" customFormat="1" ht="25.5" customHeight="1" x14ac:dyDescent="0.25">
      <c r="A41" s="1152" t="s">
        <v>332</v>
      </c>
      <c r="B41" s="1153"/>
      <c r="C41" s="520"/>
      <c r="D41" s="247">
        <v>0</v>
      </c>
      <c r="E41" s="247">
        <v>0</v>
      </c>
      <c r="F41" s="247">
        <v>0</v>
      </c>
      <c r="G41" s="207">
        <v>0</v>
      </c>
      <c r="H41" s="207">
        <v>0</v>
      </c>
      <c r="I41" s="207">
        <v>0</v>
      </c>
      <c r="J41" s="816">
        <v>0</v>
      </c>
      <c r="K41" s="212"/>
    </row>
    <row r="42" spans="1:11" s="166" customFormat="1" ht="25.5" customHeight="1" x14ac:dyDescent="0.25">
      <c r="A42" s="1152" t="s">
        <v>168</v>
      </c>
      <c r="B42" s="1153"/>
      <c r="C42" s="520"/>
      <c r="D42" s="247">
        <v>0</v>
      </c>
      <c r="E42" s="247">
        <v>0</v>
      </c>
      <c r="F42" s="247">
        <v>0</v>
      </c>
      <c r="G42" s="207">
        <v>0</v>
      </c>
      <c r="H42" s="207">
        <v>0</v>
      </c>
      <c r="I42" s="207">
        <v>0</v>
      </c>
      <c r="J42" s="816">
        <v>0</v>
      </c>
      <c r="K42" s="212"/>
    </row>
    <row r="43" spans="1:11" s="166" customFormat="1" ht="25.5" customHeight="1" x14ac:dyDescent="0.25">
      <c r="A43" s="1152" t="s">
        <v>91</v>
      </c>
      <c r="B43" s="1153"/>
      <c r="C43" s="520"/>
      <c r="D43" s="247">
        <v>0</v>
      </c>
      <c r="E43" s="247">
        <v>0</v>
      </c>
      <c r="F43" s="247">
        <v>0</v>
      </c>
      <c r="G43" s="207">
        <v>0</v>
      </c>
      <c r="H43" s="207">
        <v>0</v>
      </c>
      <c r="I43" s="207">
        <v>0</v>
      </c>
      <c r="J43" s="816">
        <v>0</v>
      </c>
      <c r="K43" s="212"/>
    </row>
    <row r="44" spans="1:11" s="166" customFormat="1" ht="25.5" customHeight="1" x14ac:dyDescent="0.25">
      <c r="A44" s="1152" t="s">
        <v>92</v>
      </c>
      <c r="B44" s="1153"/>
      <c r="C44" s="520"/>
      <c r="D44" s="247">
        <v>0</v>
      </c>
      <c r="E44" s="247">
        <v>0</v>
      </c>
      <c r="F44" s="247">
        <v>0</v>
      </c>
      <c r="G44" s="207">
        <v>0</v>
      </c>
      <c r="H44" s="335"/>
      <c r="I44" s="335"/>
      <c r="J44" s="669"/>
      <c r="K44" s="212"/>
    </row>
    <row r="45" spans="1:11" s="166" customFormat="1" ht="25.5" customHeight="1" thickBot="1" x14ac:dyDescent="0.3">
      <c r="A45" s="1167" t="s">
        <v>359</v>
      </c>
      <c r="B45" s="1168"/>
      <c r="C45" s="726"/>
      <c r="D45" s="719">
        <v>0</v>
      </c>
      <c r="E45" s="719">
        <v>0</v>
      </c>
      <c r="F45" s="719">
        <v>0</v>
      </c>
      <c r="G45" s="817">
        <v>0</v>
      </c>
      <c r="H45" s="817">
        <v>0</v>
      </c>
      <c r="I45" s="817">
        <v>0</v>
      </c>
      <c r="J45" s="818">
        <v>0</v>
      </c>
      <c r="K45" s="212"/>
    </row>
    <row r="46" spans="1:11" ht="13" thickBot="1" x14ac:dyDescent="0.3"/>
    <row r="47" spans="1:11" s="166" customFormat="1" ht="64.5" customHeight="1" x14ac:dyDescent="0.25">
      <c r="A47" s="1159" t="s">
        <v>123</v>
      </c>
      <c r="B47" s="1160"/>
      <c r="C47" s="724">
        <v>1.3938631303842763E-2</v>
      </c>
      <c r="D47" s="724">
        <v>1.6452686638135816E-2</v>
      </c>
      <c r="E47" s="724">
        <v>1.7499767290328538E-2</v>
      </c>
      <c r="F47" s="833">
        <v>1.4225403817915039E-2</v>
      </c>
      <c r="G47" s="836">
        <v>0</v>
      </c>
      <c r="H47" s="836">
        <v>0</v>
      </c>
      <c r="I47" s="836">
        <v>0</v>
      </c>
      <c r="J47" s="837">
        <v>0</v>
      </c>
      <c r="K47" s="212"/>
    </row>
    <row r="48" spans="1:11" s="166" customFormat="1" ht="33" customHeight="1" x14ac:dyDescent="0.25">
      <c r="A48" s="1158" t="s">
        <v>122</v>
      </c>
      <c r="B48" s="1098"/>
      <c r="C48" s="517">
        <v>1.7810473332688037E-2</v>
      </c>
      <c r="D48" s="517">
        <v>2.1683309557774644E-2</v>
      </c>
      <c r="E48" s="517">
        <v>1.4241831890533296E-2</v>
      </c>
      <c r="F48" s="838">
        <v>0</v>
      </c>
      <c r="G48" s="838">
        <v>0</v>
      </c>
      <c r="H48" s="838">
        <v>0</v>
      </c>
      <c r="I48" s="838">
        <v>0</v>
      </c>
      <c r="J48" s="839">
        <v>0</v>
      </c>
      <c r="K48" s="212"/>
    </row>
    <row r="49" spans="1:11" s="166" customFormat="1" ht="36.75" customHeight="1" x14ac:dyDescent="0.25">
      <c r="A49" s="1158" t="str">
        <f>"x-waarde "&amp;C5&amp;" voor de betreffende reguleringsperiode"</f>
        <v>x-waarde elektriciteit voor de betreffende reguleringsperiode</v>
      </c>
      <c r="B49" s="1098"/>
      <c r="C49" s="516"/>
      <c r="D49" s="522">
        <f>IF($C$5="elektriciteit",0.000387594609710495,IF($C$5="gas",-0.0133592722464226,"FOUT"))</f>
        <v>3.8759460971049499E-4</v>
      </c>
      <c r="E49" s="522">
        <f>IF($C$5="elektriciteit",0.000387594609710495,IF($C$5="gas",-0.0133592722464226,"FOUT"))</f>
        <v>3.8759460971049499E-4</v>
      </c>
      <c r="F49" s="522">
        <f>IF($C$5="elektriciteit",0.000505038423468718,IF($C$5="gas",-0.0133730694870156,"FOUT"))</f>
        <v>5.0503842346871796E-4</v>
      </c>
      <c r="G49" s="516"/>
      <c r="H49" s="840">
        <v>0</v>
      </c>
      <c r="I49" s="840">
        <v>0</v>
      </c>
      <c r="J49" s="841">
        <v>0</v>
      </c>
      <c r="K49" s="212"/>
    </row>
    <row r="50" spans="1:11" s="166" customFormat="1" ht="56.5" customHeight="1" x14ac:dyDescent="0.25">
      <c r="A50" s="1161" t="str">
        <f>"ai-waarde in de relevante geactualiseerde endogene sectorkosten "&amp;C6&amp;" in de historische referentieperiode 2015-2019"</f>
        <v>ai-waarde in de relevante geactualiseerde endogene sectorkosten Saldo van het jaar in de historische referentieperiode 2015-2019</v>
      </c>
      <c r="B50" s="1162"/>
      <c r="C50" s="516"/>
      <c r="D50" s="516"/>
      <c r="E50" s="516"/>
      <c r="F50" s="516"/>
      <c r="G50" s="842">
        <v>0</v>
      </c>
      <c r="H50" s="516"/>
      <c r="I50" s="516"/>
      <c r="J50" s="725"/>
      <c r="K50" s="212"/>
    </row>
    <row r="51" spans="1:11" s="166" customFormat="1" ht="39" customHeight="1" x14ac:dyDescent="0.25">
      <c r="A51" s="1161" t="str">
        <f>"Fl21-waarde voor aan "&amp;C5&amp;" opgelegde kostenbesparing in 2021 n.a.v. de fusie tot FSO"</f>
        <v>Fl21-waarde voor aan elektriciteit opgelegde kostenbesparing in 2021 n.a.v. de fusie tot FSO</v>
      </c>
      <c r="B51" s="1162"/>
      <c r="C51" s="516"/>
      <c r="D51" s="516"/>
      <c r="E51" s="516"/>
      <c r="F51" s="516"/>
      <c r="G51" s="768">
        <f>IF(C5="elektriciteit",14000000,IF(C5="gas",6875000,"FOUT"))</f>
        <v>14000000</v>
      </c>
      <c r="H51" s="516"/>
      <c r="I51" s="516"/>
      <c r="J51" s="725"/>
      <c r="K51" s="212"/>
    </row>
    <row r="52" spans="1:11" s="206" customFormat="1" ht="36.75" customHeight="1" x14ac:dyDescent="0.25">
      <c r="A52" s="1161" t="s">
        <v>238</v>
      </c>
      <c r="B52" s="1162"/>
      <c r="C52" s="516"/>
      <c r="D52" s="516"/>
      <c r="E52" s="522">
        <f>IF($C$5="elektriciteit",0.00865726940505285,IF($C$5="gas",0.00858335614712047,"FOUT"))</f>
        <v>8.6572694050528493E-3</v>
      </c>
      <c r="F52" s="522">
        <f>+E52</f>
        <v>8.6572694050528493E-3</v>
      </c>
      <c r="G52" s="516"/>
      <c r="H52" s="840">
        <v>0</v>
      </c>
      <c r="I52" s="840">
        <v>0</v>
      </c>
      <c r="J52" s="841">
        <v>0</v>
      </c>
      <c r="K52" s="519"/>
    </row>
    <row r="53" spans="1:11" s="206" customFormat="1" ht="36.75" customHeight="1" x14ac:dyDescent="0.25">
      <c r="A53" s="1161" t="s">
        <v>239</v>
      </c>
      <c r="B53" s="1162"/>
      <c r="C53" s="516"/>
      <c r="D53" s="516"/>
      <c r="E53" s="516"/>
      <c r="F53" s="516"/>
      <c r="G53" s="766">
        <f>IF($C$5="elektriciteit",0,IF($C$5="gas",0.004,"FOUT"))</f>
        <v>0</v>
      </c>
      <c r="H53" s="766">
        <f t="shared" ref="H53:J53" si="3">IF($C$5="elektriciteit",0,IF($C$5="gas",0.004,"FOUT"))</f>
        <v>0</v>
      </c>
      <c r="I53" s="766">
        <f t="shared" si="3"/>
        <v>0</v>
      </c>
      <c r="J53" s="767">
        <f t="shared" si="3"/>
        <v>0</v>
      </c>
      <c r="K53" s="519"/>
    </row>
    <row r="54" spans="1:11" s="166" customFormat="1" ht="29.5" customHeight="1" thickBot="1" x14ac:dyDescent="0.3">
      <c r="A54" s="1156" t="s">
        <v>374</v>
      </c>
      <c r="B54" s="1157"/>
      <c r="C54" s="726"/>
      <c r="D54" s="719">
        <v>0</v>
      </c>
      <c r="E54" s="719">
        <v>0</v>
      </c>
      <c r="F54" s="719">
        <v>0</v>
      </c>
      <c r="G54" s="777"/>
      <c r="H54" s="843">
        <v>0</v>
      </c>
      <c r="I54" s="843">
        <v>0</v>
      </c>
      <c r="J54" s="844">
        <v>0</v>
      </c>
      <c r="K54" s="212"/>
    </row>
    <row r="55" spans="1:11" ht="13" thickBot="1" x14ac:dyDescent="0.3"/>
    <row r="56" spans="1:11" s="166" customFormat="1" ht="29.25" customHeight="1" x14ac:dyDescent="0.25">
      <c r="A56" s="757"/>
      <c r="B56" s="758"/>
      <c r="C56" s="759">
        <f t="shared" ref="C56:J56" si="4">+C7</f>
        <v>2017</v>
      </c>
      <c r="D56" s="759">
        <f t="shared" si="4"/>
        <v>2018</v>
      </c>
      <c r="E56" s="759">
        <f t="shared" si="4"/>
        <v>2019</v>
      </c>
      <c r="F56" s="759">
        <f t="shared" si="4"/>
        <v>2020</v>
      </c>
      <c r="G56" s="759">
        <f t="shared" si="4"/>
        <v>2021</v>
      </c>
      <c r="H56" s="759">
        <f t="shared" si="4"/>
        <v>2022</v>
      </c>
      <c r="I56" s="759">
        <f t="shared" si="4"/>
        <v>2023</v>
      </c>
      <c r="J56" s="760">
        <f t="shared" si="4"/>
        <v>2024</v>
      </c>
      <c r="K56" s="212"/>
    </row>
    <row r="57" spans="1:11" s="166" customFormat="1" ht="33.65" customHeight="1" thickBot="1" x14ac:dyDescent="0.3">
      <c r="A57" s="1163" t="s">
        <v>375</v>
      </c>
      <c r="B57" s="1164"/>
      <c r="C57" s="761">
        <f t="shared" ref="C57:J57" si="5">SUM(C58:C65)</f>
        <v>0</v>
      </c>
      <c r="D57" s="762">
        <f t="shared" si="5"/>
        <v>0</v>
      </c>
      <c r="E57" s="762">
        <f t="shared" si="5"/>
        <v>0</v>
      </c>
      <c r="F57" s="762">
        <f t="shared" si="5"/>
        <v>0</v>
      </c>
      <c r="G57" s="761">
        <f t="shared" si="5"/>
        <v>0</v>
      </c>
      <c r="H57" s="761">
        <f t="shared" si="5"/>
        <v>0</v>
      </c>
      <c r="I57" s="761">
        <f t="shared" si="5"/>
        <v>0</v>
      </c>
      <c r="J57" s="763">
        <f t="shared" si="5"/>
        <v>0</v>
      </c>
      <c r="K57" s="212"/>
    </row>
    <row r="58" spans="1:11" s="166" customFormat="1" ht="26.15" customHeight="1" x14ac:dyDescent="0.25">
      <c r="A58" s="1114" t="s">
        <v>89</v>
      </c>
      <c r="B58" s="1115"/>
      <c r="C58" s="755">
        <f>(C9-C19)*(((1+C48)/(1+C47))-1)</f>
        <v>0</v>
      </c>
      <c r="D58" s="676">
        <f>(D9-D19-D28+D38)*(((1+$D$48-$D$49+$D$54)/(1+$D$47-$D$49+$D$54))-1)</f>
        <v>0</v>
      </c>
      <c r="E58" s="676">
        <f>(E9-E19-E28+E38)*(((1+$E$48-$E$49-$E$52+$E$54)/(1+$E$47-$E$49-$E$52+$E$54))-1)</f>
        <v>0</v>
      </c>
      <c r="F58" s="676">
        <f>(F9-F19-F28+F38)*(((1+$F$48-$F$49-$F$52+$F$54)/(1+$F$47-$F$49-$F$52+$F$54))-1)</f>
        <v>0</v>
      </c>
      <c r="G58" s="755">
        <f>(((G9-(G19+G22+G25+(G28-G38)))+(G50*G51))*(((1+G$48-G$53)/(1+G$47-G$53))-1))+((G12-(G31-G41))*(((1+G$48-G$53)/(1+G$47-G$53))-1))+((G13-(G32-G42))*(((1+G$48-G$53)/(1+G$47-G$53))-1))</f>
        <v>0</v>
      </c>
      <c r="H58" s="755">
        <f>IF($C$5="elektriciteit",0,IF($C$5="gas",((H9-(H19+H22+H25+(H28-H38)))*(((1+H$48-H$49-H$52-H$53+H$54)/(1+H$47-H$49-H$52-H$53+H$54))-1))+((H13-(H32-H42))*(((1+H$48-H$49-H$52-H$53+H$54)/(1+H$47-H$49-H$52-H$53+H$54))-1)),"FOUT"))</f>
        <v>0</v>
      </c>
      <c r="I58" s="755">
        <f>IF($C$5="elektriciteit",0,IF($C$5="gas",((I9-(I19+I22+I25+(I28-I38)))*(((1+I$48-I$49-I$52-I$53+I$54)/(1+I$47-I$49-I$52-I$53+I$54))-1))+((I13-(I32-I42))*(((1+I$48-I$49-I$52-I$53+I$54)/(1+I$47-I$49-I$52-I$53+I$54))-1)),"FOUT"))</f>
        <v>0</v>
      </c>
      <c r="J58" s="756">
        <f>IF($C$5="elektriciteit",0,IF($C$5="gas",((J9-(J19+J22+J25+(J28-J38)))*(((1+J$48-J$49-J$52-J$53+J$54)/(1+J$47-J$49-J$52-J$53+J$54))-1))+((J13-(J32-J42))*(((1+J$48-J$49-J$52-J$53+J$54)/(1+J$47-J$49-J$52-J$53+J$54))-1)),"FOUT"))</f>
        <v>0</v>
      </c>
      <c r="K58" s="212"/>
    </row>
    <row r="59" spans="1:11" s="166" customFormat="1" ht="26.15" customHeight="1" x14ac:dyDescent="0.25">
      <c r="A59" s="1116" t="s">
        <v>331</v>
      </c>
      <c r="B59" s="1117"/>
      <c r="C59" s="526"/>
      <c r="D59" s="334"/>
      <c r="E59" s="334"/>
      <c r="F59" s="334"/>
      <c r="G59" s="526"/>
      <c r="H59" s="521">
        <f>IF($C$5="elektriciteit",((H10-(H19+H22+H25+(H29-H39)))*(((1+H$48-H$49-H$52-H$53+H$54)/(1+H$47-H$49-H$52-H$53+H$54))-1))+((H12-(H31-H41))*(((1+H$48-H$49-H$52-H$53+H$54)/(1+H$47-H$49-H$52-H$53+H$54))-1))+((H13-(H32-H42))*(((1+H$48-H$49-H$52-H$53+H$54)/(1+H$47-H$49-H$52-H$53+H$54))-1)),IF($C$5="gas",0,"FOUT"))</f>
        <v>0</v>
      </c>
      <c r="I59" s="521">
        <f>IF($C$5="elektriciteit",((I10-(I19+I22+I25+(I29-I39)))*(((1+I$48-I$49-I$52-I$53+I$54)/(1+I$47-I$49-I$52-I$53+I$54))-1))+((I12-(I31-I41))*(((1+I$48-I$49-I$52-I$53+I$54)/(1+I$47-I$49-I$52-I$53+I$54))-1))+((I13-(I32-I42))*(((1+I$48-I$49-I$52-I$53+I$54)/(1+I$47-I$49-I$52-I$53+I$54))-1)),IF($C$5="gas",0,"FOUT"))</f>
        <v>0</v>
      </c>
      <c r="J59" s="720">
        <f>IF($C$5="elektriciteit",((J10-(J19+J22+J25+(J29-J39)))*(((1+J$48-J$49-J$52-J$53+J$54)/(1+J$47-J$49-J$52-J$53+J$54))-1))+((J12-(J31-J41))*(((1+J$48-J$49-J$52-J$53+J$54)/(1+J$47-J$49-J$52-J$53+J$54))-1))+((J13-(J32-J42))*(((1+J$48-J$49-J$52-J$53+J$54)/(1+J$47-J$49-J$52-J$53+J$54))-1)),IF($C$5="gas",0,"FOUT"))</f>
        <v>0</v>
      </c>
      <c r="K59" s="212"/>
    </row>
    <row r="60" spans="1:11" s="166" customFormat="1" ht="26.15" customHeight="1" x14ac:dyDescent="0.25">
      <c r="A60" s="1116" t="s">
        <v>90</v>
      </c>
      <c r="B60" s="1117"/>
      <c r="C60" s="521">
        <f t="shared" ref="C60:C65" si="6">+C11*(((1+$C$48)/(1+$C$47))-1)</f>
        <v>0</v>
      </c>
      <c r="D60" s="176">
        <f t="shared" ref="D60:D65" si="7">(D11-D30+D40)*(((1+$D$48-$D$49+$D$54)/(1+$D$47-$D$49+$D$54))-1)</f>
        <v>0</v>
      </c>
      <c r="E60" s="176">
        <f t="shared" ref="E60:E65" si="8">(E11-E30+E40)*(((1+$E$48-$E$49-$E$52+$E$54)/(1+$E$47-$E$49-$E$52+$E$54))-1)</f>
        <v>0</v>
      </c>
      <c r="F60" s="176">
        <f t="shared" ref="F60:F65" si="9">(F11-F30+F40)*(((1+$F$48-$F$49-$F$52+$F$54)/(1+$F$47-$F$49-$F$52+$F$54))-1)</f>
        <v>0</v>
      </c>
      <c r="G60" s="521">
        <f>(G11-(G30-G40))*(((1+G$48-G$53)/(1+G$47-G$53))-1)</f>
        <v>0</v>
      </c>
      <c r="H60" s="521">
        <f>(H11-(H30-H40))*(((1+H$48-H$49-H$52-H$53+H$54)/(1+H$47-H$49-H$52-H$53+H$54))-1)</f>
        <v>0</v>
      </c>
      <c r="I60" s="521">
        <f>(I11-(I30-I40))*(((1+I$48-I$49-I$52-I$53+I$54)/(1+I$47-I$49-I$52-I$53+I$54))-1)</f>
        <v>0</v>
      </c>
      <c r="J60" s="720">
        <f>(J11-(J30-J40))*(((1+J$48-J$49-J$52-J$53+J$54)/(1+J$47-J$49-J$52-J$53+J$54))-1)</f>
        <v>0</v>
      </c>
      <c r="K60" s="212"/>
    </row>
    <row r="61" spans="1:11" s="166" customFormat="1" ht="26.15" customHeight="1" x14ac:dyDescent="0.25">
      <c r="A61" s="1116" t="s">
        <v>332</v>
      </c>
      <c r="B61" s="1117"/>
      <c r="C61" s="521">
        <f t="shared" si="6"/>
        <v>0</v>
      </c>
      <c r="D61" s="176">
        <f t="shared" si="7"/>
        <v>0</v>
      </c>
      <c r="E61" s="176">
        <f t="shared" si="8"/>
        <v>0</v>
      </c>
      <c r="F61" s="176">
        <f t="shared" si="9"/>
        <v>0</v>
      </c>
      <c r="G61" s="526"/>
      <c r="H61" s="526"/>
      <c r="I61" s="526"/>
      <c r="J61" s="721"/>
      <c r="K61" s="212"/>
    </row>
    <row r="62" spans="1:11" s="166" customFormat="1" ht="26.15" customHeight="1" x14ac:dyDescent="0.25">
      <c r="A62" s="1116" t="s">
        <v>168</v>
      </c>
      <c r="B62" s="1117"/>
      <c r="C62" s="521">
        <f t="shared" si="6"/>
        <v>0</v>
      </c>
      <c r="D62" s="176">
        <f t="shared" si="7"/>
        <v>0</v>
      </c>
      <c r="E62" s="176">
        <f t="shared" si="8"/>
        <v>0</v>
      </c>
      <c r="F62" s="176">
        <f t="shared" si="9"/>
        <v>0</v>
      </c>
      <c r="G62" s="526"/>
      <c r="H62" s="526"/>
      <c r="I62" s="526"/>
      <c r="J62" s="721"/>
      <c r="K62" s="212"/>
    </row>
    <row r="63" spans="1:11" s="166" customFormat="1" ht="26.15" customHeight="1" x14ac:dyDescent="0.25">
      <c r="A63" s="1116" t="s">
        <v>91</v>
      </c>
      <c r="B63" s="1117"/>
      <c r="C63" s="521">
        <f t="shared" si="6"/>
        <v>0</v>
      </c>
      <c r="D63" s="176">
        <f t="shared" si="7"/>
        <v>0</v>
      </c>
      <c r="E63" s="176">
        <f t="shared" si="8"/>
        <v>0</v>
      </c>
      <c r="F63" s="176">
        <f t="shared" si="9"/>
        <v>0</v>
      </c>
      <c r="G63" s="521">
        <f>(G14-(G33-G43))*(((1+G$48-G$53)/(1+G$47-G$53))-1)</f>
        <v>0</v>
      </c>
      <c r="H63" s="521">
        <f t="shared" ref="H63:J63" si="10">(H14-(H33-H43))*(((1+H$48-H$49-H$52-H$53+H$54)/(1+H$47-H$49-H$52-H$53+H$54))-1)</f>
        <v>0</v>
      </c>
      <c r="I63" s="521">
        <f t="shared" si="10"/>
        <v>0</v>
      </c>
      <c r="J63" s="720">
        <f t="shared" si="10"/>
        <v>0</v>
      </c>
      <c r="K63" s="212"/>
    </row>
    <row r="64" spans="1:11" s="166" customFormat="1" ht="26.15" customHeight="1" x14ac:dyDescent="0.25">
      <c r="A64" s="1116" t="s">
        <v>92</v>
      </c>
      <c r="B64" s="1117"/>
      <c r="C64" s="521">
        <f t="shared" si="6"/>
        <v>0</v>
      </c>
      <c r="D64" s="176">
        <f t="shared" si="7"/>
        <v>0</v>
      </c>
      <c r="E64" s="176">
        <f t="shared" si="8"/>
        <v>0</v>
      </c>
      <c r="F64" s="176">
        <f t="shared" si="9"/>
        <v>0</v>
      </c>
      <c r="G64" s="521">
        <f>(G15-(G34-G44))*(((1+G$48-G$53)/(1+G$47-G$53))-1)</f>
        <v>0</v>
      </c>
      <c r="H64" s="526"/>
      <c r="I64" s="526"/>
      <c r="J64" s="721"/>
      <c r="K64" s="212"/>
    </row>
    <row r="65" spans="1:31" s="166" customFormat="1" ht="26.15" customHeight="1" thickBot="1" x14ac:dyDescent="0.3">
      <c r="A65" s="1112" t="s">
        <v>359</v>
      </c>
      <c r="B65" s="1113"/>
      <c r="C65" s="722">
        <f t="shared" si="6"/>
        <v>0</v>
      </c>
      <c r="D65" s="674">
        <f t="shared" si="7"/>
        <v>0</v>
      </c>
      <c r="E65" s="674">
        <f t="shared" si="8"/>
        <v>0</v>
      </c>
      <c r="F65" s="674">
        <f t="shared" si="9"/>
        <v>0</v>
      </c>
      <c r="G65" s="722">
        <f>(G16-(G35-G45))*(((1+G$48-G$53)/(1+G$47-G$53))-1)</f>
        <v>0</v>
      </c>
      <c r="H65" s="722">
        <f>(H16-(H35-H45))*(((1+H$48-H$49-H$52-H$53+H$54)/(1+H$47-H$49-H$52-H$53+H$54))-1)</f>
        <v>0</v>
      </c>
      <c r="I65" s="722">
        <f>(I16-(I35-I45))*(((1+I$48-I$49-I$52-I$53+I$54)/(1+I$47-I$49-I$52-I$53+I$54))-1)</f>
        <v>0</v>
      </c>
      <c r="J65" s="723">
        <f>(J16-(J35-J45))*(((1+J$48-J$49-J$52-J$53+J$54)/(1+J$47-J$49-J$52-J$53+J$54))-1)</f>
        <v>0</v>
      </c>
      <c r="K65" s="212"/>
    </row>
    <row r="66" spans="1:31" s="166" customFormat="1" ht="13" x14ac:dyDescent="0.25">
      <c r="A66" s="216"/>
      <c r="C66" s="233" t="s">
        <v>127</v>
      </c>
      <c r="M66" s="212"/>
    </row>
    <row r="67" spans="1:31" s="166" customFormat="1" ht="13" x14ac:dyDescent="0.25">
      <c r="A67" s="216"/>
      <c r="C67" s="235" t="s">
        <v>103</v>
      </c>
      <c r="M67" s="212"/>
    </row>
    <row r="68" spans="1:31" s="166" customFormat="1" ht="13" x14ac:dyDescent="0.25">
      <c r="A68" s="216"/>
      <c r="C68" s="212"/>
      <c r="M68" s="212"/>
    </row>
    <row r="69" spans="1:31" ht="14.25" customHeight="1" thickBot="1" x14ac:dyDescent="0.3">
      <c r="A69" s="224"/>
      <c r="B69" s="328"/>
      <c r="C69" s="328"/>
      <c r="D69" s="328"/>
      <c r="E69" s="328"/>
      <c r="F69" s="328"/>
      <c r="G69" s="328"/>
      <c r="H69" s="328"/>
      <c r="I69" s="328"/>
      <c r="J69" s="328"/>
      <c r="K69" s="328"/>
      <c r="L69" s="328"/>
      <c r="M69" s="227"/>
      <c r="N69" s="227"/>
    </row>
    <row r="70" spans="1:31" s="178" customFormat="1" ht="18" customHeight="1" thickBot="1" x14ac:dyDescent="0.3">
      <c r="A70" s="1064" t="s">
        <v>110</v>
      </c>
      <c r="B70" s="1065"/>
      <c r="C70" s="1065"/>
      <c r="D70" s="1065"/>
      <c r="E70" s="1065"/>
      <c r="F70" s="1065"/>
      <c r="G70" s="1065"/>
      <c r="H70" s="1065"/>
      <c r="I70" s="1065"/>
      <c r="J70" s="1065"/>
      <c r="K70" s="1065"/>
      <c r="L70" s="1066"/>
      <c r="M70" s="227"/>
      <c r="N70" s="227"/>
      <c r="O70" s="177"/>
      <c r="P70" s="177"/>
      <c r="Q70" s="177"/>
      <c r="R70" s="177"/>
      <c r="S70" s="177"/>
      <c r="T70" s="177"/>
      <c r="U70" s="177"/>
      <c r="V70" s="177"/>
      <c r="W70" s="177"/>
      <c r="X70" s="177"/>
      <c r="Y70" s="177"/>
      <c r="Z70" s="177"/>
      <c r="AA70" s="177"/>
      <c r="AB70" s="177"/>
      <c r="AC70" s="177"/>
      <c r="AD70" s="177"/>
      <c r="AE70" s="177"/>
    </row>
    <row r="71" spans="1:31" ht="13" thickBot="1" x14ac:dyDescent="0.3"/>
    <row r="72" spans="1:31" s="178" customFormat="1" ht="17" thickBot="1" x14ac:dyDescent="0.3">
      <c r="A72" s="177"/>
      <c r="B72" s="177"/>
      <c r="C72" s="1070" t="s">
        <v>31</v>
      </c>
      <c r="D72" s="1071"/>
      <c r="E72" s="1071"/>
      <c r="F72" s="1071"/>
      <c r="G72" s="1071"/>
      <c r="H72" s="1071"/>
      <c r="I72" s="1071"/>
      <c r="J72" s="1072"/>
      <c r="K72" s="177"/>
      <c r="L72" s="177"/>
      <c r="M72" s="177"/>
      <c r="N72" s="177"/>
      <c r="O72" s="177"/>
      <c r="P72" s="177"/>
      <c r="Q72" s="177"/>
      <c r="R72" s="177"/>
      <c r="S72" s="177"/>
      <c r="T72" s="177"/>
      <c r="U72" s="177"/>
      <c r="V72" s="177"/>
      <c r="W72" s="177"/>
      <c r="X72" s="177"/>
      <c r="Y72" s="177"/>
      <c r="Z72" s="177"/>
      <c r="AA72" s="177"/>
      <c r="AB72" s="177"/>
      <c r="AC72" s="177"/>
      <c r="AD72" s="177"/>
      <c r="AE72" s="177"/>
    </row>
    <row r="73" spans="1:31" s="178" customFormat="1" ht="13.5" thickBot="1" x14ac:dyDescent="0.3">
      <c r="A73" s="177"/>
      <c r="B73" s="177"/>
      <c r="C73" s="329">
        <f t="shared" ref="C73:J73" si="11">+C7</f>
        <v>2017</v>
      </c>
      <c r="D73" s="330">
        <f t="shared" si="11"/>
        <v>2018</v>
      </c>
      <c r="E73" s="330">
        <f t="shared" si="11"/>
        <v>2019</v>
      </c>
      <c r="F73" s="330">
        <f t="shared" si="11"/>
        <v>2020</v>
      </c>
      <c r="G73" s="330">
        <f t="shared" si="11"/>
        <v>2021</v>
      </c>
      <c r="H73" s="330">
        <f t="shared" si="11"/>
        <v>2022</v>
      </c>
      <c r="I73" s="330">
        <f t="shared" si="11"/>
        <v>2023</v>
      </c>
      <c r="J73" s="330">
        <f t="shared" si="11"/>
        <v>2024</v>
      </c>
      <c r="K73" s="177"/>
      <c r="L73" s="177"/>
      <c r="M73" s="177"/>
      <c r="N73" s="177"/>
      <c r="O73" s="177"/>
      <c r="P73" s="177"/>
      <c r="Q73" s="177"/>
      <c r="R73" s="177"/>
      <c r="S73" s="177"/>
      <c r="T73" s="177"/>
      <c r="U73" s="177"/>
      <c r="V73" s="177"/>
      <c r="W73" s="177"/>
      <c r="X73" s="177"/>
      <c r="Y73" s="177"/>
      <c r="Z73" s="177"/>
      <c r="AA73" s="177"/>
      <c r="AB73" s="177"/>
      <c r="AC73" s="177"/>
      <c r="AD73" s="177"/>
      <c r="AE73" s="177"/>
    </row>
    <row r="74" spans="1:31" s="178" customFormat="1" x14ac:dyDescent="0.25">
      <c r="A74" s="177"/>
      <c r="B74" s="177"/>
      <c r="C74" s="800">
        <f t="shared" ref="C74:J74" si="12">+C57</f>
        <v>0</v>
      </c>
      <c r="D74" s="800">
        <f t="shared" si="12"/>
        <v>0</v>
      </c>
      <c r="E74" s="800">
        <f t="shared" si="12"/>
        <v>0</v>
      </c>
      <c r="F74" s="800">
        <f t="shared" si="12"/>
        <v>0</v>
      </c>
      <c r="G74" s="800">
        <f t="shared" si="12"/>
        <v>0</v>
      </c>
      <c r="H74" s="800">
        <f t="shared" si="12"/>
        <v>0</v>
      </c>
      <c r="I74" s="800">
        <f t="shared" si="12"/>
        <v>0</v>
      </c>
      <c r="J74" s="800">
        <f t="shared" si="12"/>
        <v>0</v>
      </c>
      <c r="K74" s="177"/>
      <c r="L74" s="177"/>
      <c r="M74" s="177"/>
      <c r="N74" s="177"/>
      <c r="O74" s="177"/>
      <c r="P74" s="177"/>
      <c r="Q74" s="177"/>
      <c r="R74" s="177"/>
      <c r="S74" s="177"/>
      <c r="T74" s="177"/>
      <c r="U74" s="177"/>
      <c r="V74" s="177"/>
      <c r="W74" s="177"/>
      <c r="X74" s="177"/>
      <c r="Y74" s="177"/>
      <c r="Z74" s="177"/>
      <c r="AA74" s="177"/>
      <c r="AB74" s="177"/>
      <c r="AC74" s="177"/>
      <c r="AD74" s="177"/>
    </row>
    <row r="75" spans="1:31" ht="13" x14ac:dyDescent="0.25">
      <c r="C75" s="233" t="s">
        <v>127</v>
      </c>
      <c r="F75" s="234"/>
      <c r="J75" s="234"/>
    </row>
    <row r="76" spans="1:31" ht="13" x14ac:dyDescent="0.25">
      <c r="C76" s="235" t="s">
        <v>103</v>
      </c>
    </row>
    <row r="77" spans="1:31" x14ac:dyDescent="0.25">
      <c r="C77" s="236"/>
    </row>
    <row r="78" spans="1:31" ht="13" thickBot="1" x14ac:dyDescent="0.3">
      <c r="C78" s="236"/>
    </row>
    <row r="79" spans="1:31" ht="20.25" customHeight="1" thickBot="1" x14ac:dyDescent="0.3">
      <c r="A79" s="1064" t="s">
        <v>18</v>
      </c>
      <c r="B79" s="1065"/>
      <c r="C79" s="1065"/>
      <c r="D79" s="1065"/>
      <c r="E79" s="1065"/>
      <c r="F79" s="1065"/>
      <c r="G79" s="1065"/>
      <c r="H79" s="1065"/>
      <c r="I79" s="1065"/>
      <c r="J79" s="1065"/>
      <c r="K79" s="1065"/>
      <c r="L79" s="1066"/>
      <c r="M79" s="1124"/>
      <c r="N79" s="1124"/>
    </row>
    <row r="81" spans="1:31" ht="13" x14ac:dyDescent="0.25">
      <c r="C81" s="233" t="s">
        <v>127</v>
      </c>
    </row>
    <row r="82" spans="1:31" ht="13" x14ac:dyDescent="0.25">
      <c r="C82" s="235" t="s">
        <v>103</v>
      </c>
    </row>
    <row r="83" spans="1:31" ht="16.5" x14ac:dyDescent="0.25">
      <c r="C83" s="1057" t="s">
        <v>19</v>
      </c>
      <c r="D83" s="1058"/>
      <c r="E83" s="1058"/>
      <c r="F83" s="1058"/>
      <c r="G83" s="1058"/>
      <c r="H83" s="1058"/>
      <c r="I83" s="1058"/>
      <c r="J83" s="1059"/>
      <c r="L83" s="237" t="s">
        <v>20</v>
      </c>
    </row>
    <row r="84" spans="1:31" ht="13.5" thickBot="1" x14ac:dyDescent="0.3">
      <c r="A84" s="1060"/>
      <c r="B84" s="1060"/>
      <c r="C84" s="238">
        <f>C73</f>
        <v>2017</v>
      </c>
      <c r="D84" s="239">
        <f>D73</f>
        <v>2018</v>
      </c>
      <c r="E84" s="239">
        <f>E73</f>
        <v>2019</v>
      </c>
      <c r="F84" s="239">
        <f>F73</f>
        <v>2020</v>
      </c>
      <c r="G84" s="239">
        <f t="shared" ref="G84:I84" si="13">G73</f>
        <v>2021</v>
      </c>
      <c r="H84" s="239">
        <f t="shared" si="13"/>
        <v>2022</v>
      </c>
      <c r="I84" s="239">
        <f t="shared" si="13"/>
        <v>2023</v>
      </c>
      <c r="J84" s="239">
        <f>J73</f>
        <v>2024</v>
      </c>
      <c r="L84" s="240"/>
    </row>
    <row r="85" spans="1:31" s="178" customFormat="1" ht="13" thickBot="1" x14ac:dyDescent="0.3">
      <c r="A85" s="1051" t="s">
        <v>21</v>
      </c>
      <c r="B85" s="241">
        <f>C73</f>
        <v>2017</v>
      </c>
      <c r="C85" s="845">
        <v>0</v>
      </c>
      <c r="D85" s="242"/>
      <c r="E85" s="242"/>
      <c r="F85" s="251"/>
      <c r="G85" s="251"/>
      <c r="H85" s="242"/>
      <c r="I85" s="242"/>
      <c r="J85" s="243"/>
      <c r="K85" s="244"/>
      <c r="L85" s="245">
        <f>SUM(C85:J85)</f>
        <v>0</v>
      </c>
      <c r="M85" s="177"/>
      <c r="N85" s="177"/>
      <c r="O85" s="177"/>
      <c r="P85" s="177"/>
      <c r="Q85" s="177"/>
      <c r="R85" s="177"/>
      <c r="S85" s="177"/>
      <c r="T85" s="177"/>
      <c r="U85" s="177"/>
      <c r="V85" s="177"/>
      <c r="W85" s="177"/>
      <c r="X85" s="177"/>
      <c r="Y85" s="177"/>
      <c r="Z85" s="177"/>
      <c r="AA85" s="177"/>
      <c r="AB85" s="177"/>
      <c r="AC85" s="177"/>
      <c r="AD85" s="177"/>
      <c r="AE85" s="177"/>
    </row>
    <row r="86" spans="1:31" s="178" customFormat="1" ht="13" thickBot="1" x14ac:dyDescent="0.3">
      <c r="A86" s="1125"/>
      <c r="B86" s="246">
        <f>D73</f>
        <v>2018</v>
      </c>
      <c r="C86" s="331">
        <f>+C$74-C85</f>
        <v>0</v>
      </c>
      <c r="D86" s="845">
        <v>0</v>
      </c>
      <c r="E86" s="248"/>
      <c r="F86" s="251"/>
      <c r="G86" s="251"/>
      <c r="H86" s="248"/>
      <c r="I86" s="248"/>
      <c r="J86" s="249"/>
      <c r="K86" s="244"/>
      <c r="L86" s="245">
        <f t="shared" ref="L86:L92" si="14">SUM(C86:J86)</f>
        <v>0</v>
      </c>
      <c r="M86" s="177"/>
      <c r="N86" s="177"/>
      <c r="O86" s="177"/>
      <c r="P86" s="177"/>
      <c r="Q86" s="177"/>
      <c r="R86" s="177"/>
      <c r="S86" s="177"/>
      <c r="T86" s="177"/>
      <c r="U86" s="177"/>
      <c r="V86" s="177"/>
      <c r="W86" s="177"/>
      <c r="X86" s="177"/>
      <c r="Y86" s="177"/>
      <c r="Z86" s="177"/>
      <c r="AA86" s="177"/>
      <c r="AB86" s="177"/>
      <c r="AC86" s="177"/>
      <c r="AD86" s="177"/>
      <c r="AE86" s="177"/>
    </row>
    <row r="87" spans="1:31" s="178" customFormat="1" ht="13" thickBot="1" x14ac:dyDescent="0.3">
      <c r="A87" s="1125"/>
      <c r="B87" s="246">
        <f>E73</f>
        <v>2019</v>
      </c>
      <c r="C87" s="250"/>
      <c r="D87" s="331">
        <f>+D$74-D86</f>
        <v>0</v>
      </c>
      <c r="E87" s="845">
        <v>0</v>
      </c>
      <c r="F87" s="251"/>
      <c r="G87" s="251"/>
      <c r="H87" s="251"/>
      <c r="I87" s="251"/>
      <c r="J87" s="272"/>
      <c r="K87" s="244"/>
      <c r="L87" s="245">
        <f t="shared" si="14"/>
        <v>0</v>
      </c>
      <c r="M87" s="177"/>
      <c r="N87" s="177"/>
      <c r="O87" s="177"/>
      <c r="P87" s="177"/>
      <c r="Q87" s="177"/>
      <c r="R87" s="177"/>
      <c r="S87" s="177"/>
      <c r="T87" s="177"/>
      <c r="U87" s="177"/>
      <c r="V87" s="177"/>
      <c r="W87" s="177"/>
      <c r="X87" s="177"/>
      <c r="Y87" s="177"/>
      <c r="Z87" s="177"/>
      <c r="AA87" s="177"/>
      <c r="AB87" s="177"/>
      <c r="AC87" s="177"/>
      <c r="AD87" s="177"/>
      <c r="AE87" s="177"/>
    </row>
    <row r="88" spans="1:31" s="178" customFormat="1" ht="13" thickBot="1" x14ac:dyDescent="0.3">
      <c r="A88" s="1125"/>
      <c r="B88" s="246">
        <f>+F73</f>
        <v>2020</v>
      </c>
      <c r="C88" s="250"/>
      <c r="D88" s="251"/>
      <c r="E88" s="331">
        <f>+E$74-E87</f>
        <v>0</v>
      </c>
      <c r="F88" s="845">
        <v>0</v>
      </c>
      <c r="G88" s="251"/>
      <c r="H88" s="251"/>
      <c r="I88" s="251"/>
      <c r="J88" s="272"/>
      <c r="K88" s="244"/>
      <c r="L88" s="245">
        <f t="shared" si="14"/>
        <v>0</v>
      </c>
      <c r="M88" s="177"/>
      <c r="N88" s="177"/>
      <c r="O88" s="177"/>
      <c r="P88" s="177"/>
      <c r="Q88" s="177"/>
      <c r="R88" s="177"/>
      <c r="S88" s="177"/>
      <c r="T88" s="177"/>
      <c r="U88" s="177"/>
      <c r="V88" s="177"/>
      <c r="W88" s="177"/>
      <c r="X88" s="177"/>
      <c r="Y88" s="177"/>
      <c r="Z88" s="177"/>
      <c r="AA88" s="177"/>
      <c r="AB88" s="177"/>
      <c r="AC88" s="177"/>
      <c r="AD88" s="177"/>
      <c r="AE88" s="177"/>
    </row>
    <row r="89" spans="1:31" s="178" customFormat="1" ht="13" thickBot="1" x14ac:dyDescent="0.3">
      <c r="A89" s="1125"/>
      <c r="B89" s="246">
        <f>+G73</f>
        <v>2021</v>
      </c>
      <c r="C89" s="250"/>
      <c r="D89" s="251"/>
      <c r="E89" s="251"/>
      <c r="F89" s="331">
        <f>+F$74-F88</f>
        <v>0</v>
      </c>
      <c r="G89" s="845">
        <v>0</v>
      </c>
      <c r="H89" s="251"/>
      <c r="I89" s="251"/>
      <c r="J89" s="249"/>
      <c r="K89" s="244"/>
      <c r="L89" s="245">
        <f t="shared" si="14"/>
        <v>0</v>
      </c>
      <c r="M89" s="177"/>
      <c r="N89" s="177"/>
      <c r="O89" s="177"/>
      <c r="P89" s="177"/>
      <c r="Q89" s="177"/>
      <c r="R89" s="177"/>
      <c r="S89" s="177"/>
      <c r="T89" s="177"/>
      <c r="U89" s="177"/>
      <c r="V89" s="177"/>
      <c r="W89" s="177"/>
      <c r="X89" s="177"/>
      <c r="Y89" s="177"/>
      <c r="Z89" s="177"/>
      <c r="AA89" s="177"/>
      <c r="AB89" s="177"/>
      <c r="AC89" s="177"/>
      <c r="AD89" s="177"/>
      <c r="AE89" s="177"/>
    </row>
    <row r="90" spans="1:31" s="178" customFormat="1" ht="13" thickBot="1" x14ac:dyDescent="0.3">
      <c r="A90" s="1125"/>
      <c r="B90" s="246">
        <f>+H73</f>
        <v>2022</v>
      </c>
      <c r="C90" s="250"/>
      <c r="D90" s="251"/>
      <c r="E90" s="251"/>
      <c r="F90" s="251"/>
      <c r="G90" s="331">
        <f>+G$74-G89</f>
        <v>0</v>
      </c>
      <c r="H90" s="845">
        <v>0</v>
      </c>
      <c r="I90" s="251"/>
      <c r="J90" s="249"/>
      <c r="K90" s="244"/>
      <c r="L90" s="245">
        <f t="shared" si="14"/>
        <v>0</v>
      </c>
      <c r="M90" s="177"/>
      <c r="N90" s="177"/>
      <c r="O90" s="177"/>
      <c r="P90" s="177"/>
      <c r="Q90" s="177"/>
      <c r="R90" s="177"/>
      <c r="S90" s="177"/>
      <c r="T90" s="177"/>
      <c r="U90" s="177"/>
      <c r="V90" s="177"/>
      <c r="W90" s="177"/>
      <c r="X90" s="177"/>
      <c r="Y90" s="177"/>
      <c r="Z90" s="177"/>
      <c r="AA90" s="177"/>
      <c r="AB90" s="177"/>
      <c r="AC90" s="177"/>
      <c r="AD90" s="177"/>
      <c r="AE90" s="177"/>
    </row>
    <row r="91" spans="1:31" s="178" customFormat="1" ht="13" thickBot="1" x14ac:dyDescent="0.3">
      <c r="A91" s="1125"/>
      <c r="B91" s="246">
        <f>+I73</f>
        <v>2023</v>
      </c>
      <c r="C91" s="250"/>
      <c r="D91" s="251"/>
      <c r="E91" s="251"/>
      <c r="F91" s="251"/>
      <c r="G91" s="251"/>
      <c r="H91" s="331">
        <f>+H$74-H90</f>
        <v>0</v>
      </c>
      <c r="I91" s="845">
        <v>0</v>
      </c>
      <c r="J91" s="249"/>
      <c r="K91" s="244"/>
      <c r="L91" s="245">
        <f t="shared" si="14"/>
        <v>0</v>
      </c>
      <c r="M91" s="177"/>
      <c r="N91" s="177"/>
      <c r="O91" s="177"/>
      <c r="P91" s="177"/>
      <c r="Q91" s="177"/>
      <c r="R91" s="177"/>
      <c r="S91" s="177"/>
      <c r="T91" s="177"/>
      <c r="U91" s="177"/>
      <c r="V91" s="177"/>
      <c r="W91" s="177"/>
      <c r="X91" s="177"/>
      <c r="Y91" s="177"/>
      <c r="Z91" s="177"/>
      <c r="AA91" s="177"/>
      <c r="AB91" s="177"/>
      <c r="AC91" s="177"/>
      <c r="AD91" s="177"/>
      <c r="AE91" s="177"/>
    </row>
    <row r="92" spans="1:31" s="178" customFormat="1" ht="13" thickBot="1" x14ac:dyDescent="0.3">
      <c r="A92" s="1125"/>
      <c r="B92" s="246">
        <f>J73</f>
        <v>2024</v>
      </c>
      <c r="C92" s="250"/>
      <c r="D92" s="248"/>
      <c r="E92" s="251"/>
      <c r="F92" s="251"/>
      <c r="G92" s="251"/>
      <c r="H92" s="251"/>
      <c r="I92" s="331">
        <f>+I$74-I91</f>
        <v>0</v>
      </c>
      <c r="J92" s="846">
        <v>0</v>
      </c>
      <c r="K92" s="244"/>
      <c r="L92" s="245">
        <f t="shared" si="14"/>
        <v>0</v>
      </c>
      <c r="M92" s="177"/>
      <c r="N92" s="177"/>
      <c r="O92" s="177"/>
      <c r="P92" s="177"/>
      <c r="Q92" s="177"/>
      <c r="R92" s="177"/>
      <c r="S92" s="177"/>
      <c r="T92" s="177"/>
      <c r="U92" s="177"/>
      <c r="V92" s="177"/>
      <c r="W92" s="177"/>
      <c r="X92" s="177"/>
      <c r="Y92" s="177"/>
      <c r="Z92" s="177"/>
      <c r="AA92" s="177"/>
      <c r="AB92" s="177"/>
      <c r="AC92" s="177"/>
      <c r="AD92" s="177"/>
      <c r="AE92" s="177"/>
    </row>
    <row r="93" spans="1:31" s="256" customFormat="1" ht="15.5" x14ac:dyDescent="0.25">
      <c r="A93" s="1126"/>
      <c r="B93" s="326" t="s">
        <v>22</v>
      </c>
      <c r="C93" s="252">
        <f>SUM(C85:C92)</f>
        <v>0</v>
      </c>
      <c r="D93" s="252">
        <f t="shared" ref="D93:I93" si="15">SUM(D85:D92)</f>
        <v>0</v>
      </c>
      <c r="E93" s="252">
        <f t="shared" si="15"/>
        <v>0</v>
      </c>
      <c r="F93" s="252">
        <f t="shared" si="15"/>
        <v>0</v>
      </c>
      <c r="G93" s="252">
        <f t="shared" si="15"/>
        <v>0</v>
      </c>
      <c r="H93" s="252">
        <f t="shared" si="15"/>
        <v>0</v>
      </c>
      <c r="I93" s="252">
        <f t="shared" si="15"/>
        <v>0</v>
      </c>
      <c r="J93" s="325">
        <f>SUM(J85:J92)</f>
        <v>0</v>
      </c>
      <c r="K93" s="253"/>
      <c r="L93" s="254">
        <f>SUM(L85:L92)</f>
        <v>0</v>
      </c>
      <c r="M93" s="255"/>
      <c r="N93" s="255"/>
      <c r="O93" s="255"/>
      <c r="P93" s="255"/>
      <c r="Q93" s="255"/>
      <c r="R93" s="255"/>
      <c r="S93" s="255"/>
      <c r="T93" s="255"/>
      <c r="U93" s="255"/>
      <c r="V93" s="255"/>
      <c r="W93" s="255"/>
      <c r="X93" s="255"/>
      <c r="Y93" s="255"/>
      <c r="Z93" s="255"/>
      <c r="AA93" s="255"/>
      <c r="AB93" s="255"/>
      <c r="AC93" s="255"/>
      <c r="AD93" s="255"/>
      <c r="AE93" s="255"/>
    </row>
    <row r="94" spans="1:31" s="235" customFormat="1" ht="13" x14ac:dyDescent="0.25">
      <c r="A94" s="257" t="s">
        <v>34</v>
      </c>
      <c r="C94" s="258">
        <f t="shared" ref="C94:J94" si="16">+C93+C108</f>
        <v>0</v>
      </c>
      <c r="D94" s="258">
        <f t="shared" si="16"/>
        <v>0</v>
      </c>
      <c r="E94" s="258">
        <f t="shared" si="16"/>
        <v>0</v>
      </c>
      <c r="F94" s="258">
        <f t="shared" si="16"/>
        <v>0</v>
      </c>
      <c r="G94" s="258">
        <f t="shared" si="16"/>
        <v>0</v>
      </c>
      <c r="H94" s="258">
        <f t="shared" si="16"/>
        <v>0</v>
      </c>
      <c r="I94" s="258">
        <f t="shared" si="16"/>
        <v>0</v>
      </c>
      <c r="J94" s="258">
        <f t="shared" si="16"/>
        <v>0</v>
      </c>
      <c r="K94" s="258"/>
      <c r="L94" s="258">
        <f>+L93+L108</f>
        <v>0</v>
      </c>
      <c r="M94" s="258"/>
    </row>
    <row r="95" spans="1:31" s="259" customFormat="1" ht="13" x14ac:dyDescent="0.25">
      <c r="A95" s="235"/>
      <c r="B95" s="235"/>
      <c r="C95" s="258"/>
      <c r="D95" s="258"/>
      <c r="E95" s="258"/>
      <c r="F95" s="258"/>
      <c r="G95" s="258"/>
      <c r="H95" s="258"/>
      <c r="I95" s="258"/>
      <c r="J95" s="258"/>
      <c r="K95" s="235"/>
      <c r="L95" s="235"/>
      <c r="M95" s="235"/>
      <c r="N95" s="235"/>
      <c r="O95" s="235"/>
      <c r="P95" s="235"/>
      <c r="Q95" s="235"/>
      <c r="R95" s="235"/>
      <c r="S95" s="235"/>
      <c r="T95" s="235"/>
      <c r="U95" s="235"/>
      <c r="V95" s="235"/>
      <c r="W95" s="235"/>
      <c r="X95" s="235"/>
      <c r="Y95" s="235"/>
      <c r="Z95" s="235"/>
      <c r="AA95" s="235"/>
      <c r="AB95" s="235"/>
      <c r="AC95" s="235"/>
      <c r="AD95" s="235"/>
      <c r="AE95" s="235"/>
    </row>
    <row r="96" spans="1:31" s="235" customFormat="1" ht="13" x14ac:dyDescent="0.25">
      <c r="C96" s="233" t="s">
        <v>129</v>
      </c>
      <c r="D96" s="258"/>
      <c r="E96" s="258"/>
      <c r="F96" s="258"/>
      <c r="G96" s="258"/>
      <c r="H96" s="258"/>
      <c r="I96" s="258"/>
      <c r="J96" s="258"/>
      <c r="K96" s="258"/>
      <c r="L96" s="258"/>
    </row>
    <row r="97" spans="1:31" ht="13" x14ac:dyDescent="0.25">
      <c r="C97" s="233" t="s">
        <v>130</v>
      </c>
    </row>
    <row r="98" spans="1:31" s="178" customFormat="1" ht="16.5" x14ac:dyDescent="0.25">
      <c r="A98" s="177"/>
      <c r="B98" s="177"/>
      <c r="C98" s="1048" t="s">
        <v>19</v>
      </c>
      <c r="D98" s="1049"/>
      <c r="E98" s="1049"/>
      <c r="F98" s="1049"/>
      <c r="G98" s="1049"/>
      <c r="H98" s="1049"/>
      <c r="I98" s="1049"/>
      <c r="J98" s="1050"/>
      <c r="K98" s="177"/>
      <c r="L98" s="237" t="s">
        <v>20</v>
      </c>
      <c r="M98" s="177"/>
      <c r="N98" s="237" t="s">
        <v>20</v>
      </c>
      <c r="O98" s="177"/>
      <c r="P98" s="177"/>
      <c r="Q98" s="177"/>
      <c r="R98" s="177"/>
      <c r="S98" s="177"/>
      <c r="T98" s="177"/>
      <c r="U98" s="177"/>
      <c r="V98" s="177"/>
      <c r="W98" s="177"/>
      <c r="X98" s="177"/>
      <c r="Y98" s="177"/>
      <c r="Z98" s="177"/>
      <c r="AA98" s="177"/>
      <c r="AB98" s="177"/>
      <c r="AC98" s="177"/>
      <c r="AD98" s="177"/>
      <c r="AE98" s="177"/>
    </row>
    <row r="99" spans="1:31" s="178" customFormat="1" x14ac:dyDescent="0.25">
      <c r="A99" s="177"/>
      <c r="B99" s="177"/>
      <c r="C99" s="239">
        <f>+C84</f>
        <v>2017</v>
      </c>
      <c r="D99" s="239">
        <f t="shared" ref="D99:J99" si="17">+D84</f>
        <v>2018</v>
      </c>
      <c r="E99" s="239">
        <f t="shared" si="17"/>
        <v>2019</v>
      </c>
      <c r="F99" s="239">
        <f t="shared" si="17"/>
        <v>2020</v>
      </c>
      <c r="G99" s="239">
        <f t="shared" si="17"/>
        <v>2021</v>
      </c>
      <c r="H99" s="239">
        <f t="shared" si="17"/>
        <v>2022</v>
      </c>
      <c r="I99" s="239">
        <f t="shared" si="17"/>
        <v>2023</v>
      </c>
      <c r="J99" s="239">
        <f t="shared" si="17"/>
        <v>2024</v>
      </c>
      <c r="K99" s="177"/>
      <c r="L99" s="240" t="s">
        <v>23</v>
      </c>
      <c r="M99" s="177"/>
      <c r="N99" s="240" t="s">
        <v>24</v>
      </c>
      <c r="O99" s="177"/>
      <c r="P99" s="177"/>
      <c r="Q99" s="177"/>
      <c r="R99" s="177"/>
      <c r="S99" s="177"/>
      <c r="T99" s="177"/>
      <c r="U99" s="177"/>
      <c r="V99" s="177"/>
      <c r="W99" s="177"/>
      <c r="X99" s="177"/>
      <c r="Y99" s="177"/>
      <c r="Z99" s="177"/>
      <c r="AA99" s="177"/>
      <c r="AB99" s="177"/>
      <c r="AC99" s="177"/>
      <c r="AD99" s="177"/>
      <c r="AE99" s="177"/>
    </row>
    <row r="100" spans="1:31" s="178" customFormat="1" ht="12.75" customHeight="1" x14ac:dyDescent="0.25">
      <c r="A100" s="1061" t="s">
        <v>93</v>
      </c>
      <c r="B100" s="260">
        <f>+B85</f>
        <v>2017</v>
      </c>
      <c r="C100" s="518"/>
      <c r="D100" s="261"/>
      <c r="E100" s="261"/>
      <c r="F100" s="261"/>
      <c r="G100" s="261"/>
      <c r="H100" s="261"/>
      <c r="I100" s="261"/>
      <c r="J100" s="262"/>
      <c r="K100" s="244"/>
      <c r="L100" s="245">
        <f>SUM(C100:J100)</f>
        <v>0</v>
      </c>
      <c r="M100" s="244"/>
      <c r="N100" s="263">
        <f>SUM(L85,L100)</f>
        <v>0</v>
      </c>
      <c r="O100" s="177"/>
      <c r="P100" s="177"/>
      <c r="Q100" s="177"/>
      <c r="R100" s="177"/>
      <c r="S100" s="177"/>
      <c r="T100" s="177"/>
      <c r="U100" s="177"/>
      <c r="V100" s="177"/>
      <c r="W100" s="177"/>
      <c r="X100" s="177"/>
      <c r="Y100" s="177"/>
      <c r="Z100" s="177"/>
      <c r="AA100" s="177"/>
      <c r="AB100" s="177"/>
      <c r="AC100" s="177"/>
      <c r="AD100" s="177"/>
      <c r="AE100" s="177"/>
    </row>
    <row r="101" spans="1:31" s="178" customFormat="1" ht="12.75" customHeight="1" x14ac:dyDescent="0.25">
      <c r="A101" s="1062"/>
      <c r="B101" s="260">
        <f t="shared" ref="B101:B107" si="18">+B86</f>
        <v>2018</v>
      </c>
      <c r="C101" s="247">
        <f>+IF($Q$3="ex-ante",IF(C$99&lt;=($P$3-1),IF($B101&lt;=($P$3),T6B!G108,0),0),IF($Q$3="ex-post",IF(C$99&lt;=($P$3),IF($B101&lt;=($P$3+1),T6B!G108,0),0),0))</f>
        <v>0</v>
      </c>
      <c r="D101" s="261"/>
      <c r="E101" s="261"/>
      <c r="F101" s="261"/>
      <c r="G101" s="261"/>
      <c r="H101" s="261"/>
      <c r="I101" s="261"/>
      <c r="J101" s="265"/>
      <c r="K101" s="244"/>
      <c r="L101" s="245">
        <f t="shared" ref="L101:L107" si="19">SUM(C101:J101)</f>
        <v>0</v>
      </c>
      <c r="M101" s="244"/>
      <c r="N101" s="263">
        <f t="shared" ref="N101:N107" si="20">SUM(L86,L101)</f>
        <v>0</v>
      </c>
      <c r="O101" s="177"/>
      <c r="P101" s="177"/>
      <c r="Q101" s="177"/>
      <c r="R101" s="177"/>
      <c r="S101" s="177"/>
      <c r="T101" s="177"/>
      <c r="U101" s="177"/>
      <c r="V101" s="177"/>
      <c r="W101" s="177"/>
      <c r="X101" s="177"/>
      <c r="Y101" s="177"/>
      <c r="Z101" s="177"/>
      <c r="AA101" s="177"/>
      <c r="AB101" s="177"/>
      <c r="AC101" s="177"/>
      <c r="AD101" s="177"/>
      <c r="AE101" s="177"/>
    </row>
    <row r="102" spans="1:31" s="178" customFormat="1" ht="12.75" customHeight="1" x14ac:dyDescent="0.25">
      <c r="A102" s="1062" t="s">
        <v>25</v>
      </c>
      <c r="B102" s="260">
        <f t="shared" si="18"/>
        <v>2019</v>
      </c>
      <c r="C102" s="247">
        <f>+IF($Q$3="ex-ante",IF(C$99&lt;=($P$3-1),IF($B102&lt;=($P$3),T6B!G109,0),0),IF($Q$3="ex-post",IF(C$99&lt;=($P$3),IF($B102&lt;=($P$3+1),T6B!G109,0),0),0))</f>
        <v>0</v>
      </c>
      <c r="D102" s="247">
        <f>+IF($Q$3="ex-ante",IF(D$99&lt;=($P$3-1),IF($B102&lt;=($P$3),T6B!H109,0),0),IF($Q$3="ex-post",IF(D$99&lt;=($P$3),IF($B102&lt;=($P$3+1),T6B!H109,0),0),0))</f>
        <v>0</v>
      </c>
      <c r="E102" s="261"/>
      <c r="F102" s="261"/>
      <c r="G102" s="261"/>
      <c r="H102" s="261"/>
      <c r="I102" s="261"/>
      <c r="J102" s="265"/>
      <c r="K102" s="244"/>
      <c r="L102" s="245">
        <f t="shared" si="19"/>
        <v>0</v>
      </c>
      <c r="M102" s="244"/>
      <c r="N102" s="263">
        <f t="shared" si="20"/>
        <v>0</v>
      </c>
      <c r="O102" s="177"/>
      <c r="P102" s="177"/>
      <c r="Q102" s="177"/>
      <c r="R102" s="177"/>
      <c r="S102" s="177"/>
      <c r="T102" s="177"/>
      <c r="U102" s="177"/>
      <c r="V102" s="177"/>
      <c r="W102" s="177"/>
      <c r="X102" s="177"/>
      <c r="Y102" s="177"/>
      <c r="Z102" s="177"/>
      <c r="AA102" s="177"/>
      <c r="AB102" s="177"/>
      <c r="AC102" s="177"/>
      <c r="AD102" s="177"/>
      <c r="AE102" s="177"/>
    </row>
    <row r="103" spans="1:31" s="178" customFormat="1" ht="12.75" customHeight="1" x14ac:dyDescent="0.25">
      <c r="A103" s="1062"/>
      <c r="B103" s="260">
        <f t="shared" si="18"/>
        <v>2020</v>
      </c>
      <c r="C103" s="247">
        <f>+IF($Q$3="ex-ante",IF(C$99&lt;=($P$3-1),IF($B103&lt;=($P$3),T6B!G110,0),0),IF($Q$3="ex-post",IF(C$99&lt;=($P$3),IF($B103&lt;=($P$3+1),T6B!G110,0),0),0))</f>
        <v>0</v>
      </c>
      <c r="D103" s="247">
        <f>+IF($Q$3="ex-ante",IF(D$99&lt;=($P$3-1),IF($B103&lt;=($P$3),T6B!H110,0),0),IF($Q$3="ex-post",IF(D$99&lt;=($P$3),IF($B103&lt;=($P$3+1),T6B!H110,0),0),0))</f>
        <v>0</v>
      </c>
      <c r="E103" s="247">
        <f>+IF($Q$3="ex-ante",IF(E$99&lt;=($P$3-1),IF($B103&lt;=($P$3),T6B!I110,0),0),IF($Q$3="ex-post",IF(E$99&lt;=($P$3),IF($B103&lt;=($P$3+1),T6B!I110,0),0),0))</f>
        <v>0</v>
      </c>
      <c r="F103" s="261"/>
      <c r="G103" s="261"/>
      <c r="H103" s="261"/>
      <c r="I103" s="261"/>
      <c r="J103" s="265"/>
      <c r="K103" s="244"/>
      <c r="L103" s="245">
        <f t="shared" si="19"/>
        <v>0</v>
      </c>
      <c r="M103" s="244"/>
      <c r="N103" s="263">
        <f t="shared" si="20"/>
        <v>0</v>
      </c>
      <c r="O103" s="177"/>
      <c r="P103" s="177"/>
      <c r="Q103" s="177"/>
      <c r="R103" s="177"/>
      <c r="S103" s="177"/>
      <c r="T103" s="177"/>
      <c r="U103" s="177"/>
      <c r="V103" s="177"/>
      <c r="W103" s="177"/>
      <c r="X103" s="177"/>
      <c r="Y103" s="177"/>
      <c r="Z103" s="177"/>
      <c r="AA103" s="177"/>
      <c r="AB103" s="177"/>
      <c r="AC103" s="177"/>
      <c r="AD103" s="177"/>
      <c r="AE103" s="177"/>
    </row>
    <row r="104" spans="1:31" s="178" customFormat="1" ht="12.75" customHeight="1" x14ac:dyDescent="0.25">
      <c r="A104" s="1062"/>
      <c r="B104" s="260">
        <f t="shared" si="18"/>
        <v>2021</v>
      </c>
      <c r="C104" s="247">
        <f>+IF($Q$3="ex-ante",IF(C$99&lt;=($P$3-1),IF($B104&lt;=($P$3),T6B!G111,0),0),IF($Q$3="ex-post",IF(C$99&lt;=($P$3),IF($B104&lt;=($P$3+1),T6B!G111,0),0),0))</f>
        <v>0</v>
      </c>
      <c r="D104" s="247">
        <f>+IF($Q$3="ex-ante",IF(D$99&lt;=($P$3-1),IF($B104&lt;=($P$3),T6B!H111,0),0),IF($Q$3="ex-post",IF(D$99&lt;=($P$3),IF($B104&lt;=($P$3+1),T6B!H111,0),0),0))</f>
        <v>0</v>
      </c>
      <c r="E104" s="247">
        <f>+IF($Q$3="ex-ante",IF(E$99&lt;=($P$3-1),IF($B104&lt;=($P$3),T6B!I111,0),0),IF($Q$3="ex-post",IF(E$99&lt;=($P$3),IF($B104&lt;=($P$3+1),T6B!I111,0),0),0))</f>
        <v>0</v>
      </c>
      <c r="F104" s="247">
        <f>+IF($Q$3="ex-ante",IF(F$99&lt;=($P$3-1),IF($B104&lt;=($P$3),T6B!J111,0),0),IF($Q$3="ex-post",IF(F$99&lt;=($P$3),IF($B104&lt;=($P$3+1),T6B!J111,0),0),0))</f>
        <v>0</v>
      </c>
      <c r="G104" s="261"/>
      <c r="H104" s="261"/>
      <c r="I104" s="261"/>
      <c r="J104" s="265"/>
      <c r="K104" s="244"/>
      <c r="L104" s="245">
        <f t="shared" si="19"/>
        <v>0</v>
      </c>
      <c r="M104" s="244"/>
      <c r="N104" s="263">
        <f t="shared" si="20"/>
        <v>0</v>
      </c>
      <c r="O104" s="236" t="s">
        <v>27</v>
      </c>
      <c r="P104" s="177"/>
      <c r="Q104" s="177"/>
      <c r="R104" s="177"/>
      <c r="S104" s="177"/>
      <c r="T104" s="177"/>
      <c r="U104" s="177"/>
      <c r="V104" s="177"/>
      <c r="W104" s="177"/>
      <c r="X104" s="177"/>
      <c r="Y104" s="177"/>
      <c r="Z104" s="177"/>
      <c r="AA104" s="177"/>
      <c r="AB104" s="177"/>
      <c r="AC104" s="177"/>
      <c r="AD104" s="177"/>
      <c r="AE104" s="177"/>
    </row>
    <row r="105" spans="1:31" s="178" customFormat="1" ht="12.75" customHeight="1" x14ac:dyDescent="0.25">
      <c r="A105" s="1062"/>
      <c r="B105" s="260">
        <f t="shared" si="18"/>
        <v>2022</v>
      </c>
      <c r="C105" s="247">
        <f>+IF($Q$3="ex-ante",IF(C$99&lt;=($P$3-1),IF($B105&lt;=($P$3),T6B!G112,0),0),IF($Q$3="ex-post",IF(C$99&lt;=($P$3),IF($B105&lt;=($P$3+1),T6B!G112,0),0),0))</f>
        <v>0</v>
      </c>
      <c r="D105" s="247">
        <f>+IF($Q$3="ex-ante",IF(D$99&lt;=($P$3-1),IF($B105&lt;=($P$3),T6B!H112,0),0),IF($Q$3="ex-post",IF(D$99&lt;=($P$3),IF($B105&lt;=($P$3+1),T6B!H112,0),0),0))</f>
        <v>0</v>
      </c>
      <c r="E105" s="247">
        <f>+IF($Q$3="ex-ante",IF(E$99&lt;=($P$3-1),IF($B105&lt;=($P$3),T6B!I112,0),0),IF($Q$3="ex-post",IF(E$99&lt;=($P$3),IF($B105&lt;=($P$3+1),T6B!I112,0),0),0))</f>
        <v>0</v>
      </c>
      <c r="F105" s="247">
        <f>+IF($Q$3="ex-ante",IF(F$99&lt;=($P$3-1),IF($B105&lt;=($P$3),T6B!J112,0),0),IF($Q$3="ex-post",IF(F$99&lt;=($P$3),IF($B105&lt;=($P$3+1),T6B!J112,0),0),0))</f>
        <v>0</v>
      </c>
      <c r="G105" s="247">
        <f>+IF($Q$3="ex-ante",IF(G$99&lt;=($P$3-1),IF($B105&lt;=($P$3),T6B!K112,0),0),IF($Q$3="ex-post",IF(G$99&lt;=($P$3),IF($B105&lt;=($P$3+1),T6B!K112,0),0),0))</f>
        <v>0</v>
      </c>
      <c r="H105" s="261"/>
      <c r="I105" s="261"/>
      <c r="J105" s="265"/>
      <c r="K105" s="244"/>
      <c r="L105" s="245">
        <f t="shared" si="19"/>
        <v>0</v>
      </c>
      <c r="M105" s="244"/>
      <c r="N105" s="263">
        <f t="shared" si="20"/>
        <v>0</v>
      </c>
      <c r="O105" s="236" t="s">
        <v>28</v>
      </c>
      <c r="P105" s="177"/>
      <c r="Q105" s="177"/>
      <c r="R105" s="177"/>
      <c r="S105" s="177"/>
      <c r="T105" s="177"/>
      <c r="U105" s="177"/>
      <c r="V105" s="177"/>
      <c r="W105" s="177"/>
      <c r="X105" s="177"/>
      <c r="Y105" s="177"/>
      <c r="Z105" s="177"/>
      <c r="AA105" s="177"/>
      <c r="AB105" s="177"/>
      <c r="AC105" s="177"/>
      <c r="AD105" s="177"/>
      <c r="AE105" s="177"/>
    </row>
    <row r="106" spans="1:31" s="178" customFormat="1" ht="12.75" customHeight="1" x14ac:dyDescent="0.25">
      <c r="A106" s="1062"/>
      <c r="B106" s="260">
        <f t="shared" si="18"/>
        <v>2023</v>
      </c>
      <c r="C106" s="261"/>
      <c r="D106" s="261"/>
      <c r="E106" s="261"/>
      <c r="F106" s="261"/>
      <c r="G106" s="247">
        <f>+IF($Q$3="ex-ante",IF(G$99&lt;=($P$3-1),IF($B106&lt;=($P$3),T6B!K113,0),0),IF($Q$3="ex-post",IF(G$99&lt;=($P$3),IF($B106&lt;=($P$3+1),T6B!K113,0),0),0))</f>
        <v>0</v>
      </c>
      <c r="H106" s="247">
        <f>+IF($Q$3="ex-ante",IF(H$99&lt;=($P$3-1),IF($B106&lt;=($P$3),T6B!L113,0),0),IF($Q$3="ex-post",IF(H$99&lt;=($P$3),IF($B106&lt;=($P$3+1),T6B!L113,0),0),0))</f>
        <v>0</v>
      </c>
      <c r="I106" s="261"/>
      <c r="J106" s="265"/>
      <c r="K106" s="244"/>
      <c r="L106" s="245">
        <f t="shared" si="19"/>
        <v>0</v>
      </c>
      <c r="M106" s="244"/>
      <c r="N106" s="263">
        <f t="shared" si="20"/>
        <v>0</v>
      </c>
      <c r="O106" s="177"/>
      <c r="P106" s="177"/>
      <c r="Q106" s="177"/>
      <c r="R106" s="177"/>
      <c r="S106" s="177"/>
      <c r="T106" s="177"/>
      <c r="U106" s="177"/>
      <c r="V106" s="177"/>
      <c r="W106" s="177"/>
      <c r="X106" s="177"/>
      <c r="Y106" s="177"/>
      <c r="Z106" s="177"/>
      <c r="AA106" s="177"/>
      <c r="AB106" s="177"/>
      <c r="AC106" s="177"/>
      <c r="AD106" s="177"/>
      <c r="AE106" s="177"/>
    </row>
    <row r="107" spans="1:31" s="178" customFormat="1" ht="12.75" customHeight="1" x14ac:dyDescent="0.25">
      <c r="A107" s="1062"/>
      <c r="B107" s="260">
        <f t="shared" si="18"/>
        <v>2024</v>
      </c>
      <c r="C107" s="261"/>
      <c r="D107" s="261"/>
      <c r="E107" s="261"/>
      <c r="F107" s="261"/>
      <c r="G107" s="261"/>
      <c r="H107" s="247">
        <f>+IF($Q$3="ex-ante",IF(H$99&lt;=($P$3-1),IF($B107&lt;=($P$3),T6B!L114,0),0),IF($Q$3="ex-post",IF(H$99&lt;=($P$3),IF($B107&lt;=($P$3+1),T6B!L114,0),0),0))</f>
        <v>0</v>
      </c>
      <c r="I107" s="247">
        <f>+IF($Q$3="ex-ante",IF(I$99&lt;=($P$3-1),IF($B107&lt;=($P$3),T6B!M114,0),0),IF($Q$3="ex-post",IF(I$99&lt;=($P$3),IF($B107&lt;=($P$3+1),T6B!M114,0),0),0))</f>
        <v>0</v>
      </c>
      <c r="J107" s="523"/>
      <c r="K107" s="244"/>
      <c r="L107" s="245">
        <f t="shared" si="19"/>
        <v>0</v>
      </c>
      <c r="M107" s="244"/>
      <c r="N107" s="263">
        <f t="shared" si="20"/>
        <v>0</v>
      </c>
      <c r="P107" s="177"/>
      <c r="Q107" s="177"/>
      <c r="R107" s="177"/>
      <c r="S107" s="177"/>
      <c r="T107" s="177"/>
      <c r="U107" s="177"/>
      <c r="V107" s="177"/>
      <c r="W107" s="177"/>
      <c r="X107" s="177"/>
      <c r="Y107" s="177"/>
      <c r="Z107" s="177"/>
      <c r="AA107" s="177"/>
      <c r="AB107" s="177"/>
      <c r="AC107" s="177"/>
      <c r="AD107" s="177"/>
      <c r="AE107" s="177"/>
    </row>
    <row r="108" spans="1:31" s="256" customFormat="1" ht="16.5" customHeight="1" x14ac:dyDescent="0.25">
      <c r="A108" s="1127"/>
      <c r="B108" s="326" t="s">
        <v>22</v>
      </c>
      <c r="C108" s="266">
        <f>SUM(C100:C107)</f>
        <v>0</v>
      </c>
      <c r="D108" s="266">
        <f t="shared" ref="D108:J108" si="21">SUM(D100:D107)</f>
        <v>0</v>
      </c>
      <c r="E108" s="266">
        <f t="shared" si="21"/>
        <v>0</v>
      </c>
      <c r="F108" s="266">
        <f t="shared" si="21"/>
        <v>0</v>
      </c>
      <c r="G108" s="266">
        <f t="shared" si="21"/>
        <v>0</v>
      </c>
      <c r="H108" s="266">
        <f t="shared" si="21"/>
        <v>0</v>
      </c>
      <c r="I108" s="266">
        <f t="shared" si="21"/>
        <v>0</v>
      </c>
      <c r="J108" s="266">
        <f t="shared" si="21"/>
        <v>0</v>
      </c>
      <c r="K108" s="244"/>
      <c r="L108" s="254">
        <f>SUM(L100:L107)</f>
        <v>0</v>
      </c>
      <c r="M108" s="253"/>
      <c r="N108" s="254">
        <f>SUM(N100:N107)</f>
        <v>0</v>
      </c>
      <c r="O108" s="255"/>
      <c r="P108" s="255"/>
      <c r="Q108" s="255"/>
      <c r="R108" s="255"/>
      <c r="S108" s="255"/>
      <c r="T108" s="255"/>
      <c r="U108" s="255"/>
      <c r="V108" s="255"/>
      <c r="W108" s="255"/>
      <c r="X108" s="255"/>
      <c r="Y108" s="255"/>
      <c r="Z108" s="255"/>
      <c r="AA108" s="255"/>
      <c r="AB108" s="255"/>
      <c r="AC108" s="255"/>
      <c r="AD108" s="255"/>
      <c r="AE108" s="255"/>
    </row>
    <row r="109" spans="1:31" x14ac:dyDescent="0.25">
      <c r="K109" s="244"/>
    </row>
    <row r="110" spans="1:31" x14ac:dyDescent="0.25">
      <c r="K110" s="244"/>
    </row>
    <row r="111" spans="1:31" ht="13" thickBot="1" x14ac:dyDescent="0.3">
      <c r="K111" s="244"/>
    </row>
    <row r="112" spans="1:31" s="178" customFormat="1" ht="21.75" customHeight="1" thickBot="1" x14ac:dyDescent="0.3">
      <c r="A112" s="1064" t="s">
        <v>29</v>
      </c>
      <c r="B112" s="1065"/>
      <c r="C112" s="1065"/>
      <c r="D112" s="1065"/>
      <c r="E112" s="1065"/>
      <c r="F112" s="1065"/>
      <c r="G112" s="1065"/>
      <c r="H112" s="1065"/>
      <c r="I112" s="1065"/>
      <c r="J112" s="1065"/>
      <c r="K112" s="1065"/>
      <c r="L112" s="1066"/>
      <c r="N112" s="177"/>
      <c r="O112" s="177"/>
      <c r="P112" s="177"/>
      <c r="Q112" s="177"/>
      <c r="R112" s="177"/>
      <c r="S112" s="177"/>
      <c r="T112" s="177"/>
      <c r="U112" s="177"/>
      <c r="V112" s="177"/>
      <c r="W112" s="177"/>
      <c r="X112" s="177"/>
      <c r="Y112" s="177"/>
      <c r="Z112" s="177"/>
      <c r="AA112" s="177"/>
      <c r="AB112" s="177"/>
      <c r="AC112" s="177"/>
      <c r="AD112" s="177"/>
      <c r="AE112" s="177"/>
    </row>
    <row r="114" spans="1:12" ht="13" x14ac:dyDescent="0.25">
      <c r="C114" s="233" t="s">
        <v>131</v>
      </c>
    </row>
    <row r="115" spans="1:12" ht="13" x14ac:dyDescent="0.25">
      <c r="C115" s="233" t="s">
        <v>30</v>
      </c>
    </row>
    <row r="116" spans="1:12" ht="16.5" x14ac:dyDescent="0.25">
      <c r="C116" s="1057" t="s">
        <v>19</v>
      </c>
      <c r="D116" s="1058"/>
      <c r="E116" s="1058"/>
      <c r="F116" s="1058"/>
      <c r="G116" s="1058"/>
      <c r="H116" s="1058"/>
      <c r="I116" s="1058"/>
      <c r="J116" s="1059"/>
    </row>
    <row r="117" spans="1:12" x14ac:dyDescent="0.25">
      <c r="C117" s="239">
        <f>+C99</f>
        <v>2017</v>
      </c>
      <c r="D117" s="239">
        <f t="shared" ref="D117:J117" si="22">+D99</f>
        <v>2018</v>
      </c>
      <c r="E117" s="239">
        <f t="shared" si="22"/>
        <v>2019</v>
      </c>
      <c r="F117" s="239">
        <f t="shared" si="22"/>
        <v>2020</v>
      </c>
      <c r="G117" s="239">
        <f t="shared" si="22"/>
        <v>2021</v>
      </c>
      <c r="H117" s="239">
        <f t="shared" si="22"/>
        <v>2022</v>
      </c>
      <c r="I117" s="239">
        <f t="shared" si="22"/>
        <v>2023</v>
      </c>
      <c r="J117" s="239">
        <f t="shared" si="22"/>
        <v>2024</v>
      </c>
      <c r="L117" s="93" t="s">
        <v>20</v>
      </c>
    </row>
    <row r="118" spans="1:12" ht="16" customHeight="1" x14ac:dyDescent="0.25">
      <c r="A118" s="1051" t="s">
        <v>104</v>
      </c>
      <c r="B118" s="267">
        <f>+B100</f>
        <v>2017</v>
      </c>
      <c r="C118" s="247">
        <f>+C85</f>
        <v>0</v>
      </c>
      <c r="D118" s="268"/>
      <c r="E118" s="261"/>
      <c r="F118" s="251"/>
      <c r="G118" s="261"/>
      <c r="H118" s="261"/>
      <c r="I118" s="261"/>
      <c r="J118" s="265"/>
      <c r="L118" s="269">
        <f>SUM(C118:J118)</f>
        <v>0</v>
      </c>
    </row>
    <row r="119" spans="1:12" ht="13.5" customHeight="1" x14ac:dyDescent="0.25">
      <c r="A119" s="1052"/>
      <c r="B119" s="267">
        <f t="shared" ref="B119:B125" si="23">+B101</f>
        <v>2018</v>
      </c>
      <c r="C119" s="247">
        <f>+C118+C101+C86</f>
        <v>0</v>
      </c>
      <c r="D119" s="247">
        <f>+D86</f>
        <v>0</v>
      </c>
      <c r="E119" s="270"/>
      <c r="F119" s="251"/>
      <c r="G119" s="251"/>
      <c r="H119" s="251"/>
      <c r="I119" s="251"/>
      <c r="J119" s="272"/>
      <c r="L119" s="269">
        <f t="shared" ref="L119:L125" si="24">SUM(C119:J119)</f>
        <v>0</v>
      </c>
    </row>
    <row r="120" spans="1:12" ht="16.5" customHeight="1" x14ac:dyDescent="0.25">
      <c r="A120" s="1052"/>
      <c r="B120" s="267">
        <f t="shared" si="23"/>
        <v>2019</v>
      </c>
      <c r="C120" s="247">
        <f t="shared" ref="C120:C123" si="25">+C119+C102+C87</f>
        <v>0</v>
      </c>
      <c r="D120" s="247">
        <f>+D119+D102+D87</f>
        <v>0</v>
      </c>
      <c r="E120" s="247">
        <f>+E87</f>
        <v>0</v>
      </c>
      <c r="F120" s="251"/>
      <c r="G120" s="251"/>
      <c r="H120" s="251"/>
      <c r="I120" s="251"/>
      <c r="J120" s="272"/>
      <c r="L120" s="269">
        <f t="shared" si="24"/>
        <v>0</v>
      </c>
    </row>
    <row r="121" spans="1:12" ht="16.5" customHeight="1" x14ac:dyDescent="0.25">
      <c r="A121" s="1052"/>
      <c r="B121" s="267">
        <f t="shared" si="23"/>
        <v>2020</v>
      </c>
      <c r="C121" s="247">
        <f t="shared" si="25"/>
        <v>0</v>
      </c>
      <c r="D121" s="247">
        <f t="shared" ref="D121:D123" si="26">+D120+D103+D88</f>
        <v>0</v>
      </c>
      <c r="E121" s="247">
        <f t="shared" ref="E121:I125" si="27">+E120+E103+E88</f>
        <v>0</v>
      </c>
      <c r="F121" s="247">
        <f>+F88</f>
        <v>0</v>
      </c>
      <c r="G121" s="251"/>
      <c r="H121" s="251"/>
      <c r="I121" s="251"/>
      <c r="J121" s="272"/>
      <c r="L121" s="269">
        <f t="shared" si="24"/>
        <v>0</v>
      </c>
    </row>
    <row r="122" spans="1:12" ht="16.5" customHeight="1" x14ac:dyDescent="0.25">
      <c r="A122" s="1052"/>
      <c r="B122" s="267">
        <f t="shared" si="23"/>
        <v>2021</v>
      </c>
      <c r="C122" s="247">
        <f t="shared" si="25"/>
        <v>0</v>
      </c>
      <c r="D122" s="247">
        <f t="shared" si="26"/>
        <v>0</v>
      </c>
      <c r="E122" s="247">
        <f t="shared" si="27"/>
        <v>0</v>
      </c>
      <c r="F122" s="247">
        <f t="shared" si="27"/>
        <v>0</v>
      </c>
      <c r="G122" s="247">
        <f>+G89</f>
        <v>0</v>
      </c>
      <c r="H122" s="251"/>
      <c r="I122" s="251"/>
      <c r="J122" s="272"/>
      <c r="L122" s="269">
        <f t="shared" si="24"/>
        <v>0</v>
      </c>
    </row>
    <row r="123" spans="1:12" ht="16.5" customHeight="1" x14ac:dyDescent="0.25">
      <c r="A123" s="1052"/>
      <c r="B123" s="267">
        <f t="shared" si="23"/>
        <v>2022</v>
      </c>
      <c r="C123" s="247">
        <f t="shared" si="25"/>
        <v>0</v>
      </c>
      <c r="D123" s="247">
        <f t="shared" si="26"/>
        <v>0</v>
      </c>
      <c r="E123" s="247">
        <f t="shared" si="27"/>
        <v>0</v>
      </c>
      <c r="F123" s="247">
        <f t="shared" si="27"/>
        <v>0</v>
      </c>
      <c r="G123" s="247">
        <f t="shared" si="27"/>
        <v>0</v>
      </c>
      <c r="H123" s="247">
        <f>+H90</f>
        <v>0</v>
      </c>
      <c r="I123" s="251"/>
      <c r="J123" s="272"/>
      <c r="L123" s="269">
        <f t="shared" si="24"/>
        <v>0</v>
      </c>
    </row>
    <row r="124" spans="1:12" ht="16.5" customHeight="1" x14ac:dyDescent="0.25">
      <c r="A124" s="1052"/>
      <c r="B124" s="267">
        <f t="shared" si="23"/>
        <v>2023</v>
      </c>
      <c r="C124" s="524"/>
      <c r="D124" s="251"/>
      <c r="E124" s="251"/>
      <c r="F124" s="251"/>
      <c r="G124" s="247">
        <f t="shared" si="27"/>
        <v>0</v>
      </c>
      <c r="H124" s="247">
        <f t="shared" si="27"/>
        <v>0</v>
      </c>
      <c r="I124" s="247">
        <f>+I91</f>
        <v>0</v>
      </c>
      <c r="J124" s="272"/>
      <c r="L124" s="269">
        <f t="shared" si="24"/>
        <v>0</v>
      </c>
    </row>
    <row r="125" spans="1:12" ht="15.75" customHeight="1" x14ac:dyDescent="0.25">
      <c r="A125" s="1053"/>
      <c r="B125" s="267">
        <f t="shared" si="23"/>
        <v>2024</v>
      </c>
      <c r="C125" s="331"/>
      <c r="D125" s="525"/>
      <c r="E125" s="525"/>
      <c r="F125" s="525"/>
      <c r="G125" s="525"/>
      <c r="H125" s="247">
        <f t="shared" si="27"/>
        <v>0</v>
      </c>
      <c r="I125" s="247">
        <f t="shared" si="27"/>
        <v>0</v>
      </c>
      <c r="J125" s="247">
        <f>+J92</f>
        <v>0</v>
      </c>
      <c r="L125" s="269">
        <f t="shared" si="24"/>
        <v>0</v>
      </c>
    </row>
    <row r="126" spans="1:12" ht="14.5" x14ac:dyDescent="0.25">
      <c r="A126" s="332"/>
      <c r="C126" s="233"/>
    </row>
    <row r="127" spans="1:12" ht="13" x14ac:dyDescent="0.25">
      <c r="C127" s="233"/>
    </row>
    <row r="128" spans="1:12" ht="13" x14ac:dyDescent="0.25">
      <c r="C128" s="233"/>
    </row>
  </sheetData>
  <sheetProtection algorithmName="SHA-512" hashValue="mpU9URdma/f4xHcAGGy2AX1AiLJY0J+YsN7byMsPXxA9DGtP73QD3jCBM2AAYLgCKcDhdEESRqvYXSeOoKxNRQ==" saltValue="H/85xYnkYUE7RGByWVmRhg==" spinCount="100000" sheet="1" objects="1" scenarios="1"/>
  <mergeCells count="67">
    <mergeCell ref="A53:B53"/>
    <mergeCell ref="A33:B33"/>
    <mergeCell ref="A27:B27"/>
    <mergeCell ref="A30:B30"/>
    <mergeCell ref="A32:B32"/>
    <mergeCell ref="A31:B31"/>
    <mergeCell ref="A43:B43"/>
    <mergeCell ref="A41:B41"/>
    <mergeCell ref="A50:B50"/>
    <mergeCell ref="A51:B51"/>
    <mergeCell ref="A42:B42"/>
    <mergeCell ref="A45:B45"/>
    <mergeCell ref="A44:B44"/>
    <mergeCell ref="A40:B40"/>
    <mergeCell ref="A1:L1"/>
    <mergeCell ref="A7:B7"/>
    <mergeCell ref="A8:B8"/>
    <mergeCell ref="C4:J4"/>
    <mergeCell ref="A18:B18"/>
    <mergeCell ref="A10:B10"/>
    <mergeCell ref="A19:B19"/>
    <mergeCell ref="A16:B16"/>
    <mergeCell ref="C5:J5"/>
    <mergeCell ref="A15:B15"/>
    <mergeCell ref="A9:B9"/>
    <mergeCell ref="A11:B11"/>
    <mergeCell ref="A13:B13"/>
    <mergeCell ref="A14:B14"/>
    <mergeCell ref="A21:B21"/>
    <mergeCell ref="A22:B22"/>
    <mergeCell ref="A24:B24"/>
    <mergeCell ref="A25:B25"/>
    <mergeCell ref="A35:B35"/>
    <mergeCell ref="A29:B29"/>
    <mergeCell ref="A34:B34"/>
    <mergeCell ref="M79:N79"/>
    <mergeCell ref="A49:B49"/>
    <mergeCell ref="A48:B48"/>
    <mergeCell ref="A47:B47"/>
    <mergeCell ref="A61:B61"/>
    <mergeCell ref="A62:B62"/>
    <mergeCell ref="A60:B60"/>
    <mergeCell ref="A58:B58"/>
    <mergeCell ref="A63:B63"/>
    <mergeCell ref="A64:B64"/>
    <mergeCell ref="A70:L70"/>
    <mergeCell ref="A79:L79"/>
    <mergeCell ref="A52:B52"/>
    <mergeCell ref="C72:J72"/>
    <mergeCell ref="A57:B57"/>
    <mergeCell ref="A59:B59"/>
    <mergeCell ref="A118:A125"/>
    <mergeCell ref="C6:J6"/>
    <mergeCell ref="A12:B12"/>
    <mergeCell ref="A84:B84"/>
    <mergeCell ref="A85:A93"/>
    <mergeCell ref="A28:B28"/>
    <mergeCell ref="C116:J116"/>
    <mergeCell ref="A65:B65"/>
    <mergeCell ref="A54:B54"/>
    <mergeCell ref="A112:L112"/>
    <mergeCell ref="A100:A108"/>
    <mergeCell ref="C98:J98"/>
    <mergeCell ref="C83:J83"/>
    <mergeCell ref="A39:B39"/>
    <mergeCell ref="A37:B37"/>
    <mergeCell ref="A38:B38"/>
  </mergeCells>
  <conditionalFormatting sqref="H9:J9 H11:J11 H28:J28 H30:J30 H38:J38 H40:J40 H58:J58 H60:J60">
    <cfRule type="expression" dxfId="24" priority="4">
      <formula>$C$5="elektriciteit"</formula>
    </cfRule>
  </conditionalFormatting>
  <conditionalFormatting sqref="A10:J10 A12:J12 A15:J15 A29 A31 A34 A39 A41 A44 A59:J59 A61:J61 A64:J64 D34:J34 D31:J31 D29:J29 D44:J44 D41:J41 D39:J39 C29 C31 C34 C44 C41 C39">
    <cfRule type="expression" dxfId="23" priority="3">
      <formula>$C$5="gas"</formula>
    </cfRule>
  </conditionalFormatting>
  <pageMargins left="0.78740157480314965" right="0.78740157480314965" top="0.98425196850393704" bottom="0.98425196850393704" header="0.51181102362204722" footer="0.51181102362204722"/>
  <pageSetup paperSize="8" scale="34" orientation="landscape" r:id="rId1"/>
  <headerFooter alignWithMargins="0">
    <oddFooter>&amp;CPage &amp;P</oddFooter>
  </headerFooter>
  <ignoredErrors>
    <ignoredError sqref="C57" evalError="1"/>
    <ignoredError sqref="L99 N9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3EBA-8E1D-4A14-9E4D-9E4D5D9759A8}">
  <sheetPr published="0" codeName="Blad17"/>
  <dimension ref="A1:T647"/>
  <sheetViews>
    <sheetView zoomScale="80" zoomScaleNormal="80" workbookViewId="0">
      <selection activeCell="C524" sqref="C524"/>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4" width="30.7265625" style="166" customWidth="1"/>
    <col min="15" max="15" width="2.1796875" style="203" customWidth="1"/>
    <col min="16" max="16" width="30.7265625" style="166" customWidth="1"/>
    <col min="17" max="16384" width="9.1796875" style="166"/>
  </cols>
  <sheetData>
    <row r="1" spans="1:20" ht="25.5" customHeight="1" thickBot="1" x14ac:dyDescent="0.3">
      <c r="A1" s="1007" t="s">
        <v>117</v>
      </c>
      <c r="B1" s="1008"/>
      <c r="C1" s="1008"/>
      <c r="D1" s="1008"/>
      <c r="E1" s="1008"/>
      <c r="F1" s="1008"/>
      <c r="G1" s="1008"/>
      <c r="H1" s="1008"/>
      <c r="I1" s="1008"/>
      <c r="J1" s="1009"/>
      <c r="K1" s="287"/>
      <c r="L1" s="288"/>
      <c r="M1" s="288"/>
      <c r="N1" s="288"/>
      <c r="O1" s="288"/>
      <c r="Q1" s="289"/>
      <c r="R1" s="289"/>
      <c r="S1" s="289"/>
      <c r="T1" s="289"/>
    </row>
    <row r="2" spans="1:20" ht="13" x14ac:dyDescent="0.25">
      <c r="B2" s="203" t="str">
        <f>+TITELBLAD!B16</f>
        <v>Rapportering over boekjaar:</v>
      </c>
      <c r="C2" s="203"/>
      <c r="D2" s="203">
        <f>+TITELBLAD!E16</f>
        <v>2022</v>
      </c>
      <c r="E2" s="203" t="str">
        <f>+TITELBLAD!F16</f>
        <v>ex-post</v>
      </c>
      <c r="F2" s="291"/>
      <c r="G2" s="291"/>
      <c r="H2" s="290"/>
      <c r="I2" s="226"/>
      <c r="J2" s="225"/>
      <c r="K2" s="226"/>
      <c r="L2" s="226"/>
      <c r="M2" s="226"/>
      <c r="N2" s="226"/>
      <c r="O2" s="291"/>
      <c r="P2" s="226"/>
    </row>
    <row r="3" spans="1:20" ht="13.5" thickBot="1" x14ac:dyDescent="0.3">
      <c r="B3" s="292" t="s">
        <v>15</v>
      </c>
      <c r="H3" s="233"/>
      <c r="I3" s="225"/>
      <c r="J3" s="225"/>
      <c r="K3" s="226"/>
      <c r="L3" s="226"/>
      <c r="M3" s="226"/>
      <c r="N3" s="226"/>
      <c r="O3" s="291"/>
      <c r="P3" s="226"/>
    </row>
    <row r="4" spans="1:20" ht="13.5" thickBot="1" x14ac:dyDescent="0.3">
      <c r="B4" s="1025" t="str">
        <f>+TITELBLAD!C7</f>
        <v>NAAM DNB</v>
      </c>
      <c r="C4" s="1026"/>
      <c r="D4" s="1026"/>
      <c r="E4" s="1027"/>
      <c r="H4" s="233"/>
      <c r="I4" s="225"/>
      <c r="J4" s="225"/>
      <c r="K4" s="226"/>
      <c r="L4" s="226"/>
      <c r="M4" s="226"/>
      <c r="N4" s="226"/>
      <c r="O4" s="291"/>
      <c r="P4" s="226"/>
    </row>
    <row r="5" spans="1:20" ht="13" x14ac:dyDescent="0.25">
      <c r="H5" s="233"/>
      <c r="I5" s="225"/>
      <c r="J5" s="225"/>
      <c r="K5" s="226"/>
      <c r="L5" s="226"/>
      <c r="M5" s="226"/>
      <c r="N5" s="226"/>
      <c r="O5" s="291"/>
      <c r="P5" s="226"/>
    </row>
    <row r="6" spans="1:20" ht="13.5" thickBot="1" x14ac:dyDescent="0.3">
      <c r="B6" s="292" t="s">
        <v>16</v>
      </c>
      <c r="H6" s="233"/>
      <c r="I6" s="225"/>
      <c r="J6" s="225"/>
      <c r="K6" s="226"/>
      <c r="L6" s="226"/>
      <c r="M6" s="226"/>
      <c r="N6" s="226"/>
      <c r="O6" s="291"/>
      <c r="P6" s="226"/>
    </row>
    <row r="7" spans="1:20" ht="13.5" thickBot="1" x14ac:dyDescent="0.3">
      <c r="B7" s="1028" t="str">
        <f>+TITELBLAD!C10</f>
        <v>elektriciteit</v>
      </c>
      <c r="C7" s="1029"/>
      <c r="D7" s="1029"/>
      <c r="E7" s="1030"/>
      <c r="H7" s="233"/>
      <c r="I7" s="225"/>
      <c r="J7" s="225"/>
      <c r="K7" s="226"/>
      <c r="L7" s="226"/>
      <c r="M7" s="226"/>
      <c r="N7" s="226"/>
      <c r="O7" s="291"/>
      <c r="P7" s="226"/>
    </row>
    <row r="8" spans="1:20" ht="13" x14ac:dyDescent="0.25">
      <c r="H8" s="233"/>
      <c r="I8" s="225"/>
      <c r="J8" s="225"/>
      <c r="K8" s="226"/>
      <c r="L8" s="226"/>
      <c r="M8" s="226"/>
      <c r="N8" s="226"/>
      <c r="O8" s="291"/>
      <c r="P8" s="226"/>
    </row>
    <row r="9" spans="1:20" x14ac:dyDescent="0.25">
      <c r="K9" s="291"/>
      <c r="L9" s="291"/>
      <c r="M9" s="291"/>
      <c r="N9" s="291"/>
      <c r="O9" s="291"/>
      <c r="P9" s="291"/>
    </row>
    <row r="10" spans="1:20" x14ac:dyDescent="0.25">
      <c r="K10" s="291"/>
      <c r="L10" s="291"/>
      <c r="M10" s="291"/>
      <c r="N10" s="291"/>
      <c r="O10" s="291"/>
      <c r="P10" s="291"/>
    </row>
    <row r="11" spans="1:20" x14ac:dyDescent="0.25">
      <c r="G11" s="293" t="s">
        <v>127</v>
      </c>
      <c r="H11" s="294"/>
      <c r="I11" s="295"/>
      <c r="K11" s="291"/>
      <c r="L11" s="291"/>
      <c r="M11" s="291"/>
      <c r="N11" s="291"/>
      <c r="O11" s="291"/>
      <c r="P11" s="291"/>
    </row>
    <row r="12" spans="1:20" x14ac:dyDescent="0.25">
      <c r="G12" s="236" t="s">
        <v>103</v>
      </c>
      <c r="H12" s="294"/>
      <c r="I12" s="295"/>
    </row>
    <row r="13" spans="1:20" ht="60" customHeight="1" x14ac:dyDescent="0.25">
      <c r="B13" s="1078" t="s">
        <v>105</v>
      </c>
      <c r="C13" s="1079"/>
      <c r="D13" s="1079"/>
      <c r="E13" s="1080"/>
      <c r="F13" s="167"/>
      <c r="G13" s="165">
        <v>2017</v>
      </c>
      <c r="H13" s="165">
        <f>+G13+1</f>
        <v>2018</v>
      </c>
      <c r="I13" s="165">
        <f>+H13+1</f>
        <v>2019</v>
      </c>
      <c r="J13" s="165">
        <f>+I13+1</f>
        <v>2020</v>
      </c>
      <c r="K13" s="165">
        <f t="shared" ref="K13:N13" si="0">+J13+1</f>
        <v>2021</v>
      </c>
      <c r="L13" s="165">
        <f t="shared" si="0"/>
        <v>2022</v>
      </c>
      <c r="M13" s="165">
        <f t="shared" si="0"/>
        <v>2023</v>
      </c>
      <c r="N13" s="165">
        <f t="shared" si="0"/>
        <v>2024</v>
      </c>
      <c r="P13" s="165" t="s">
        <v>20</v>
      </c>
    </row>
    <row r="14" spans="1:20" s="296" customFormat="1" ht="12" customHeight="1" x14ac:dyDescent="0.25">
      <c r="B14" s="297"/>
      <c r="C14" s="297"/>
      <c r="D14" s="297"/>
      <c r="E14" s="297"/>
      <c r="F14" s="298"/>
      <c r="G14" s="220"/>
      <c r="O14" s="300"/>
    </row>
    <row r="15" spans="1:20" ht="25.5" customHeight="1" x14ac:dyDescent="0.25">
      <c r="B15" s="1099" t="s">
        <v>201</v>
      </c>
      <c r="C15" s="1099"/>
      <c r="D15" s="1099"/>
      <c r="E15" s="1099"/>
      <c r="F15" s="167"/>
      <c r="G15" s="247">
        <f>+T6A!C58</f>
        <v>0</v>
      </c>
      <c r="H15" s="247">
        <f>+T6A!D58</f>
        <v>0</v>
      </c>
      <c r="I15" s="247">
        <f>+T6A!E58</f>
        <v>0</v>
      </c>
      <c r="J15" s="247">
        <f>+T6A!F58</f>
        <v>0</v>
      </c>
      <c r="K15" s="247">
        <f>+T6A!G58</f>
        <v>0</v>
      </c>
      <c r="L15" s="247">
        <f>+T6A!H58</f>
        <v>0</v>
      </c>
      <c r="M15" s="247">
        <f>+T6A!I58</f>
        <v>0</v>
      </c>
      <c r="N15" s="247">
        <f>+T6A!J58</f>
        <v>0</v>
      </c>
      <c r="P15" s="803">
        <f>SUM(G15:N15)</f>
        <v>0</v>
      </c>
    </row>
    <row r="16" spans="1:20" ht="25.5" customHeight="1" x14ac:dyDescent="0.25">
      <c r="B16" s="1099" t="s">
        <v>368</v>
      </c>
      <c r="C16" s="1099"/>
      <c r="D16" s="1099"/>
      <c r="E16" s="1099"/>
      <c r="F16" s="167"/>
      <c r="G16" s="520"/>
      <c r="H16" s="520"/>
      <c r="I16" s="520"/>
      <c r="J16" s="520"/>
      <c r="K16" s="520"/>
      <c r="L16" s="247">
        <f>+T6A!H59</f>
        <v>0</v>
      </c>
      <c r="M16" s="247">
        <f>+T6A!I59</f>
        <v>0</v>
      </c>
      <c r="N16" s="247">
        <f>+T6A!J59</f>
        <v>0</v>
      </c>
      <c r="P16" s="803">
        <f>SUM(L16:N16)</f>
        <v>0</v>
      </c>
    </row>
    <row r="17" spans="2:16" ht="25.5" customHeight="1" x14ac:dyDescent="0.25">
      <c r="B17" s="1099" t="s">
        <v>66</v>
      </c>
      <c r="C17" s="1099"/>
      <c r="D17" s="1099"/>
      <c r="E17" s="1099"/>
      <c r="F17" s="167"/>
      <c r="G17" s="247">
        <f>+T6A!C60</f>
        <v>0</v>
      </c>
      <c r="H17" s="247">
        <f>+T6A!D60</f>
        <v>0</v>
      </c>
      <c r="I17" s="247">
        <f>+T6A!E60</f>
        <v>0</v>
      </c>
      <c r="J17" s="247">
        <f>+T6A!F60</f>
        <v>0</v>
      </c>
      <c r="K17" s="247">
        <f>+T6A!G60</f>
        <v>0</v>
      </c>
      <c r="L17" s="247">
        <f>+T6A!H60</f>
        <v>0</v>
      </c>
      <c r="M17" s="247">
        <f>+T6A!I60</f>
        <v>0</v>
      </c>
      <c r="N17" s="247">
        <f>+T6A!J60</f>
        <v>0</v>
      </c>
      <c r="P17" s="803">
        <f>SUM(G17:N17)</f>
        <v>0</v>
      </c>
    </row>
    <row r="18" spans="2:16" ht="25.5" customHeight="1" x14ac:dyDescent="0.25">
      <c r="B18" s="1099" t="s">
        <v>350</v>
      </c>
      <c r="C18" s="1099"/>
      <c r="D18" s="1099"/>
      <c r="E18" s="1099"/>
      <c r="F18" s="167"/>
      <c r="G18" s="247">
        <f>+T6A!C61</f>
        <v>0</v>
      </c>
      <c r="H18" s="247">
        <f>+T6A!D61</f>
        <v>0</v>
      </c>
      <c r="I18" s="247">
        <f>+T6A!E61</f>
        <v>0</v>
      </c>
      <c r="J18" s="247">
        <f>+T6A!F61</f>
        <v>0</v>
      </c>
      <c r="K18" s="520"/>
      <c r="L18" s="520"/>
      <c r="M18" s="520"/>
      <c r="N18" s="520"/>
      <c r="P18" s="803">
        <f>+SUM(G18:J18)</f>
        <v>0</v>
      </c>
    </row>
    <row r="19" spans="2:16" ht="25.5" customHeight="1" x14ac:dyDescent="0.25">
      <c r="B19" s="1099" t="s">
        <v>169</v>
      </c>
      <c r="C19" s="1099"/>
      <c r="D19" s="1099"/>
      <c r="E19" s="1099"/>
      <c r="F19" s="167"/>
      <c r="G19" s="247">
        <f>+T6A!C62</f>
        <v>0</v>
      </c>
      <c r="H19" s="247">
        <f>+T6A!D62</f>
        <v>0</v>
      </c>
      <c r="I19" s="247">
        <f>+T6A!E62</f>
        <v>0</v>
      </c>
      <c r="J19" s="247">
        <f>+T6A!F62</f>
        <v>0</v>
      </c>
      <c r="K19" s="520"/>
      <c r="L19" s="520"/>
      <c r="M19" s="520"/>
      <c r="N19" s="520"/>
      <c r="P19" s="803">
        <f>SUM(G19:J19)</f>
        <v>0</v>
      </c>
    </row>
    <row r="20" spans="2:16" ht="25.5" customHeight="1" x14ac:dyDescent="0.25">
      <c r="B20" s="1099" t="s">
        <v>67</v>
      </c>
      <c r="C20" s="1099"/>
      <c r="D20" s="1099"/>
      <c r="E20" s="1099"/>
      <c r="F20" s="167"/>
      <c r="G20" s="247">
        <f>+T6A!C63</f>
        <v>0</v>
      </c>
      <c r="H20" s="247">
        <f>+T6A!D63</f>
        <v>0</v>
      </c>
      <c r="I20" s="247">
        <f>+T6A!E63</f>
        <v>0</v>
      </c>
      <c r="J20" s="247">
        <f>+T6A!F63</f>
        <v>0</v>
      </c>
      <c r="K20" s="247">
        <f>+T6A!G63</f>
        <v>0</v>
      </c>
      <c r="L20" s="247">
        <f>+T6A!H63</f>
        <v>0</v>
      </c>
      <c r="M20" s="247">
        <f>+T6A!I63</f>
        <v>0</v>
      </c>
      <c r="N20" s="247">
        <f>+T6A!J63</f>
        <v>0</v>
      </c>
      <c r="P20" s="803">
        <f>SUM(G20:N20)</f>
        <v>0</v>
      </c>
    </row>
    <row r="21" spans="2:16" ht="25.5" customHeight="1" x14ac:dyDescent="0.25">
      <c r="B21" s="1099" t="s">
        <v>96</v>
      </c>
      <c r="C21" s="1099"/>
      <c r="D21" s="1099"/>
      <c r="E21" s="1099"/>
      <c r="F21" s="167"/>
      <c r="G21" s="247">
        <f>+T6A!C64</f>
        <v>0</v>
      </c>
      <c r="H21" s="247">
        <f>+T6A!D64</f>
        <v>0</v>
      </c>
      <c r="I21" s="247">
        <f>+T6A!E64</f>
        <v>0</v>
      </c>
      <c r="J21" s="247">
        <f>+T6A!F64</f>
        <v>0</v>
      </c>
      <c r="K21" s="247">
        <f>+T6A!G64</f>
        <v>0</v>
      </c>
      <c r="L21" s="520"/>
      <c r="M21" s="520"/>
      <c r="N21" s="520"/>
      <c r="P21" s="803">
        <f>SUM(G21:K21)</f>
        <v>0</v>
      </c>
    </row>
    <row r="22" spans="2:16" ht="25.5" customHeight="1" x14ac:dyDescent="0.25">
      <c r="B22" s="1100" t="s">
        <v>357</v>
      </c>
      <c r="C22" s="1101"/>
      <c r="D22" s="1101"/>
      <c r="E22" s="1102"/>
      <c r="F22" s="167"/>
      <c r="G22" s="247">
        <f>+T6A!C65</f>
        <v>0</v>
      </c>
      <c r="H22" s="247">
        <f>+T6A!D65</f>
        <v>0</v>
      </c>
      <c r="I22" s="247">
        <f>+T6A!E65</f>
        <v>0</v>
      </c>
      <c r="J22" s="247">
        <f>+T6A!F65</f>
        <v>0</v>
      </c>
      <c r="K22" s="247">
        <f>+T6A!G65</f>
        <v>0</v>
      </c>
      <c r="L22" s="247">
        <f>+T6A!H65</f>
        <v>0</v>
      </c>
      <c r="M22" s="247">
        <f>+T6A!I65</f>
        <v>0</v>
      </c>
      <c r="N22" s="247">
        <f>+T6A!J65</f>
        <v>0</v>
      </c>
      <c r="P22" s="803">
        <f>SUM(G22:N22)</f>
        <v>0</v>
      </c>
    </row>
    <row r="23" spans="2:16" ht="13" x14ac:dyDescent="0.25">
      <c r="G23" s="301"/>
      <c r="H23" s="301"/>
      <c r="I23" s="301"/>
      <c r="J23" s="301"/>
      <c r="K23" s="301"/>
      <c r="L23" s="301"/>
      <c r="M23" s="301"/>
      <c r="N23" s="301"/>
      <c r="P23" s="302"/>
    </row>
    <row r="24" spans="2:16" ht="23.25" customHeight="1" x14ac:dyDescent="0.25">
      <c r="B24" s="1093" t="s">
        <v>22</v>
      </c>
      <c r="C24" s="1094"/>
      <c r="D24" s="1094"/>
      <c r="E24" s="1095"/>
      <c r="F24" s="172"/>
      <c r="G24" s="173">
        <f t="shared" ref="G24:N24" si="1">SUM(G15:G22)</f>
        <v>0</v>
      </c>
      <c r="H24" s="173">
        <f t="shared" si="1"/>
        <v>0</v>
      </c>
      <c r="I24" s="173">
        <f t="shared" si="1"/>
        <v>0</v>
      </c>
      <c r="J24" s="173">
        <f t="shared" si="1"/>
        <v>0</v>
      </c>
      <c r="K24" s="173">
        <f t="shared" si="1"/>
        <v>0</v>
      </c>
      <c r="L24" s="173">
        <f t="shared" si="1"/>
        <v>0</v>
      </c>
      <c r="M24" s="173">
        <f t="shared" si="1"/>
        <v>0</v>
      </c>
      <c r="N24" s="173">
        <f t="shared" si="1"/>
        <v>0</v>
      </c>
      <c r="P24" s="173">
        <f>SUM(G24:N24)</f>
        <v>0</v>
      </c>
    </row>
    <row r="25" spans="2:16" ht="13" x14ac:dyDescent="0.25">
      <c r="B25" s="1103" t="s">
        <v>108</v>
      </c>
      <c r="C25" s="1103"/>
      <c r="D25" s="1103"/>
      <c r="E25" s="1103"/>
      <c r="F25" s="218"/>
      <c r="G25" s="303">
        <f>+G24-T6A!C93</f>
        <v>0</v>
      </c>
      <c r="H25" s="303">
        <f>+H24-T6A!D93</f>
        <v>0</v>
      </c>
      <c r="I25" s="303">
        <f>+I24-T6A!E93</f>
        <v>0</v>
      </c>
      <c r="J25" s="303">
        <f>+J24-T6A!F93</f>
        <v>0</v>
      </c>
      <c r="K25" s="303">
        <f>+K24-T6A!G93</f>
        <v>0</v>
      </c>
      <c r="L25" s="303">
        <f>+L24-T6A!H93</f>
        <v>0</v>
      </c>
      <c r="M25" s="303">
        <f>+M24-T6A!I93</f>
        <v>0</v>
      </c>
      <c r="N25" s="303">
        <f>+N24-T6A!J93</f>
        <v>0</v>
      </c>
      <c r="P25" s="303">
        <f>+P24-T6A!L93</f>
        <v>0</v>
      </c>
    </row>
    <row r="26" spans="2:16" ht="13" x14ac:dyDescent="0.25">
      <c r="B26" s="305"/>
      <c r="C26" s="305"/>
      <c r="D26" s="305"/>
      <c r="E26" s="305"/>
      <c r="F26" s="306"/>
      <c r="G26" s="307"/>
      <c r="H26" s="307"/>
    </row>
    <row r="27" spans="2:16" x14ac:dyDescent="0.25">
      <c r="G27" s="308" t="s">
        <v>32</v>
      </c>
    </row>
    <row r="28" spans="2:16" x14ac:dyDescent="0.25">
      <c r="G28" s="308" t="s">
        <v>33</v>
      </c>
    </row>
    <row r="29" spans="2:16" ht="60" customHeight="1" x14ac:dyDescent="0.25">
      <c r="B29" s="1078" t="s">
        <v>106</v>
      </c>
      <c r="C29" s="1079"/>
      <c r="D29" s="1079"/>
      <c r="E29" s="1080"/>
      <c r="F29" s="167"/>
      <c r="G29" s="165">
        <v>2017</v>
      </c>
      <c r="H29" s="165">
        <f>+G29+1</f>
        <v>2018</v>
      </c>
      <c r="I29" s="165">
        <f>+H29+1</f>
        <v>2019</v>
      </c>
      <c r="J29" s="165">
        <f>+I29+1</f>
        <v>2020</v>
      </c>
      <c r="K29" s="165">
        <f t="shared" ref="K29:N29" si="2">+J29+1</f>
        <v>2021</v>
      </c>
      <c r="L29" s="165">
        <f t="shared" si="2"/>
        <v>2022</v>
      </c>
      <c r="M29" s="165">
        <f t="shared" si="2"/>
        <v>2023</v>
      </c>
      <c r="N29" s="165">
        <f t="shared" si="2"/>
        <v>2024</v>
      </c>
      <c r="P29" s="165" t="s">
        <v>20</v>
      </c>
    </row>
    <row r="30" spans="2:16" s="296" customFormat="1" ht="12" customHeight="1" x14ac:dyDescent="0.25">
      <c r="B30" s="297"/>
      <c r="C30" s="297"/>
      <c r="D30" s="297"/>
      <c r="E30" s="297"/>
      <c r="F30" s="298"/>
      <c r="G30" s="220"/>
      <c r="O30" s="300"/>
    </row>
    <row r="31" spans="2:16" ht="36" customHeight="1" x14ac:dyDescent="0.25">
      <c r="B31" s="1096" t="s">
        <v>201</v>
      </c>
      <c r="C31" s="1097"/>
      <c r="D31" s="1097"/>
      <c r="E31" s="1098"/>
      <c r="F31" s="167"/>
      <c r="G31" s="804"/>
      <c r="H31" s="804"/>
      <c r="I31" s="804"/>
      <c r="J31" s="804"/>
      <c r="K31" s="804"/>
      <c r="L31" s="804"/>
      <c r="M31" s="804"/>
      <c r="N31" s="804"/>
      <c r="P31" s="804"/>
    </row>
    <row r="32" spans="2:16" ht="28.5" customHeight="1" x14ac:dyDescent="0.25">
      <c r="B32" s="1090" t="str">
        <f>"per 31/12/"&amp;$G$13</f>
        <v>per 31/12/2017</v>
      </c>
      <c r="C32" s="1091"/>
      <c r="D32" s="1091"/>
      <c r="E32" s="1092"/>
      <c r="F32" s="167"/>
      <c r="G32" s="847"/>
      <c r="H32" s="847"/>
      <c r="I32" s="847"/>
      <c r="J32" s="847"/>
      <c r="K32" s="247"/>
      <c r="L32" s="247"/>
      <c r="M32" s="247"/>
      <c r="N32" s="247"/>
      <c r="P32" s="803">
        <f>SUM(G32:N32)</f>
        <v>0</v>
      </c>
    </row>
    <row r="33" spans="2:16" ht="28.5" customHeight="1" x14ac:dyDescent="0.25">
      <c r="B33" s="1090" t="str">
        <f>"per 31/12/"&amp;$H$13</f>
        <v>per 31/12/2018</v>
      </c>
      <c r="C33" s="1091"/>
      <c r="D33" s="1091"/>
      <c r="E33" s="1092"/>
      <c r="F33" s="167"/>
      <c r="G33" s="847">
        <f>J224</f>
        <v>0</v>
      </c>
      <c r="H33" s="847"/>
      <c r="I33" s="847"/>
      <c r="J33" s="847"/>
      <c r="K33" s="247"/>
      <c r="L33" s="247"/>
      <c r="M33" s="247"/>
      <c r="N33" s="247"/>
      <c r="P33" s="803">
        <f t="shared" ref="P33:P39" si="3">SUM(G33:N33)</f>
        <v>0</v>
      </c>
    </row>
    <row r="34" spans="2:16" ht="28.5" customHeight="1" x14ac:dyDescent="0.25">
      <c r="B34" s="1090" t="str">
        <f>"per 31/12/"&amp;$I$13</f>
        <v>per 31/12/2019</v>
      </c>
      <c r="C34" s="1091"/>
      <c r="D34" s="1091"/>
      <c r="E34" s="1092"/>
      <c r="F34" s="167"/>
      <c r="G34" s="847">
        <f>+L229</f>
        <v>0</v>
      </c>
      <c r="H34" s="847">
        <f>+L230</f>
        <v>0</v>
      </c>
      <c r="I34" s="847"/>
      <c r="J34" s="847"/>
      <c r="K34" s="247"/>
      <c r="L34" s="247"/>
      <c r="M34" s="247"/>
      <c r="N34" s="247"/>
      <c r="P34" s="803">
        <f t="shared" si="3"/>
        <v>0</v>
      </c>
    </row>
    <row r="35" spans="2:16" ht="28.5" customHeight="1" x14ac:dyDescent="0.25">
      <c r="B35" s="1090" t="str">
        <f>"per 31/12/"&amp;$J$13</f>
        <v>per 31/12/2020</v>
      </c>
      <c r="C35" s="1091"/>
      <c r="D35" s="1091"/>
      <c r="E35" s="1092"/>
      <c r="F35" s="167"/>
      <c r="G35" s="847">
        <f>L236</f>
        <v>0</v>
      </c>
      <c r="H35" s="847">
        <f>L237</f>
        <v>0</v>
      </c>
      <c r="I35" s="847">
        <f>L238</f>
        <v>0</v>
      </c>
      <c r="J35" s="847"/>
      <c r="K35" s="247"/>
      <c r="L35" s="247"/>
      <c r="M35" s="247"/>
      <c r="N35" s="247"/>
      <c r="P35" s="803">
        <f t="shared" si="3"/>
        <v>0</v>
      </c>
    </row>
    <row r="36" spans="2:16" ht="28.5" customHeight="1" x14ac:dyDescent="0.25">
      <c r="B36" s="1090" t="str">
        <f>"per 31/12/"&amp;$K$13</f>
        <v>per 31/12/2021</v>
      </c>
      <c r="C36" s="1091"/>
      <c r="D36" s="1091"/>
      <c r="E36" s="1092"/>
      <c r="F36" s="167"/>
      <c r="G36" s="247">
        <f>+H244</f>
        <v>0</v>
      </c>
      <c r="H36" s="247">
        <f>+H245</f>
        <v>0</v>
      </c>
      <c r="I36" s="247">
        <f>+H246</f>
        <v>0</v>
      </c>
      <c r="J36" s="247">
        <f>+H247</f>
        <v>0</v>
      </c>
      <c r="K36" s="247"/>
      <c r="L36" s="247"/>
      <c r="M36" s="247"/>
      <c r="N36" s="247"/>
      <c r="P36" s="803">
        <f t="shared" si="3"/>
        <v>0</v>
      </c>
    </row>
    <row r="37" spans="2:16" ht="28.5" customHeight="1" x14ac:dyDescent="0.25">
      <c r="B37" s="1090" t="str">
        <f>"per 31/12/"&amp;$L$13</f>
        <v>per 31/12/2022</v>
      </c>
      <c r="C37" s="1091"/>
      <c r="D37" s="1091"/>
      <c r="E37" s="1092"/>
      <c r="F37" s="167"/>
      <c r="G37" s="247">
        <f>+H253</f>
        <v>0</v>
      </c>
      <c r="H37" s="247">
        <f>+H254</f>
        <v>0</v>
      </c>
      <c r="I37" s="247">
        <f>+H255</f>
        <v>0</v>
      </c>
      <c r="J37" s="247">
        <f>+H256</f>
        <v>0</v>
      </c>
      <c r="K37" s="247">
        <f>+H257</f>
        <v>0</v>
      </c>
      <c r="L37" s="247"/>
      <c r="M37" s="247"/>
      <c r="N37" s="247"/>
      <c r="P37" s="803">
        <f t="shared" si="3"/>
        <v>0</v>
      </c>
    </row>
    <row r="38" spans="2:16" ht="28.5" customHeight="1" x14ac:dyDescent="0.25">
      <c r="B38" s="1090" t="str">
        <f>"per 31/12/"&amp;$M$13</f>
        <v>per 31/12/2023</v>
      </c>
      <c r="C38" s="1091"/>
      <c r="D38" s="1091"/>
      <c r="E38" s="1092"/>
      <c r="F38" s="167"/>
      <c r="G38" s="247"/>
      <c r="H38" s="247"/>
      <c r="I38" s="247"/>
      <c r="J38" s="247"/>
      <c r="K38" s="247">
        <f>+H263</f>
        <v>0</v>
      </c>
      <c r="L38" s="247">
        <f>+H264</f>
        <v>0</v>
      </c>
      <c r="M38" s="247"/>
      <c r="N38" s="247"/>
      <c r="P38" s="803">
        <f t="shared" si="3"/>
        <v>0</v>
      </c>
    </row>
    <row r="39" spans="2:16" ht="28.5" customHeight="1" x14ac:dyDescent="0.25">
      <c r="B39" s="1090" t="str">
        <f>"per 31/12/"&amp;$N$13</f>
        <v>per 31/12/2024</v>
      </c>
      <c r="C39" s="1091"/>
      <c r="D39" s="1091"/>
      <c r="E39" s="1092"/>
      <c r="F39" s="167"/>
      <c r="G39" s="247"/>
      <c r="H39" s="247"/>
      <c r="I39" s="247"/>
      <c r="J39" s="247"/>
      <c r="K39" s="247"/>
      <c r="L39" s="247">
        <f>+H270</f>
        <v>0</v>
      </c>
      <c r="M39" s="247">
        <f>+H271</f>
        <v>0</v>
      </c>
      <c r="N39" s="247"/>
      <c r="P39" s="803">
        <f t="shared" si="3"/>
        <v>0</v>
      </c>
    </row>
    <row r="40" spans="2:16" ht="36" customHeight="1" x14ac:dyDescent="0.25">
      <c r="B40" s="1096" t="s">
        <v>347</v>
      </c>
      <c r="C40" s="1097"/>
      <c r="D40" s="1097"/>
      <c r="E40" s="1098"/>
      <c r="F40" s="167"/>
      <c r="G40" s="804"/>
      <c r="H40" s="804"/>
      <c r="I40" s="804"/>
      <c r="J40" s="804"/>
      <c r="K40" s="804"/>
      <c r="L40" s="804"/>
      <c r="M40" s="804"/>
      <c r="N40" s="804"/>
      <c r="P40" s="804"/>
    </row>
    <row r="41" spans="2:16" ht="28.5" customHeight="1" x14ac:dyDescent="0.25">
      <c r="B41" s="1081" t="str">
        <f>"per 31/12/"&amp;$G$13</f>
        <v>per 31/12/2017</v>
      </c>
      <c r="C41" s="1082"/>
      <c r="D41" s="1082"/>
      <c r="E41" s="1083"/>
      <c r="F41" s="167"/>
      <c r="G41" s="847"/>
      <c r="H41" s="847"/>
      <c r="I41" s="847"/>
      <c r="J41" s="847"/>
      <c r="K41" s="247"/>
      <c r="L41" s="247"/>
      <c r="M41" s="247"/>
      <c r="N41" s="247"/>
      <c r="P41" s="805"/>
    </row>
    <row r="42" spans="2:16" ht="28.5" customHeight="1" x14ac:dyDescent="0.25">
      <c r="B42" s="1081" t="str">
        <f>"per 31/12/"&amp;$H$13</f>
        <v>per 31/12/2018</v>
      </c>
      <c r="C42" s="1082"/>
      <c r="D42" s="1082"/>
      <c r="E42" s="1083"/>
      <c r="F42" s="167"/>
      <c r="G42" s="848"/>
      <c r="H42" s="847"/>
      <c r="I42" s="847"/>
      <c r="J42" s="847"/>
      <c r="K42" s="247"/>
      <c r="L42" s="247"/>
      <c r="M42" s="247"/>
      <c r="N42" s="247"/>
      <c r="P42" s="805"/>
    </row>
    <row r="43" spans="2:16" ht="28.5" customHeight="1" x14ac:dyDescent="0.25">
      <c r="B43" s="1081" t="str">
        <f>"per 31/12/"&amp;$I$13</f>
        <v>per 31/12/2019</v>
      </c>
      <c r="C43" s="1082"/>
      <c r="D43" s="1082"/>
      <c r="E43" s="1083"/>
      <c r="F43" s="167"/>
      <c r="G43" s="848"/>
      <c r="H43" s="848"/>
      <c r="I43" s="847"/>
      <c r="J43" s="847"/>
      <c r="K43" s="247"/>
      <c r="L43" s="247"/>
      <c r="M43" s="247"/>
      <c r="N43" s="247"/>
      <c r="P43" s="805"/>
    </row>
    <row r="44" spans="2:16" ht="28.5" customHeight="1" x14ac:dyDescent="0.25">
      <c r="B44" s="1081" t="str">
        <f>"per 31/12/"&amp;$J$13</f>
        <v>per 31/12/2020</v>
      </c>
      <c r="C44" s="1082"/>
      <c r="D44" s="1082"/>
      <c r="E44" s="1083"/>
      <c r="F44" s="167"/>
      <c r="G44" s="848"/>
      <c r="H44" s="848"/>
      <c r="I44" s="848"/>
      <c r="J44" s="847"/>
      <c r="K44" s="247"/>
      <c r="L44" s="247"/>
      <c r="M44" s="247"/>
      <c r="N44" s="247"/>
      <c r="P44" s="805"/>
    </row>
    <row r="45" spans="2:16" ht="28.5" customHeight="1" x14ac:dyDescent="0.25">
      <c r="B45" s="1081" t="str">
        <f>"per 31/12/"&amp;$K$13</f>
        <v>per 31/12/2021</v>
      </c>
      <c r="C45" s="1082"/>
      <c r="D45" s="1082"/>
      <c r="E45" s="1083"/>
      <c r="F45" s="167"/>
      <c r="G45" s="520"/>
      <c r="H45" s="520"/>
      <c r="I45" s="520"/>
      <c r="J45" s="520"/>
      <c r="K45" s="247"/>
      <c r="L45" s="247"/>
      <c r="M45" s="247"/>
      <c r="N45" s="247"/>
      <c r="P45" s="805"/>
    </row>
    <row r="46" spans="2:16" ht="28.5" customHeight="1" x14ac:dyDescent="0.25">
      <c r="B46" s="1081" t="str">
        <f>"per 31/12/"&amp;$L$13</f>
        <v>per 31/12/2022</v>
      </c>
      <c r="C46" s="1082"/>
      <c r="D46" s="1082"/>
      <c r="E46" s="1083"/>
      <c r="F46" s="167"/>
      <c r="G46" s="520"/>
      <c r="H46" s="520"/>
      <c r="I46" s="520"/>
      <c r="J46" s="520"/>
      <c r="K46" s="520"/>
      <c r="L46" s="247"/>
      <c r="M46" s="247"/>
      <c r="N46" s="247"/>
      <c r="P46" s="805"/>
    </row>
    <row r="47" spans="2:16" ht="28.5" customHeight="1" x14ac:dyDescent="0.25">
      <c r="B47" s="1090" t="str">
        <f>"per 31/12/"&amp;$M$13</f>
        <v>per 31/12/2023</v>
      </c>
      <c r="C47" s="1091"/>
      <c r="D47" s="1091"/>
      <c r="E47" s="1092"/>
      <c r="F47" s="167"/>
      <c r="G47" s="247"/>
      <c r="H47" s="247"/>
      <c r="I47" s="247"/>
      <c r="J47" s="247"/>
      <c r="K47" s="520"/>
      <c r="L47" s="247">
        <f>+H288</f>
        <v>0</v>
      </c>
      <c r="M47" s="247"/>
      <c r="N47" s="247"/>
      <c r="P47" s="803">
        <f t="shared" ref="P47:P48" si="4">SUM(G47:N47)</f>
        <v>0</v>
      </c>
    </row>
    <row r="48" spans="2:16" ht="28.5" customHeight="1" x14ac:dyDescent="0.25">
      <c r="B48" s="1090" t="str">
        <f>"per 31/12/"&amp;$N$13</f>
        <v>per 31/12/2024</v>
      </c>
      <c r="C48" s="1091"/>
      <c r="D48" s="1091"/>
      <c r="E48" s="1092"/>
      <c r="F48" s="167"/>
      <c r="G48" s="247"/>
      <c r="H48" s="247"/>
      <c r="I48" s="247"/>
      <c r="J48" s="247"/>
      <c r="K48" s="247"/>
      <c r="L48" s="247">
        <f>+H294</f>
        <v>0</v>
      </c>
      <c r="M48" s="247">
        <f>+H295</f>
        <v>0</v>
      </c>
      <c r="N48" s="247"/>
      <c r="P48" s="803">
        <f t="shared" si="4"/>
        <v>0</v>
      </c>
    </row>
    <row r="49" spans="2:16" ht="27.75" customHeight="1" x14ac:dyDescent="0.25">
      <c r="B49" s="1096" t="s">
        <v>66</v>
      </c>
      <c r="C49" s="1097"/>
      <c r="D49" s="1097"/>
      <c r="E49" s="1098"/>
      <c r="F49" s="167"/>
      <c r="G49" s="804"/>
      <c r="H49" s="804"/>
      <c r="I49" s="804"/>
      <c r="J49" s="804"/>
      <c r="K49" s="804"/>
      <c r="L49" s="804"/>
      <c r="M49" s="804"/>
      <c r="N49" s="804"/>
      <c r="P49" s="804"/>
    </row>
    <row r="50" spans="2:16" ht="28.5" customHeight="1" x14ac:dyDescent="0.25">
      <c r="B50" s="1090" t="str">
        <f>"per 31/12/"&amp;$G$13</f>
        <v>per 31/12/2017</v>
      </c>
      <c r="C50" s="1091"/>
      <c r="D50" s="1091"/>
      <c r="E50" s="1092"/>
      <c r="F50" s="167"/>
      <c r="G50" s="247"/>
      <c r="H50" s="247"/>
      <c r="I50" s="247"/>
      <c r="J50" s="247"/>
      <c r="K50" s="247"/>
      <c r="L50" s="247"/>
      <c r="M50" s="247"/>
      <c r="N50" s="247"/>
      <c r="P50" s="803">
        <f>SUM(G50:N50)</f>
        <v>0</v>
      </c>
    </row>
    <row r="51" spans="2:16" ht="28.5" customHeight="1" x14ac:dyDescent="0.25">
      <c r="B51" s="1090" t="str">
        <f>"per 31/12/"&amp;$H$13</f>
        <v>per 31/12/2018</v>
      </c>
      <c r="C51" s="1091"/>
      <c r="D51" s="1091"/>
      <c r="E51" s="1092"/>
      <c r="F51" s="167"/>
      <c r="G51" s="847">
        <f>J311</f>
        <v>0</v>
      </c>
      <c r="H51" s="847"/>
      <c r="I51" s="847"/>
      <c r="J51" s="847"/>
      <c r="K51" s="247"/>
      <c r="L51" s="247"/>
      <c r="M51" s="247"/>
      <c r="N51" s="247"/>
      <c r="P51" s="803">
        <f t="shared" ref="P51:P57" si="5">SUM(G51:N51)</f>
        <v>0</v>
      </c>
    </row>
    <row r="52" spans="2:16" ht="28.5" customHeight="1" x14ac:dyDescent="0.25">
      <c r="B52" s="1090" t="str">
        <f>"per 31/12/"&amp;$I$13</f>
        <v>per 31/12/2019</v>
      </c>
      <c r="C52" s="1091"/>
      <c r="D52" s="1091"/>
      <c r="E52" s="1092"/>
      <c r="F52" s="167"/>
      <c r="G52" s="847">
        <f>+L316</f>
        <v>0</v>
      </c>
      <c r="H52" s="847">
        <f>+L317</f>
        <v>0</v>
      </c>
      <c r="I52" s="847"/>
      <c r="J52" s="847"/>
      <c r="K52" s="247"/>
      <c r="L52" s="247"/>
      <c r="M52" s="247"/>
      <c r="N52" s="247"/>
      <c r="P52" s="803">
        <f t="shared" si="5"/>
        <v>0</v>
      </c>
    </row>
    <row r="53" spans="2:16" ht="28.5" customHeight="1" x14ac:dyDescent="0.25">
      <c r="B53" s="1090" t="str">
        <f>"per 31/12/"&amp;$J$13</f>
        <v>per 31/12/2020</v>
      </c>
      <c r="C53" s="1091"/>
      <c r="D53" s="1091"/>
      <c r="E53" s="1092"/>
      <c r="F53" s="167"/>
      <c r="G53" s="847">
        <f>L323</f>
        <v>0</v>
      </c>
      <c r="H53" s="847">
        <f>L324</f>
        <v>0</v>
      </c>
      <c r="I53" s="847">
        <f>L325</f>
        <v>0</v>
      </c>
      <c r="J53" s="847"/>
      <c r="K53" s="247"/>
      <c r="L53" s="247"/>
      <c r="M53" s="247"/>
      <c r="N53" s="247"/>
      <c r="P53" s="803">
        <f t="shared" si="5"/>
        <v>0</v>
      </c>
    </row>
    <row r="54" spans="2:16" ht="28.5" customHeight="1" x14ac:dyDescent="0.25">
      <c r="B54" s="1090" t="str">
        <f>"per 31/12/"&amp;$K$13</f>
        <v>per 31/12/2021</v>
      </c>
      <c r="C54" s="1091"/>
      <c r="D54" s="1091"/>
      <c r="E54" s="1092"/>
      <c r="F54" s="167"/>
      <c r="G54" s="247">
        <f>+H331</f>
        <v>0</v>
      </c>
      <c r="H54" s="247">
        <f>+H332</f>
        <v>0</v>
      </c>
      <c r="I54" s="247">
        <f>+H333</f>
        <v>0</v>
      </c>
      <c r="J54" s="247">
        <f>+H334</f>
        <v>0</v>
      </c>
      <c r="K54" s="247"/>
      <c r="L54" s="247"/>
      <c r="M54" s="247"/>
      <c r="N54" s="247"/>
      <c r="P54" s="803">
        <f t="shared" si="5"/>
        <v>0</v>
      </c>
    </row>
    <row r="55" spans="2:16" ht="28.5" customHeight="1" x14ac:dyDescent="0.25">
      <c r="B55" s="1090" t="str">
        <f>"per 31/12/"&amp;$L$13</f>
        <v>per 31/12/2022</v>
      </c>
      <c r="C55" s="1091"/>
      <c r="D55" s="1091"/>
      <c r="E55" s="1092"/>
      <c r="F55" s="167"/>
      <c r="G55" s="247">
        <f>+H340</f>
        <v>0</v>
      </c>
      <c r="H55" s="247">
        <f>+H341</f>
        <v>0</v>
      </c>
      <c r="I55" s="247">
        <f>+H342</f>
        <v>0</v>
      </c>
      <c r="J55" s="247">
        <f>+H343</f>
        <v>0</v>
      </c>
      <c r="K55" s="247">
        <f>+H344</f>
        <v>0</v>
      </c>
      <c r="L55" s="247"/>
      <c r="M55" s="247"/>
      <c r="N55" s="247"/>
      <c r="P55" s="803">
        <f t="shared" si="5"/>
        <v>0</v>
      </c>
    </row>
    <row r="56" spans="2:16" ht="28.5" customHeight="1" x14ac:dyDescent="0.25">
      <c r="B56" s="1090" t="str">
        <f>"per 31/12/"&amp;$M$13</f>
        <v>per 31/12/2023</v>
      </c>
      <c r="C56" s="1091"/>
      <c r="D56" s="1091"/>
      <c r="E56" s="1092"/>
      <c r="F56" s="167"/>
      <c r="G56" s="247"/>
      <c r="H56" s="247"/>
      <c r="I56" s="247"/>
      <c r="J56" s="247"/>
      <c r="K56" s="247">
        <f>+H350</f>
        <v>0</v>
      </c>
      <c r="L56" s="247">
        <f>+H351</f>
        <v>0</v>
      </c>
      <c r="M56" s="247"/>
      <c r="N56" s="247"/>
      <c r="P56" s="803">
        <f t="shared" si="5"/>
        <v>0</v>
      </c>
    </row>
    <row r="57" spans="2:16" ht="28.5" customHeight="1" x14ac:dyDescent="0.25">
      <c r="B57" s="1090" t="str">
        <f>"per 31/12/"&amp;$N$13</f>
        <v>per 31/12/2024</v>
      </c>
      <c r="C57" s="1091"/>
      <c r="D57" s="1091"/>
      <c r="E57" s="1092"/>
      <c r="F57" s="167"/>
      <c r="G57" s="247"/>
      <c r="H57" s="247"/>
      <c r="I57" s="247"/>
      <c r="J57" s="247"/>
      <c r="K57" s="247"/>
      <c r="L57" s="247">
        <f>+H357</f>
        <v>0</v>
      </c>
      <c r="M57" s="247">
        <f>+H358</f>
        <v>0</v>
      </c>
      <c r="N57" s="247"/>
      <c r="P57" s="803">
        <f t="shared" si="5"/>
        <v>0</v>
      </c>
    </row>
    <row r="58" spans="2:16" ht="33.75" customHeight="1" x14ac:dyDescent="0.25">
      <c r="B58" s="1104" t="s">
        <v>350</v>
      </c>
      <c r="C58" s="1104"/>
      <c r="D58" s="1104"/>
      <c r="E58" s="1104"/>
      <c r="F58" s="167"/>
      <c r="G58" s="804"/>
      <c r="H58" s="804"/>
      <c r="I58" s="804"/>
      <c r="J58" s="804"/>
      <c r="K58" s="804"/>
      <c r="L58" s="804"/>
      <c r="M58" s="804"/>
      <c r="N58" s="804"/>
      <c r="P58" s="804"/>
    </row>
    <row r="59" spans="2:16" ht="28.5" customHeight="1" x14ac:dyDescent="0.25">
      <c r="B59" s="1090" t="str">
        <f>"per 31/12/"&amp;$G$13</f>
        <v>per 31/12/2017</v>
      </c>
      <c r="C59" s="1091"/>
      <c r="D59" s="1091"/>
      <c r="E59" s="1092"/>
      <c r="F59" s="167"/>
      <c r="G59" s="247"/>
      <c r="H59" s="247"/>
      <c r="I59" s="247"/>
      <c r="J59" s="247"/>
      <c r="K59" s="247"/>
      <c r="L59" s="247"/>
      <c r="M59" s="247"/>
      <c r="N59" s="247"/>
      <c r="P59" s="803">
        <f t="shared" ref="P59:P64" si="6">SUM(G59:N59)</f>
        <v>0</v>
      </c>
    </row>
    <row r="60" spans="2:16" ht="28.5" customHeight="1" x14ac:dyDescent="0.25">
      <c r="B60" s="1090" t="str">
        <f>"per 31/12/"&amp;$H$13</f>
        <v>per 31/12/2018</v>
      </c>
      <c r="C60" s="1091"/>
      <c r="D60" s="1091"/>
      <c r="E60" s="1092"/>
      <c r="F60" s="167"/>
      <c r="G60" s="847">
        <f>+J375</f>
        <v>0</v>
      </c>
      <c r="H60" s="847"/>
      <c r="I60" s="847"/>
      <c r="J60" s="847"/>
      <c r="K60" s="247"/>
      <c r="L60" s="247"/>
      <c r="M60" s="247"/>
      <c r="N60" s="247"/>
      <c r="P60" s="803">
        <f t="shared" si="6"/>
        <v>0</v>
      </c>
    </row>
    <row r="61" spans="2:16" ht="28.5" customHeight="1" x14ac:dyDescent="0.25">
      <c r="B61" s="1090" t="str">
        <f>"per 31/12/"&amp;$I$13</f>
        <v>per 31/12/2019</v>
      </c>
      <c r="C61" s="1091"/>
      <c r="D61" s="1091"/>
      <c r="E61" s="1092"/>
      <c r="F61" s="167"/>
      <c r="G61" s="847">
        <f>+L380</f>
        <v>0</v>
      </c>
      <c r="H61" s="847">
        <f>+L381</f>
        <v>0</v>
      </c>
      <c r="I61" s="847"/>
      <c r="J61" s="847"/>
      <c r="K61" s="247"/>
      <c r="L61" s="247"/>
      <c r="M61" s="247"/>
      <c r="N61" s="247"/>
      <c r="P61" s="803">
        <f t="shared" si="6"/>
        <v>0</v>
      </c>
    </row>
    <row r="62" spans="2:16" ht="28.5" customHeight="1" x14ac:dyDescent="0.25">
      <c r="B62" s="1090" t="str">
        <f>"per 31/12/"&amp;$J$13</f>
        <v>per 31/12/2020</v>
      </c>
      <c r="C62" s="1091"/>
      <c r="D62" s="1091"/>
      <c r="E62" s="1092"/>
      <c r="F62" s="167"/>
      <c r="G62" s="847">
        <f>L387</f>
        <v>0</v>
      </c>
      <c r="H62" s="847">
        <f>L388</f>
        <v>0</v>
      </c>
      <c r="I62" s="847">
        <f>L389</f>
        <v>0</v>
      </c>
      <c r="J62" s="847"/>
      <c r="K62" s="247"/>
      <c r="L62" s="247"/>
      <c r="M62" s="247"/>
      <c r="N62" s="247"/>
      <c r="P62" s="803">
        <f t="shared" si="6"/>
        <v>0</v>
      </c>
    </row>
    <row r="63" spans="2:16" ht="28.5" customHeight="1" x14ac:dyDescent="0.25">
      <c r="B63" s="1090" t="str">
        <f>"per 31/12/"&amp;$K$13</f>
        <v>per 31/12/2021</v>
      </c>
      <c r="C63" s="1091"/>
      <c r="D63" s="1091"/>
      <c r="E63" s="1092"/>
      <c r="F63" s="167"/>
      <c r="G63" s="247">
        <f>+H395</f>
        <v>0</v>
      </c>
      <c r="H63" s="247">
        <f>+H396</f>
        <v>0</v>
      </c>
      <c r="I63" s="247">
        <f>+H397</f>
        <v>0</v>
      </c>
      <c r="J63" s="247">
        <f>+H398</f>
        <v>0</v>
      </c>
      <c r="K63" s="247"/>
      <c r="L63" s="247"/>
      <c r="M63" s="247"/>
      <c r="N63" s="247"/>
      <c r="P63" s="803">
        <f t="shared" si="6"/>
        <v>0</v>
      </c>
    </row>
    <row r="64" spans="2:16" ht="28.5" customHeight="1" x14ac:dyDescent="0.25">
      <c r="B64" s="1090" t="str">
        <f>"per 31/12/"&amp;$L$13</f>
        <v>per 31/12/2022</v>
      </c>
      <c r="C64" s="1091"/>
      <c r="D64" s="1091"/>
      <c r="E64" s="1092"/>
      <c r="F64" s="167"/>
      <c r="G64" s="247">
        <f>+H404</f>
        <v>0</v>
      </c>
      <c r="H64" s="247">
        <f>+H405</f>
        <v>0</v>
      </c>
      <c r="I64" s="247">
        <f>+H406</f>
        <v>0</v>
      </c>
      <c r="J64" s="247">
        <f>+H407</f>
        <v>0</v>
      </c>
      <c r="K64" s="520"/>
      <c r="L64" s="247"/>
      <c r="M64" s="247"/>
      <c r="N64" s="247"/>
      <c r="P64" s="803">
        <f t="shared" si="6"/>
        <v>0</v>
      </c>
    </row>
    <row r="65" spans="2:16" ht="28.5" customHeight="1" x14ac:dyDescent="0.25">
      <c r="B65" s="1090" t="str">
        <f>"per 31/12/"&amp;$M$13</f>
        <v>per 31/12/2023</v>
      </c>
      <c r="C65" s="1091"/>
      <c r="D65" s="1091"/>
      <c r="E65" s="1092"/>
      <c r="F65" s="167"/>
      <c r="G65" s="247"/>
      <c r="H65" s="247"/>
      <c r="I65" s="247"/>
      <c r="J65" s="247"/>
      <c r="K65" s="520"/>
      <c r="L65" s="520"/>
      <c r="M65" s="247"/>
      <c r="N65" s="247"/>
      <c r="P65" s="805"/>
    </row>
    <row r="66" spans="2:16" ht="28.5" customHeight="1" x14ac:dyDescent="0.25">
      <c r="B66" s="1090" t="str">
        <f>"per 31/12/"&amp;$N$13</f>
        <v>per 31/12/2024</v>
      </c>
      <c r="C66" s="1091"/>
      <c r="D66" s="1091"/>
      <c r="E66" s="1092"/>
      <c r="F66" s="167"/>
      <c r="G66" s="247"/>
      <c r="H66" s="247"/>
      <c r="I66" s="247"/>
      <c r="J66" s="247"/>
      <c r="K66" s="247"/>
      <c r="L66" s="520"/>
      <c r="M66" s="520"/>
      <c r="N66" s="247"/>
      <c r="P66" s="805"/>
    </row>
    <row r="67" spans="2:16" ht="30" customHeight="1" x14ac:dyDescent="0.25">
      <c r="B67" s="1096" t="s">
        <v>169</v>
      </c>
      <c r="C67" s="1097"/>
      <c r="D67" s="1097"/>
      <c r="E67" s="1098"/>
      <c r="F67" s="167"/>
      <c r="G67" s="804"/>
      <c r="H67" s="804"/>
      <c r="I67" s="804"/>
      <c r="J67" s="804"/>
      <c r="K67" s="804"/>
      <c r="L67" s="804"/>
      <c r="M67" s="804"/>
      <c r="N67" s="804"/>
      <c r="P67" s="804"/>
    </row>
    <row r="68" spans="2:16" ht="28.5" customHeight="1" x14ac:dyDescent="0.25">
      <c r="B68" s="1090" t="str">
        <f>"per 31/12/"&amp;$G$13</f>
        <v>per 31/12/2017</v>
      </c>
      <c r="C68" s="1091"/>
      <c r="D68" s="1091"/>
      <c r="E68" s="1092"/>
      <c r="F68" s="167"/>
      <c r="G68" s="247"/>
      <c r="H68" s="247"/>
      <c r="I68" s="247"/>
      <c r="J68" s="247"/>
      <c r="K68" s="247"/>
      <c r="L68" s="247"/>
      <c r="M68" s="247"/>
      <c r="N68" s="247"/>
      <c r="P68" s="803">
        <f>SUM(G68:N68)</f>
        <v>0</v>
      </c>
    </row>
    <row r="69" spans="2:16" ht="28.5" customHeight="1" x14ac:dyDescent="0.25">
      <c r="B69" s="1090" t="str">
        <f>"per 31/12/"&amp;$H$13</f>
        <v>per 31/12/2018</v>
      </c>
      <c r="C69" s="1091"/>
      <c r="D69" s="1091"/>
      <c r="E69" s="1092"/>
      <c r="F69" s="167"/>
      <c r="G69" s="847">
        <f>J423</f>
        <v>0</v>
      </c>
      <c r="H69" s="847"/>
      <c r="I69" s="847"/>
      <c r="J69" s="847"/>
      <c r="K69" s="247"/>
      <c r="L69" s="247"/>
      <c r="M69" s="247"/>
      <c r="N69" s="247"/>
      <c r="P69" s="803">
        <f t="shared" ref="P69:P73" si="7">SUM(G69:N69)</f>
        <v>0</v>
      </c>
    </row>
    <row r="70" spans="2:16" ht="28.5" customHeight="1" x14ac:dyDescent="0.25">
      <c r="B70" s="1090" t="str">
        <f>"per 31/12/"&amp;$I$13</f>
        <v>per 31/12/2019</v>
      </c>
      <c r="C70" s="1091"/>
      <c r="D70" s="1091"/>
      <c r="E70" s="1092"/>
      <c r="F70" s="167"/>
      <c r="G70" s="847">
        <f>+L428</f>
        <v>0</v>
      </c>
      <c r="H70" s="847">
        <f>+L429</f>
        <v>0</v>
      </c>
      <c r="I70" s="847"/>
      <c r="J70" s="847"/>
      <c r="K70" s="247"/>
      <c r="L70" s="247"/>
      <c r="M70" s="247"/>
      <c r="N70" s="247"/>
      <c r="P70" s="803">
        <f t="shared" si="7"/>
        <v>0</v>
      </c>
    </row>
    <row r="71" spans="2:16" ht="28.5" customHeight="1" x14ac:dyDescent="0.25">
      <c r="B71" s="1090" t="str">
        <f>"per 31/12/"&amp;$J$13</f>
        <v>per 31/12/2020</v>
      </c>
      <c r="C71" s="1091"/>
      <c r="D71" s="1091"/>
      <c r="E71" s="1092"/>
      <c r="F71" s="167"/>
      <c r="G71" s="847">
        <f>L435</f>
        <v>0</v>
      </c>
      <c r="H71" s="847">
        <f>L436</f>
        <v>0</v>
      </c>
      <c r="I71" s="847">
        <f>L437</f>
        <v>0</v>
      </c>
      <c r="J71" s="847"/>
      <c r="K71" s="247"/>
      <c r="L71" s="247"/>
      <c r="M71" s="247"/>
      <c r="N71" s="247"/>
      <c r="P71" s="803">
        <f t="shared" si="7"/>
        <v>0</v>
      </c>
    </row>
    <row r="72" spans="2:16" ht="28.5" customHeight="1" x14ac:dyDescent="0.25">
      <c r="B72" s="1090" t="str">
        <f>"per 31/12/"&amp;$K$13</f>
        <v>per 31/12/2021</v>
      </c>
      <c r="C72" s="1091"/>
      <c r="D72" s="1091"/>
      <c r="E72" s="1092"/>
      <c r="F72" s="167"/>
      <c r="G72" s="247">
        <f>+H443</f>
        <v>0</v>
      </c>
      <c r="H72" s="247">
        <f>+H444</f>
        <v>0</v>
      </c>
      <c r="I72" s="247">
        <f>+H445</f>
        <v>0</v>
      </c>
      <c r="J72" s="247">
        <f>+H446</f>
        <v>0</v>
      </c>
      <c r="K72" s="247"/>
      <c r="L72" s="247"/>
      <c r="M72" s="247"/>
      <c r="N72" s="247"/>
      <c r="P72" s="803">
        <f t="shared" si="7"/>
        <v>0</v>
      </c>
    </row>
    <row r="73" spans="2:16" ht="28.5" customHeight="1" x14ac:dyDescent="0.25">
      <c r="B73" s="1090" t="str">
        <f>"per 31/12/"&amp;$L$13</f>
        <v>per 31/12/2022</v>
      </c>
      <c r="C73" s="1091"/>
      <c r="D73" s="1091"/>
      <c r="E73" s="1092"/>
      <c r="F73" s="167"/>
      <c r="G73" s="247">
        <f>+H452</f>
        <v>0</v>
      </c>
      <c r="H73" s="247">
        <f>+H453</f>
        <v>0</v>
      </c>
      <c r="I73" s="247">
        <f>+H454</f>
        <v>0</v>
      </c>
      <c r="J73" s="247">
        <f>+H455</f>
        <v>0</v>
      </c>
      <c r="K73" s="520"/>
      <c r="L73" s="247"/>
      <c r="M73" s="247"/>
      <c r="N73" s="247"/>
      <c r="P73" s="803">
        <f t="shared" si="7"/>
        <v>0</v>
      </c>
    </row>
    <row r="74" spans="2:16" ht="28.5" customHeight="1" x14ac:dyDescent="0.25">
      <c r="B74" s="1090" t="str">
        <f>"per 31/12/"&amp;$M$13</f>
        <v>per 31/12/2023</v>
      </c>
      <c r="C74" s="1091"/>
      <c r="D74" s="1091"/>
      <c r="E74" s="1092"/>
      <c r="F74" s="167"/>
      <c r="G74" s="247"/>
      <c r="H74" s="247"/>
      <c r="I74" s="247"/>
      <c r="J74" s="247"/>
      <c r="K74" s="520"/>
      <c r="L74" s="520"/>
      <c r="M74" s="247"/>
      <c r="N74" s="247"/>
      <c r="P74" s="805"/>
    </row>
    <row r="75" spans="2:16" ht="28.5" customHeight="1" x14ac:dyDescent="0.25">
      <c r="B75" s="1090" t="str">
        <f>"per 31/12/"&amp;$N$13</f>
        <v>per 31/12/2024</v>
      </c>
      <c r="C75" s="1091"/>
      <c r="D75" s="1091"/>
      <c r="E75" s="1092"/>
      <c r="F75" s="167"/>
      <c r="G75" s="247"/>
      <c r="H75" s="247"/>
      <c r="I75" s="247"/>
      <c r="J75" s="247"/>
      <c r="K75" s="247"/>
      <c r="L75" s="520"/>
      <c r="M75" s="520"/>
      <c r="N75" s="247"/>
      <c r="P75" s="805"/>
    </row>
    <row r="76" spans="2:16" ht="30" customHeight="1" x14ac:dyDescent="0.25">
      <c r="B76" s="1096" t="s">
        <v>67</v>
      </c>
      <c r="C76" s="1097"/>
      <c r="D76" s="1097"/>
      <c r="E76" s="1098"/>
      <c r="F76" s="167"/>
      <c r="G76" s="804"/>
      <c r="H76" s="804"/>
      <c r="I76" s="804"/>
      <c r="J76" s="804"/>
      <c r="K76" s="804"/>
      <c r="L76" s="804"/>
      <c r="M76" s="804"/>
      <c r="N76" s="804"/>
      <c r="P76" s="804"/>
    </row>
    <row r="77" spans="2:16" ht="28.5" customHeight="1" x14ac:dyDescent="0.25">
      <c r="B77" s="1090" t="str">
        <f>"per 31/12/"&amp;$G$13</f>
        <v>per 31/12/2017</v>
      </c>
      <c r="C77" s="1091"/>
      <c r="D77" s="1091"/>
      <c r="E77" s="1092"/>
      <c r="F77" s="167"/>
      <c r="G77" s="247"/>
      <c r="H77" s="247"/>
      <c r="I77" s="247"/>
      <c r="J77" s="247"/>
      <c r="K77" s="247"/>
      <c r="L77" s="247"/>
      <c r="M77" s="247"/>
      <c r="N77" s="247"/>
      <c r="P77" s="803">
        <f>SUM(G77:N77)</f>
        <v>0</v>
      </c>
    </row>
    <row r="78" spans="2:16" ht="28.5" customHeight="1" x14ac:dyDescent="0.25">
      <c r="B78" s="1090" t="str">
        <f>"per 31/12/"&amp;$H$13</f>
        <v>per 31/12/2018</v>
      </c>
      <c r="C78" s="1091"/>
      <c r="D78" s="1091"/>
      <c r="E78" s="1092"/>
      <c r="F78" s="167"/>
      <c r="G78" s="847">
        <f>J471</f>
        <v>0</v>
      </c>
      <c r="H78" s="847"/>
      <c r="I78" s="847"/>
      <c r="J78" s="847"/>
      <c r="K78" s="247"/>
      <c r="L78" s="247"/>
      <c r="M78" s="247"/>
      <c r="N78" s="247"/>
      <c r="P78" s="803">
        <f t="shared" ref="P78:P84" si="8">SUM(G78:N78)</f>
        <v>0</v>
      </c>
    </row>
    <row r="79" spans="2:16" ht="28.5" customHeight="1" x14ac:dyDescent="0.25">
      <c r="B79" s="1090" t="str">
        <f>"per 31/12/"&amp;$I$13</f>
        <v>per 31/12/2019</v>
      </c>
      <c r="C79" s="1091"/>
      <c r="D79" s="1091"/>
      <c r="E79" s="1092"/>
      <c r="F79" s="167"/>
      <c r="G79" s="847">
        <f>+L476</f>
        <v>0</v>
      </c>
      <c r="H79" s="847">
        <f>+L477</f>
        <v>0</v>
      </c>
      <c r="I79" s="847"/>
      <c r="J79" s="847"/>
      <c r="K79" s="247"/>
      <c r="L79" s="247"/>
      <c r="M79" s="247"/>
      <c r="N79" s="247"/>
      <c r="P79" s="803">
        <f t="shared" si="8"/>
        <v>0</v>
      </c>
    </row>
    <row r="80" spans="2:16" ht="28.5" customHeight="1" x14ac:dyDescent="0.25">
      <c r="B80" s="1090" t="str">
        <f>"per 31/12/"&amp;$J$13</f>
        <v>per 31/12/2020</v>
      </c>
      <c r="C80" s="1091"/>
      <c r="D80" s="1091"/>
      <c r="E80" s="1092"/>
      <c r="F80" s="167"/>
      <c r="G80" s="847">
        <f>L483</f>
        <v>0</v>
      </c>
      <c r="H80" s="847">
        <f>L484</f>
        <v>0</v>
      </c>
      <c r="I80" s="847">
        <f>L485</f>
        <v>0</v>
      </c>
      <c r="J80" s="847"/>
      <c r="K80" s="247"/>
      <c r="L80" s="247"/>
      <c r="M80" s="247"/>
      <c r="N80" s="247"/>
      <c r="P80" s="803">
        <f t="shared" si="8"/>
        <v>0</v>
      </c>
    </row>
    <row r="81" spans="2:16" ht="28.5" customHeight="1" x14ac:dyDescent="0.25">
      <c r="B81" s="1090" t="str">
        <f>"per 31/12/"&amp;$K$13</f>
        <v>per 31/12/2021</v>
      </c>
      <c r="C81" s="1091"/>
      <c r="D81" s="1091"/>
      <c r="E81" s="1092"/>
      <c r="F81" s="167"/>
      <c r="G81" s="247">
        <f>+H491</f>
        <v>0</v>
      </c>
      <c r="H81" s="247">
        <f>+H492</f>
        <v>0</v>
      </c>
      <c r="I81" s="247">
        <f>+H493</f>
        <v>0</v>
      </c>
      <c r="J81" s="247">
        <f>+H494</f>
        <v>0</v>
      </c>
      <c r="K81" s="247"/>
      <c r="L81" s="247"/>
      <c r="M81" s="247"/>
      <c r="N81" s="247"/>
      <c r="P81" s="803">
        <f t="shared" si="8"/>
        <v>0</v>
      </c>
    </row>
    <row r="82" spans="2:16" ht="28.5" customHeight="1" x14ac:dyDescent="0.25">
      <c r="B82" s="1090" t="str">
        <f>"per 31/12/"&amp;$L$13</f>
        <v>per 31/12/2022</v>
      </c>
      <c r="C82" s="1091"/>
      <c r="D82" s="1091"/>
      <c r="E82" s="1092"/>
      <c r="F82" s="167"/>
      <c r="G82" s="247">
        <f>+H500</f>
        <v>0</v>
      </c>
      <c r="H82" s="247">
        <f>+H501</f>
        <v>0</v>
      </c>
      <c r="I82" s="247">
        <f>+H502</f>
        <v>0</v>
      </c>
      <c r="J82" s="247">
        <f>+H503</f>
        <v>0</v>
      </c>
      <c r="K82" s="247">
        <f>+H504</f>
        <v>0</v>
      </c>
      <c r="L82" s="247"/>
      <c r="M82" s="247"/>
      <c r="N82" s="247"/>
      <c r="P82" s="803">
        <f t="shared" si="8"/>
        <v>0</v>
      </c>
    </row>
    <row r="83" spans="2:16" ht="28.5" customHeight="1" x14ac:dyDescent="0.25">
      <c r="B83" s="1090" t="str">
        <f>"per 31/12/"&amp;$M$13</f>
        <v>per 31/12/2023</v>
      </c>
      <c r="C83" s="1091"/>
      <c r="D83" s="1091"/>
      <c r="E83" s="1092"/>
      <c r="F83" s="167"/>
      <c r="G83" s="247"/>
      <c r="H83" s="247"/>
      <c r="I83" s="247"/>
      <c r="J83" s="247"/>
      <c r="K83" s="247">
        <f>+H510</f>
        <v>0</v>
      </c>
      <c r="L83" s="247">
        <f>+H511</f>
        <v>0</v>
      </c>
      <c r="M83" s="247"/>
      <c r="N83" s="247"/>
      <c r="P83" s="803">
        <f t="shared" si="8"/>
        <v>0</v>
      </c>
    </row>
    <row r="84" spans="2:16" ht="28.5" customHeight="1" x14ac:dyDescent="0.25">
      <c r="B84" s="1090" t="str">
        <f>"per 31/12/"&amp;$N$13</f>
        <v>per 31/12/2024</v>
      </c>
      <c r="C84" s="1091"/>
      <c r="D84" s="1091"/>
      <c r="E84" s="1092"/>
      <c r="F84" s="167"/>
      <c r="G84" s="247"/>
      <c r="H84" s="247"/>
      <c r="I84" s="247"/>
      <c r="J84" s="247"/>
      <c r="K84" s="247"/>
      <c r="L84" s="247">
        <f>+H517</f>
        <v>0</v>
      </c>
      <c r="M84" s="247">
        <f>+H518</f>
        <v>0</v>
      </c>
      <c r="N84" s="247"/>
      <c r="P84" s="803">
        <f t="shared" si="8"/>
        <v>0</v>
      </c>
    </row>
    <row r="85" spans="2:16" ht="26.25" customHeight="1" x14ac:dyDescent="0.25">
      <c r="B85" s="1096" t="s">
        <v>96</v>
      </c>
      <c r="C85" s="1097"/>
      <c r="D85" s="1097"/>
      <c r="E85" s="1098"/>
      <c r="F85" s="167"/>
      <c r="G85" s="804"/>
      <c r="H85" s="804"/>
      <c r="I85" s="804"/>
      <c r="J85" s="804"/>
      <c r="K85" s="804"/>
      <c r="L85" s="804"/>
      <c r="M85" s="804"/>
      <c r="N85" s="804"/>
      <c r="P85" s="804"/>
    </row>
    <row r="86" spans="2:16" ht="28.5" customHeight="1" x14ac:dyDescent="0.25">
      <c r="B86" s="1090" t="str">
        <f>"per 31/12/"&amp;$G$13</f>
        <v>per 31/12/2017</v>
      </c>
      <c r="C86" s="1091"/>
      <c r="D86" s="1091"/>
      <c r="E86" s="1092"/>
      <c r="F86" s="167"/>
      <c r="G86" s="247"/>
      <c r="H86" s="247"/>
      <c r="I86" s="247"/>
      <c r="J86" s="247"/>
      <c r="K86" s="247"/>
      <c r="L86" s="247"/>
      <c r="M86" s="247"/>
      <c r="N86" s="247"/>
      <c r="P86" s="803">
        <f>SUM(G86:N86)</f>
        <v>0</v>
      </c>
    </row>
    <row r="87" spans="2:16" ht="28.5" customHeight="1" x14ac:dyDescent="0.25">
      <c r="B87" s="1090" t="str">
        <f>"per 31/12/"&amp;$H$13</f>
        <v>per 31/12/2018</v>
      </c>
      <c r="C87" s="1091"/>
      <c r="D87" s="1091"/>
      <c r="E87" s="1092"/>
      <c r="F87" s="167"/>
      <c r="G87" s="847">
        <f>J534</f>
        <v>0</v>
      </c>
      <c r="H87" s="847"/>
      <c r="I87" s="847"/>
      <c r="J87" s="847"/>
      <c r="K87" s="247"/>
      <c r="L87" s="247"/>
      <c r="M87" s="247"/>
      <c r="N87" s="247"/>
      <c r="P87" s="803">
        <f t="shared" ref="P87:P92" si="9">SUM(G87:N87)</f>
        <v>0</v>
      </c>
    </row>
    <row r="88" spans="2:16" ht="28.5" customHeight="1" x14ac:dyDescent="0.25">
      <c r="B88" s="1090" t="str">
        <f>"per 31/12/"&amp;$I$13</f>
        <v>per 31/12/2019</v>
      </c>
      <c r="C88" s="1091"/>
      <c r="D88" s="1091"/>
      <c r="E88" s="1092"/>
      <c r="F88" s="167"/>
      <c r="G88" s="847">
        <f>+L539</f>
        <v>0</v>
      </c>
      <c r="H88" s="847">
        <f>+L540</f>
        <v>0</v>
      </c>
      <c r="I88" s="847"/>
      <c r="J88" s="847"/>
      <c r="K88" s="247"/>
      <c r="L88" s="247"/>
      <c r="M88" s="247"/>
      <c r="N88" s="247"/>
      <c r="P88" s="803">
        <f t="shared" si="9"/>
        <v>0</v>
      </c>
    </row>
    <row r="89" spans="2:16" ht="28.5" customHeight="1" x14ac:dyDescent="0.25">
      <c r="B89" s="1090" t="str">
        <f>"per 31/12/"&amp;$J$13</f>
        <v>per 31/12/2020</v>
      </c>
      <c r="C89" s="1091"/>
      <c r="D89" s="1091"/>
      <c r="E89" s="1092"/>
      <c r="F89" s="167"/>
      <c r="G89" s="847">
        <f>L546</f>
        <v>0</v>
      </c>
      <c r="H89" s="847">
        <f>L547</f>
        <v>0</v>
      </c>
      <c r="I89" s="847">
        <f>L548</f>
        <v>0</v>
      </c>
      <c r="J89" s="847"/>
      <c r="K89" s="247"/>
      <c r="L89" s="247"/>
      <c r="M89" s="247"/>
      <c r="N89" s="247"/>
      <c r="P89" s="803">
        <f t="shared" si="9"/>
        <v>0</v>
      </c>
    </row>
    <row r="90" spans="2:16" ht="28.5" customHeight="1" x14ac:dyDescent="0.25">
      <c r="B90" s="1090" t="str">
        <f>"per 31/12/"&amp;$K$13</f>
        <v>per 31/12/2021</v>
      </c>
      <c r="C90" s="1091"/>
      <c r="D90" s="1091"/>
      <c r="E90" s="1092"/>
      <c r="F90" s="167"/>
      <c r="G90" s="247">
        <f>+H554</f>
        <v>0</v>
      </c>
      <c r="H90" s="247">
        <f>+H555</f>
        <v>0</v>
      </c>
      <c r="I90" s="247">
        <f>+H556</f>
        <v>0</v>
      </c>
      <c r="J90" s="247">
        <f>+H557</f>
        <v>0</v>
      </c>
      <c r="K90" s="247"/>
      <c r="L90" s="247"/>
      <c r="M90" s="247"/>
      <c r="N90" s="247"/>
      <c r="P90" s="803">
        <f t="shared" si="9"/>
        <v>0</v>
      </c>
    </row>
    <row r="91" spans="2:16" ht="28.5" customHeight="1" x14ac:dyDescent="0.25">
      <c r="B91" s="1090" t="str">
        <f>"per 31/12/"&amp;$L$13</f>
        <v>per 31/12/2022</v>
      </c>
      <c r="C91" s="1091"/>
      <c r="D91" s="1091"/>
      <c r="E91" s="1092"/>
      <c r="F91" s="167"/>
      <c r="G91" s="247">
        <f>+H563</f>
        <v>0</v>
      </c>
      <c r="H91" s="247">
        <f>+H564</f>
        <v>0</v>
      </c>
      <c r="I91" s="247">
        <f>+H565</f>
        <v>0</v>
      </c>
      <c r="J91" s="247">
        <f>+H566</f>
        <v>0</v>
      </c>
      <c r="K91" s="247">
        <f>+H567</f>
        <v>0</v>
      </c>
      <c r="L91" s="247"/>
      <c r="M91" s="247"/>
      <c r="N91" s="247"/>
      <c r="P91" s="803">
        <f t="shared" si="9"/>
        <v>0</v>
      </c>
    </row>
    <row r="92" spans="2:16" ht="28.5" customHeight="1" x14ac:dyDescent="0.25">
      <c r="B92" s="1090" t="str">
        <f>"per 31/12/"&amp;$M$13</f>
        <v>per 31/12/2023</v>
      </c>
      <c r="C92" s="1091"/>
      <c r="D92" s="1091"/>
      <c r="E92" s="1092"/>
      <c r="F92" s="167"/>
      <c r="G92" s="247"/>
      <c r="H92" s="247"/>
      <c r="I92" s="247"/>
      <c r="J92" s="247"/>
      <c r="K92" s="247">
        <f>+H573</f>
        <v>0</v>
      </c>
      <c r="L92" s="520"/>
      <c r="M92" s="247"/>
      <c r="N92" s="247"/>
      <c r="P92" s="803">
        <f t="shared" si="9"/>
        <v>0</v>
      </c>
    </row>
    <row r="93" spans="2:16" ht="28.5" customHeight="1" x14ac:dyDescent="0.25">
      <c r="B93" s="1081" t="str">
        <f>"per 31/12/"&amp;$N$13</f>
        <v>per 31/12/2024</v>
      </c>
      <c r="C93" s="1082"/>
      <c r="D93" s="1082"/>
      <c r="E93" s="1083"/>
      <c r="F93" s="167"/>
      <c r="G93" s="247"/>
      <c r="H93" s="247"/>
      <c r="I93" s="247"/>
      <c r="J93" s="247"/>
      <c r="K93" s="247"/>
      <c r="L93" s="520"/>
      <c r="M93" s="520"/>
      <c r="N93" s="247"/>
      <c r="P93" s="805"/>
    </row>
    <row r="94" spans="2:16" ht="33" customHeight="1" x14ac:dyDescent="0.25">
      <c r="B94" s="1096" t="s">
        <v>357</v>
      </c>
      <c r="C94" s="1097"/>
      <c r="D94" s="1097"/>
      <c r="E94" s="1098"/>
      <c r="F94" s="167"/>
      <c r="G94" s="804"/>
      <c r="H94" s="804"/>
      <c r="I94" s="804"/>
      <c r="J94" s="804"/>
      <c r="K94" s="804"/>
      <c r="L94" s="804"/>
      <c r="M94" s="804"/>
      <c r="N94" s="804"/>
      <c r="P94" s="804"/>
    </row>
    <row r="95" spans="2:16" ht="28.5" customHeight="1" x14ac:dyDescent="0.25">
      <c r="B95" s="1090" t="str">
        <f>"per 31/12/"&amp;$G$13</f>
        <v>per 31/12/2017</v>
      </c>
      <c r="C95" s="1091"/>
      <c r="D95" s="1091"/>
      <c r="E95" s="1092"/>
      <c r="F95" s="167"/>
      <c r="G95" s="247"/>
      <c r="H95" s="247"/>
      <c r="I95" s="247"/>
      <c r="J95" s="247"/>
      <c r="K95" s="247"/>
      <c r="L95" s="247"/>
      <c r="M95" s="247"/>
      <c r="N95" s="247"/>
      <c r="P95" s="803">
        <f>SUM(G95:N95)</f>
        <v>0</v>
      </c>
    </row>
    <row r="96" spans="2:16" ht="28.5" customHeight="1" x14ac:dyDescent="0.25">
      <c r="B96" s="1090" t="str">
        <f>"per 31/12/"&amp;$H$13</f>
        <v>per 31/12/2018</v>
      </c>
      <c r="C96" s="1091"/>
      <c r="D96" s="1091"/>
      <c r="E96" s="1092"/>
      <c r="F96" s="167"/>
      <c r="G96" s="847">
        <f>J590</f>
        <v>0</v>
      </c>
      <c r="H96" s="847"/>
      <c r="I96" s="847"/>
      <c r="J96" s="847"/>
      <c r="K96" s="247"/>
      <c r="L96" s="247"/>
      <c r="M96" s="247"/>
      <c r="N96" s="247"/>
      <c r="P96" s="803">
        <f t="shared" ref="P96:P102" si="10">SUM(G96:N96)</f>
        <v>0</v>
      </c>
    </row>
    <row r="97" spans="1:16" ht="28.5" customHeight="1" x14ac:dyDescent="0.25">
      <c r="B97" s="1090" t="str">
        <f>"per 31/12/"&amp;$I$13</f>
        <v>per 31/12/2019</v>
      </c>
      <c r="C97" s="1091"/>
      <c r="D97" s="1091"/>
      <c r="E97" s="1092"/>
      <c r="F97" s="167"/>
      <c r="G97" s="847">
        <f>+L595</f>
        <v>0</v>
      </c>
      <c r="H97" s="847">
        <f>+L596</f>
        <v>0</v>
      </c>
      <c r="I97" s="847"/>
      <c r="J97" s="847"/>
      <c r="K97" s="247"/>
      <c r="L97" s="247"/>
      <c r="M97" s="247"/>
      <c r="N97" s="247"/>
      <c r="P97" s="803">
        <f t="shared" si="10"/>
        <v>0</v>
      </c>
    </row>
    <row r="98" spans="1:16" ht="28.5" customHeight="1" x14ac:dyDescent="0.25">
      <c r="B98" s="1090" t="str">
        <f>"per 31/12/"&amp;$J$13</f>
        <v>per 31/12/2020</v>
      </c>
      <c r="C98" s="1091"/>
      <c r="D98" s="1091"/>
      <c r="E98" s="1092"/>
      <c r="F98" s="167"/>
      <c r="G98" s="847">
        <f>L602</f>
        <v>0</v>
      </c>
      <c r="H98" s="847">
        <f>L603</f>
        <v>0</v>
      </c>
      <c r="I98" s="847">
        <f>L604</f>
        <v>0</v>
      </c>
      <c r="J98" s="847"/>
      <c r="K98" s="247"/>
      <c r="L98" s="247"/>
      <c r="M98" s="247"/>
      <c r="N98" s="247"/>
      <c r="P98" s="803">
        <f t="shared" si="10"/>
        <v>0</v>
      </c>
    </row>
    <row r="99" spans="1:16" ht="28.5" customHeight="1" x14ac:dyDescent="0.25">
      <c r="B99" s="1090" t="str">
        <f>"per 31/12/"&amp;$K$13</f>
        <v>per 31/12/2021</v>
      </c>
      <c r="C99" s="1091"/>
      <c r="D99" s="1091"/>
      <c r="E99" s="1092"/>
      <c r="F99" s="167"/>
      <c r="G99" s="247">
        <f>+H610</f>
        <v>0</v>
      </c>
      <c r="H99" s="247">
        <f>+H611</f>
        <v>0</v>
      </c>
      <c r="I99" s="247">
        <f>+H612</f>
        <v>0</v>
      </c>
      <c r="J99" s="247">
        <f>+H613</f>
        <v>0</v>
      </c>
      <c r="K99" s="247"/>
      <c r="L99" s="247"/>
      <c r="M99" s="247"/>
      <c r="N99" s="247"/>
      <c r="P99" s="803">
        <f t="shared" si="10"/>
        <v>0</v>
      </c>
    </row>
    <row r="100" spans="1:16" ht="28.5" customHeight="1" x14ac:dyDescent="0.25">
      <c r="B100" s="1090" t="str">
        <f>"per 31/12/"&amp;$L$13</f>
        <v>per 31/12/2022</v>
      </c>
      <c r="C100" s="1091"/>
      <c r="D100" s="1091"/>
      <c r="E100" s="1092"/>
      <c r="F100" s="167"/>
      <c r="G100" s="247">
        <f>+H619</f>
        <v>0</v>
      </c>
      <c r="H100" s="247">
        <f>+H620</f>
        <v>0</v>
      </c>
      <c r="I100" s="247">
        <f>+H621</f>
        <v>0</v>
      </c>
      <c r="J100" s="247">
        <f>+H622</f>
        <v>0</v>
      </c>
      <c r="K100" s="247">
        <f>+H623</f>
        <v>0</v>
      </c>
      <c r="L100" s="247"/>
      <c r="M100" s="247"/>
      <c r="N100" s="247"/>
      <c r="P100" s="803">
        <f t="shared" si="10"/>
        <v>0</v>
      </c>
    </row>
    <row r="101" spans="1:16" ht="28.5" customHeight="1" x14ac:dyDescent="0.25">
      <c r="B101" s="1090" t="str">
        <f>"per 31/12/"&amp;$M$13</f>
        <v>per 31/12/2023</v>
      </c>
      <c r="C101" s="1091"/>
      <c r="D101" s="1091"/>
      <c r="E101" s="1092"/>
      <c r="F101" s="167"/>
      <c r="G101" s="247"/>
      <c r="H101" s="247"/>
      <c r="I101" s="247"/>
      <c r="J101" s="247"/>
      <c r="K101" s="247">
        <f>+H629</f>
        <v>0</v>
      </c>
      <c r="L101" s="247">
        <f>+H630</f>
        <v>0</v>
      </c>
      <c r="M101" s="247"/>
      <c r="N101" s="247"/>
      <c r="P101" s="803">
        <f t="shared" si="10"/>
        <v>0</v>
      </c>
    </row>
    <row r="102" spans="1:16" ht="28.5" customHeight="1" x14ac:dyDescent="0.25">
      <c r="B102" s="1090" t="str">
        <f>"per 31/12/"&amp;$N$13</f>
        <v>per 31/12/2024</v>
      </c>
      <c r="C102" s="1091"/>
      <c r="D102" s="1091"/>
      <c r="E102" s="1092"/>
      <c r="F102" s="167"/>
      <c r="G102" s="247"/>
      <c r="H102" s="247"/>
      <c r="I102" s="247"/>
      <c r="J102" s="247"/>
      <c r="K102" s="247"/>
      <c r="L102" s="247">
        <f>+H636</f>
        <v>0</v>
      </c>
      <c r="M102" s="247">
        <f>+H637</f>
        <v>0</v>
      </c>
      <c r="N102" s="247"/>
      <c r="P102" s="803">
        <f t="shared" si="10"/>
        <v>0</v>
      </c>
    </row>
    <row r="103" spans="1:16" x14ac:dyDescent="0.25">
      <c r="G103" s="301"/>
      <c r="H103" s="301"/>
      <c r="I103" s="301"/>
      <c r="J103" s="301"/>
      <c r="K103" s="301"/>
      <c r="L103" s="301"/>
      <c r="M103" s="301"/>
      <c r="N103" s="301"/>
      <c r="P103" s="301"/>
    </row>
    <row r="104" spans="1:16" s="216" customFormat="1" ht="13" x14ac:dyDescent="0.25">
      <c r="B104" s="1105"/>
      <c r="C104" s="1105"/>
      <c r="D104" s="1105"/>
      <c r="E104" s="1105"/>
      <c r="G104" s="304"/>
      <c r="H104" s="304"/>
      <c r="I104" s="304"/>
      <c r="J104" s="304"/>
      <c r="K104" s="304"/>
      <c r="L104" s="304"/>
      <c r="M104" s="304"/>
      <c r="N104" s="304"/>
      <c r="O104" s="205"/>
      <c r="P104" s="304"/>
    </row>
    <row r="105" spans="1:16" s="216" customFormat="1" ht="13" x14ac:dyDescent="0.25">
      <c r="B105" s="310"/>
      <c r="C105" s="311"/>
      <c r="D105" s="311"/>
      <c r="E105" s="312"/>
      <c r="F105" s="275"/>
      <c r="G105" s="165">
        <v>2017</v>
      </c>
      <c r="H105" s="165">
        <f>+G105+1</f>
        <v>2018</v>
      </c>
      <c r="I105" s="165">
        <f>+H105+1</f>
        <v>2019</v>
      </c>
      <c r="J105" s="165">
        <f>+I105+1</f>
        <v>2020</v>
      </c>
      <c r="K105" s="165">
        <f t="shared" ref="K105:N105" si="11">+J105+1</f>
        <v>2021</v>
      </c>
      <c r="L105" s="165">
        <f t="shared" si="11"/>
        <v>2022</v>
      </c>
      <c r="M105" s="165">
        <f t="shared" si="11"/>
        <v>2023</v>
      </c>
      <c r="N105" s="165">
        <f t="shared" si="11"/>
        <v>2024</v>
      </c>
      <c r="O105" s="203"/>
      <c r="P105" s="165" t="s">
        <v>20</v>
      </c>
    </row>
    <row r="106" spans="1:16" s="212" customFormat="1" ht="26.25" customHeight="1" x14ac:dyDescent="0.25">
      <c r="B106" s="1093" t="s">
        <v>126</v>
      </c>
      <c r="C106" s="1094"/>
      <c r="D106" s="1094"/>
      <c r="E106" s="1095"/>
      <c r="F106" s="171"/>
      <c r="G106" s="170"/>
      <c r="H106" s="170"/>
      <c r="I106" s="170"/>
      <c r="J106" s="170"/>
      <c r="K106" s="170"/>
      <c r="L106" s="170"/>
      <c r="M106" s="170"/>
      <c r="N106" s="170"/>
      <c r="O106" s="204"/>
      <c r="P106" s="170"/>
    </row>
    <row r="107" spans="1:16" ht="28.5" customHeight="1" x14ac:dyDescent="0.25">
      <c r="A107" s="291"/>
      <c r="B107" s="1084" t="str">
        <f>"per 31/12/"&amp;$G$13</f>
        <v>per 31/12/2017</v>
      </c>
      <c r="C107" s="1085"/>
      <c r="D107" s="1085"/>
      <c r="E107" s="1086"/>
      <c r="F107" s="313"/>
      <c r="G107" s="806"/>
      <c r="H107" s="806"/>
      <c r="I107" s="806"/>
      <c r="J107" s="806"/>
      <c r="K107" s="806"/>
      <c r="L107" s="806"/>
      <c r="M107" s="806"/>
      <c r="N107" s="806"/>
      <c r="P107" s="807">
        <f t="shared" ref="P107:P114" si="12">SUMIFS(P$32:P$102,$B$32:$B$102,$B107)</f>
        <v>0</v>
      </c>
    </row>
    <row r="108" spans="1:16" ht="28.5" customHeight="1" x14ac:dyDescent="0.25">
      <c r="A108" s="291"/>
      <c r="B108" s="1084" t="str">
        <f>"per 31/12/"&amp;$H$13</f>
        <v>per 31/12/2018</v>
      </c>
      <c r="C108" s="1085"/>
      <c r="D108" s="1085"/>
      <c r="E108" s="1086"/>
      <c r="F108" s="313"/>
      <c r="G108" s="806">
        <f>SUMIFS(G$32:G$102,$B$32:$B$102,$B108)</f>
        <v>0</v>
      </c>
      <c r="H108" s="806"/>
      <c r="I108" s="806"/>
      <c r="J108" s="806"/>
      <c r="K108" s="806"/>
      <c r="L108" s="806"/>
      <c r="M108" s="806"/>
      <c r="N108" s="806"/>
      <c r="P108" s="807">
        <f t="shared" si="12"/>
        <v>0</v>
      </c>
    </row>
    <row r="109" spans="1:16" ht="28.5" customHeight="1" x14ac:dyDescent="0.25">
      <c r="A109" s="291"/>
      <c r="B109" s="1084" t="str">
        <f>"per 31/12/"&amp;$I$13</f>
        <v>per 31/12/2019</v>
      </c>
      <c r="C109" s="1085"/>
      <c r="D109" s="1085"/>
      <c r="E109" s="1086"/>
      <c r="F109" s="313"/>
      <c r="G109" s="806">
        <f>SUMIFS(G$32:G$102,$B$32:$B$102,$B109)</f>
        <v>0</v>
      </c>
      <c r="H109" s="806">
        <f>SUMIFS(H$32:H$102,$B$32:$B$102,$B109)</f>
        <v>0</v>
      </c>
      <c r="I109" s="806"/>
      <c r="J109" s="806"/>
      <c r="K109" s="806"/>
      <c r="L109" s="806"/>
      <c r="M109" s="806"/>
      <c r="N109" s="806"/>
      <c r="P109" s="807">
        <f t="shared" si="12"/>
        <v>0</v>
      </c>
    </row>
    <row r="110" spans="1:16" ht="28.5" customHeight="1" x14ac:dyDescent="0.25">
      <c r="A110" s="291"/>
      <c r="B110" s="1084" t="str">
        <f>"per 31/12/"&amp;$J$13</f>
        <v>per 31/12/2020</v>
      </c>
      <c r="C110" s="1085"/>
      <c r="D110" s="1085"/>
      <c r="E110" s="1086"/>
      <c r="F110" s="313"/>
      <c r="G110" s="806">
        <f>SUMIFS(G$32:G$102,$B$32:$B$102,$B110)</f>
        <v>0</v>
      </c>
      <c r="H110" s="806">
        <f>SUMIFS(H$32:H$102,$B$32:$B$102,$B110)</f>
        <v>0</v>
      </c>
      <c r="I110" s="806">
        <f>SUMIFS(I$32:I$102,$B$32:$B$102,$B110)</f>
        <v>0</v>
      </c>
      <c r="J110" s="806"/>
      <c r="K110" s="806"/>
      <c r="L110" s="806"/>
      <c r="M110" s="806"/>
      <c r="N110" s="806"/>
      <c r="P110" s="807">
        <f t="shared" si="12"/>
        <v>0</v>
      </c>
    </row>
    <row r="111" spans="1:16" ht="28.5" customHeight="1" x14ac:dyDescent="0.25">
      <c r="A111" s="291"/>
      <c r="B111" s="1084" t="str">
        <f>"per 31/12/"&amp;$K$13</f>
        <v>per 31/12/2021</v>
      </c>
      <c r="C111" s="1085"/>
      <c r="D111" s="1085"/>
      <c r="E111" s="1086"/>
      <c r="F111" s="313"/>
      <c r="G111" s="806">
        <f>SUMIFS(G$32:G$102,$B$32:$B$102,$B111)</f>
        <v>0</v>
      </c>
      <c r="H111" s="806">
        <f>SUMIFS(H$32:H$102,$B$32:$B$102,$B111)</f>
        <v>0</v>
      </c>
      <c r="I111" s="806">
        <f>SUMIFS(I$32:I$102,$B$32:$B$102,$B111)</f>
        <v>0</v>
      </c>
      <c r="J111" s="806">
        <f>SUMIFS(J$32:J$102,$B$32:$B$102,$B111)</f>
        <v>0</v>
      </c>
      <c r="K111" s="806"/>
      <c r="L111" s="806"/>
      <c r="M111" s="806"/>
      <c r="N111" s="806"/>
      <c r="P111" s="807">
        <f t="shared" si="12"/>
        <v>0</v>
      </c>
    </row>
    <row r="112" spans="1:16" ht="28.5" customHeight="1" x14ac:dyDescent="0.25">
      <c r="A112" s="291"/>
      <c r="B112" s="1084" t="str">
        <f>"per 31/12/"&amp;$L$13</f>
        <v>per 31/12/2022</v>
      </c>
      <c r="C112" s="1085"/>
      <c r="D112" s="1085"/>
      <c r="E112" s="1086"/>
      <c r="F112" s="313"/>
      <c r="G112" s="806">
        <f>SUMIFS(G$32:G$102,$B$32:$B$102,$B112)</f>
        <v>0</v>
      </c>
      <c r="H112" s="806">
        <f>SUMIFS(H$32:H$102,$B$32:$B$102,$B112)</f>
        <v>0</v>
      </c>
      <c r="I112" s="806">
        <f>SUMIFS(I$32:I$102,$B$32:$B$102,$B112)</f>
        <v>0</v>
      </c>
      <c r="J112" s="806">
        <f>SUMIFS(J$32:J$102,$B$32:$B$102,$B112)</f>
        <v>0</v>
      </c>
      <c r="K112" s="806">
        <f>SUMIFS(K$32:K$102,$B$32:$B$102,$B112)</f>
        <v>0</v>
      </c>
      <c r="L112" s="806"/>
      <c r="M112" s="806"/>
      <c r="N112" s="806"/>
      <c r="P112" s="807">
        <f t="shared" si="12"/>
        <v>0</v>
      </c>
    </row>
    <row r="113" spans="1:16" ht="28.5" customHeight="1" x14ac:dyDescent="0.25">
      <c r="A113" s="291"/>
      <c r="B113" s="1084" t="str">
        <f>"per 31/12/"&amp;$M$13</f>
        <v>per 31/12/2023</v>
      </c>
      <c r="C113" s="1085"/>
      <c r="D113" s="1085"/>
      <c r="E113" s="1086"/>
      <c r="F113" s="313"/>
      <c r="G113" s="806"/>
      <c r="H113" s="806"/>
      <c r="I113" s="806"/>
      <c r="J113" s="806"/>
      <c r="K113" s="806">
        <f>SUMIFS(K$32:K$102,$B$32:$B$102,$B113)</f>
        <v>0</v>
      </c>
      <c r="L113" s="806">
        <f>SUMIFS(L$32:L$102,$B$32:$B$102,$B113)</f>
        <v>0</v>
      </c>
      <c r="M113" s="806"/>
      <c r="N113" s="806"/>
      <c r="P113" s="807">
        <f t="shared" si="12"/>
        <v>0</v>
      </c>
    </row>
    <row r="114" spans="1:16" ht="28.5" customHeight="1" x14ac:dyDescent="0.25">
      <c r="A114" s="291"/>
      <c r="B114" s="1084" t="str">
        <f>"per 31/12/"&amp;$N$13</f>
        <v>per 31/12/2024</v>
      </c>
      <c r="C114" s="1085"/>
      <c r="D114" s="1085"/>
      <c r="E114" s="1086"/>
      <c r="F114" s="313"/>
      <c r="G114" s="806"/>
      <c r="H114" s="806"/>
      <c r="I114" s="806"/>
      <c r="J114" s="806"/>
      <c r="K114" s="806"/>
      <c r="L114" s="806">
        <f>SUMIFS(L$32:L$102,$B$32:$B$102,$B114)</f>
        <v>0</v>
      </c>
      <c r="M114" s="806">
        <f>SUMIFS(M$32:M$102,$B$32:$B$102,$B114)</f>
        <v>0</v>
      </c>
      <c r="N114" s="806"/>
      <c r="P114" s="807">
        <f t="shared" si="12"/>
        <v>0</v>
      </c>
    </row>
    <row r="115" spans="1:16" s="216" customFormat="1" ht="13" x14ac:dyDescent="0.25">
      <c r="B115" s="1103"/>
      <c r="C115" s="1103"/>
      <c r="D115" s="1103"/>
      <c r="E115" s="1103"/>
      <c r="G115" s="314"/>
      <c r="H115" s="314"/>
      <c r="I115" s="304"/>
      <c r="J115" s="304"/>
      <c r="K115" s="304"/>
      <c r="L115" s="304"/>
      <c r="M115" s="304"/>
      <c r="N115" s="304"/>
      <c r="O115" s="205"/>
      <c r="P115" s="304"/>
    </row>
    <row r="119" spans="1:16" ht="69.75" customHeight="1" x14ac:dyDescent="0.25">
      <c r="B119" s="1078" t="s">
        <v>107</v>
      </c>
      <c r="C119" s="1079"/>
      <c r="D119" s="1079"/>
      <c r="E119" s="1080"/>
      <c r="F119" s="274"/>
      <c r="G119" s="165">
        <v>2017</v>
      </c>
      <c r="H119" s="165">
        <f>+G119+1</f>
        <v>2018</v>
      </c>
      <c r="I119" s="165">
        <f>+H119+1</f>
        <v>2019</v>
      </c>
      <c r="J119" s="165">
        <f>+I119+1</f>
        <v>2020</v>
      </c>
      <c r="K119" s="165">
        <f t="shared" ref="K119:N119" si="13">+J119+1</f>
        <v>2021</v>
      </c>
      <c r="L119" s="165">
        <f t="shared" si="13"/>
        <v>2022</v>
      </c>
      <c r="M119" s="165">
        <f t="shared" si="13"/>
        <v>2023</v>
      </c>
      <c r="N119" s="165">
        <f t="shared" si="13"/>
        <v>2024</v>
      </c>
      <c r="P119" s="165" t="s">
        <v>20</v>
      </c>
    </row>
    <row r="120" spans="1:16" s="296" customFormat="1" ht="12" customHeight="1" x14ac:dyDescent="0.25">
      <c r="B120" s="315"/>
      <c r="C120" s="315"/>
      <c r="D120" s="315"/>
      <c r="E120" s="315"/>
      <c r="F120" s="316"/>
      <c r="G120" s="318"/>
      <c r="H120" s="319"/>
      <c r="I120" s="319"/>
      <c r="J120" s="319"/>
      <c r="K120" s="319"/>
      <c r="L120" s="319"/>
      <c r="M120" s="319"/>
      <c r="N120" s="319"/>
      <c r="O120" s="300"/>
      <c r="P120" s="319"/>
    </row>
    <row r="121" spans="1:16" ht="36" customHeight="1" x14ac:dyDescent="0.25">
      <c r="B121" s="1096" t="s">
        <v>201</v>
      </c>
      <c r="C121" s="1097"/>
      <c r="D121" s="1097"/>
      <c r="E121" s="1098"/>
      <c r="F121" s="167"/>
      <c r="G121" s="804"/>
      <c r="H121" s="804"/>
      <c r="I121" s="804"/>
      <c r="J121" s="804"/>
      <c r="K121" s="804"/>
      <c r="L121" s="804"/>
      <c r="M121" s="804"/>
      <c r="N121" s="804"/>
      <c r="P121" s="804"/>
    </row>
    <row r="122" spans="1:16" ht="28.5" customHeight="1" x14ac:dyDescent="0.25">
      <c r="B122" s="1090" t="str">
        <f>"per 31/12/"&amp;$G$13</f>
        <v>per 31/12/2017</v>
      </c>
      <c r="C122" s="1091"/>
      <c r="D122" s="1091"/>
      <c r="E122" s="1092"/>
      <c r="F122" s="167"/>
      <c r="G122" s="849">
        <f>+G$15+G32</f>
        <v>0</v>
      </c>
      <c r="H122" s="247"/>
      <c r="I122" s="247"/>
      <c r="J122" s="247"/>
      <c r="K122" s="247"/>
      <c r="L122" s="247"/>
      <c r="M122" s="247"/>
      <c r="N122" s="247"/>
      <c r="P122" s="803">
        <f>SUM(G122:N122)</f>
        <v>0</v>
      </c>
    </row>
    <row r="123" spans="1:16" ht="28.5" customHeight="1" x14ac:dyDescent="0.25">
      <c r="B123" s="1090" t="str">
        <f>"per 31/12/"&amp;$H$13</f>
        <v>per 31/12/2018</v>
      </c>
      <c r="C123" s="1091"/>
      <c r="D123" s="1091"/>
      <c r="E123" s="1092"/>
      <c r="F123" s="167"/>
      <c r="G123" s="849">
        <f>+G122+G33</f>
        <v>0</v>
      </c>
      <c r="H123" s="849">
        <f>+H$15+H33</f>
        <v>0</v>
      </c>
      <c r="I123" s="247"/>
      <c r="J123" s="247"/>
      <c r="K123" s="247"/>
      <c r="L123" s="247"/>
      <c r="M123" s="247"/>
      <c r="N123" s="247"/>
      <c r="P123" s="803">
        <f t="shared" ref="P123:P129" si="14">SUM(G123:N123)</f>
        <v>0</v>
      </c>
    </row>
    <row r="124" spans="1:16" ht="28.5" customHeight="1" x14ac:dyDescent="0.25">
      <c r="B124" s="1090" t="str">
        <f>"per 31/12/"&amp;$I$13</f>
        <v>per 31/12/2019</v>
      </c>
      <c r="C124" s="1091"/>
      <c r="D124" s="1091"/>
      <c r="E124" s="1092"/>
      <c r="F124" s="167"/>
      <c r="G124" s="849">
        <f>+G123+G34</f>
        <v>0</v>
      </c>
      <c r="H124" s="849">
        <f>+H123+H34</f>
        <v>0</v>
      </c>
      <c r="I124" s="849">
        <f>+I$15+I34</f>
        <v>0</v>
      </c>
      <c r="J124" s="247"/>
      <c r="K124" s="247"/>
      <c r="L124" s="247"/>
      <c r="M124" s="247"/>
      <c r="N124" s="247"/>
      <c r="P124" s="803">
        <f t="shared" si="14"/>
        <v>0</v>
      </c>
    </row>
    <row r="125" spans="1:16" ht="28.5" customHeight="1" x14ac:dyDescent="0.25">
      <c r="B125" s="1090" t="str">
        <f>"per 31/12/"&amp;$J$13</f>
        <v>per 31/12/2020</v>
      </c>
      <c r="C125" s="1091"/>
      <c r="D125" s="1091"/>
      <c r="E125" s="1092"/>
      <c r="F125" s="167"/>
      <c r="G125" s="849">
        <f>+G124+G35</f>
        <v>0</v>
      </c>
      <c r="H125" s="849">
        <f>+H124+H35</f>
        <v>0</v>
      </c>
      <c r="I125" s="849">
        <f>+I124+I35</f>
        <v>0</v>
      </c>
      <c r="J125" s="849">
        <f>+J$15+J35</f>
        <v>0</v>
      </c>
      <c r="K125" s="247"/>
      <c r="L125" s="247"/>
      <c r="M125" s="247"/>
      <c r="N125" s="247"/>
      <c r="P125" s="803">
        <f t="shared" si="14"/>
        <v>0</v>
      </c>
    </row>
    <row r="126" spans="1:16" ht="28.5" customHeight="1" x14ac:dyDescent="0.25">
      <c r="B126" s="1090" t="str">
        <f>"per 31/12/"&amp;$K$13</f>
        <v>per 31/12/2021</v>
      </c>
      <c r="C126" s="1091"/>
      <c r="D126" s="1091"/>
      <c r="E126" s="1092"/>
      <c r="F126" s="167"/>
      <c r="G126" s="849">
        <f>+G125+G36</f>
        <v>0</v>
      </c>
      <c r="H126" s="849">
        <f>+H125+H36</f>
        <v>0</v>
      </c>
      <c r="I126" s="849">
        <f>+I125+I36</f>
        <v>0</v>
      </c>
      <c r="J126" s="849">
        <f>+J125+J36</f>
        <v>0</v>
      </c>
      <c r="K126" s="849">
        <f>+K$15+K36</f>
        <v>0</v>
      </c>
      <c r="L126" s="247"/>
      <c r="M126" s="247"/>
      <c r="N126" s="247"/>
      <c r="P126" s="803">
        <f t="shared" si="14"/>
        <v>0</v>
      </c>
    </row>
    <row r="127" spans="1:16" ht="28.5" customHeight="1" x14ac:dyDescent="0.25">
      <c r="B127" s="1090" t="str">
        <f>"per 31/12/"&amp;$L$13</f>
        <v>per 31/12/2022</v>
      </c>
      <c r="C127" s="1091"/>
      <c r="D127" s="1091"/>
      <c r="E127" s="1092"/>
      <c r="F127" s="167"/>
      <c r="G127" s="849">
        <f>+G126+G37</f>
        <v>0</v>
      </c>
      <c r="H127" s="849">
        <f>+H126+H37</f>
        <v>0</v>
      </c>
      <c r="I127" s="849">
        <f>+I126+I37</f>
        <v>0</v>
      </c>
      <c r="J127" s="849">
        <f>+J126+J37</f>
        <v>0</v>
      </c>
      <c r="K127" s="849">
        <f>+K126+K37</f>
        <v>0</v>
      </c>
      <c r="L127" s="849">
        <f>+L$15+L37</f>
        <v>0</v>
      </c>
      <c r="M127" s="247"/>
      <c r="N127" s="247"/>
      <c r="P127" s="803">
        <f t="shared" si="14"/>
        <v>0</v>
      </c>
    </row>
    <row r="128" spans="1:16" ht="28.5" customHeight="1" x14ac:dyDescent="0.25">
      <c r="B128" s="1090" t="str">
        <f>"per 31/12/"&amp;$M$13</f>
        <v>per 31/12/2023</v>
      </c>
      <c r="C128" s="1091"/>
      <c r="D128" s="1091"/>
      <c r="E128" s="1092"/>
      <c r="F128" s="167"/>
      <c r="G128" s="247"/>
      <c r="H128" s="247"/>
      <c r="I128" s="247"/>
      <c r="J128" s="247"/>
      <c r="K128" s="849">
        <f>+K127+K38</f>
        <v>0</v>
      </c>
      <c r="L128" s="849">
        <f>+L127+L38</f>
        <v>0</v>
      </c>
      <c r="M128" s="849">
        <f>+M$15+M38</f>
        <v>0</v>
      </c>
      <c r="N128" s="247"/>
      <c r="P128" s="803">
        <f t="shared" si="14"/>
        <v>0</v>
      </c>
    </row>
    <row r="129" spans="2:16" ht="28.5" customHeight="1" x14ac:dyDescent="0.25">
      <c r="B129" s="1090" t="str">
        <f>"per 31/12/"&amp;$N$13</f>
        <v>per 31/12/2024</v>
      </c>
      <c r="C129" s="1091"/>
      <c r="D129" s="1091"/>
      <c r="E129" s="1092"/>
      <c r="F129" s="167"/>
      <c r="G129" s="247"/>
      <c r="H129" s="247"/>
      <c r="I129" s="247"/>
      <c r="J129" s="247"/>
      <c r="K129" s="247"/>
      <c r="L129" s="849">
        <f>+L128+L39</f>
        <v>0</v>
      </c>
      <c r="M129" s="849">
        <f>+M128+M39</f>
        <v>0</v>
      </c>
      <c r="N129" s="849">
        <f>+N$15+N39</f>
        <v>0</v>
      </c>
      <c r="P129" s="803">
        <f t="shared" si="14"/>
        <v>0</v>
      </c>
    </row>
    <row r="130" spans="2:16" ht="36" customHeight="1" x14ac:dyDescent="0.25">
      <c r="B130" s="1096" t="s">
        <v>347</v>
      </c>
      <c r="C130" s="1097"/>
      <c r="D130" s="1097"/>
      <c r="E130" s="1098"/>
      <c r="F130" s="167"/>
      <c r="G130" s="804"/>
      <c r="H130" s="804"/>
      <c r="I130" s="804"/>
      <c r="J130" s="804"/>
      <c r="K130" s="804"/>
      <c r="L130" s="804"/>
      <c r="M130" s="804"/>
      <c r="N130" s="804"/>
      <c r="P130" s="804"/>
    </row>
    <row r="131" spans="2:16" ht="28.5" customHeight="1" x14ac:dyDescent="0.25">
      <c r="B131" s="1081" t="str">
        <f>"per 31/12/"&amp;$G$13</f>
        <v>per 31/12/2017</v>
      </c>
      <c r="C131" s="1082"/>
      <c r="D131" s="1082"/>
      <c r="E131" s="1083"/>
      <c r="F131" s="167"/>
      <c r="G131" s="850"/>
      <c r="H131" s="247"/>
      <c r="I131" s="247"/>
      <c r="J131" s="247"/>
      <c r="K131" s="247"/>
      <c r="L131" s="247"/>
      <c r="M131" s="247"/>
      <c r="N131" s="247"/>
      <c r="P131" s="805"/>
    </row>
    <row r="132" spans="2:16" ht="28.5" customHeight="1" x14ac:dyDescent="0.25">
      <c r="B132" s="1081" t="str">
        <f>"per 31/12/"&amp;$H$13</f>
        <v>per 31/12/2018</v>
      </c>
      <c r="C132" s="1082"/>
      <c r="D132" s="1082"/>
      <c r="E132" s="1083"/>
      <c r="F132" s="167"/>
      <c r="G132" s="850"/>
      <c r="H132" s="850"/>
      <c r="I132" s="247"/>
      <c r="J132" s="247"/>
      <c r="K132" s="247"/>
      <c r="L132" s="247"/>
      <c r="M132" s="247"/>
      <c r="N132" s="247"/>
      <c r="P132" s="805"/>
    </row>
    <row r="133" spans="2:16" ht="28.5" customHeight="1" x14ac:dyDescent="0.25">
      <c r="B133" s="1081" t="str">
        <f>"per 31/12/"&amp;$I$13</f>
        <v>per 31/12/2019</v>
      </c>
      <c r="C133" s="1082"/>
      <c r="D133" s="1082"/>
      <c r="E133" s="1083"/>
      <c r="F133" s="167"/>
      <c r="G133" s="850"/>
      <c r="H133" s="850"/>
      <c r="I133" s="850"/>
      <c r="J133" s="247"/>
      <c r="K133" s="247"/>
      <c r="L133" s="247"/>
      <c r="M133" s="247"/>
      <c r="N133" s="247"/>
      <c r="P133" s="805"/>
    </row>
    <row r="134" spans="2:16" ht="28.5" customHeight="1" x14ac:dyDescent="0.25">
      <c r="B134" s="1081" t="str">
        <f>"per 31/12/"&amp;$J$13</f>
        <v>per 31/12/2020</v>
      </c>
      <c r="C134" s="1082"/>
      <c r="D134" s="1082"/>
      <c r="E134" s="1083"/>
      <c r="F134" s="167"/>
      <c r="G134" s="850"/>
      <c r="H134" s="850"/>
      <c r="I134" s="850"/>
      <c r="J134" s="850"/>
      <c r="K134" s="247"/>
      <c r="L134" s="247"/>
      <c r="M134" s="247"/>
      <c r="N134" s="247"/>
      <c r="P134" s="805"/>
    </row>
    <row r="135" spans="2:16" ht="28.5" customHeight="1" x14ac:dyDescent="0.25">
      <c r="B135" s="1081" t="str">
        <f>"per 31/12/"&amp;$K$13</f>
        <v>per 31/12/2021</v>
      </c>
      <c r="C135" s="1082"/>
      <c r="D135" s="1082"/>
      <c r="E135" s="1083"/>
      <c r="F135" s="167"/>
      <c r="G135" s="850"/>
      <c r="H135" s="850"/>
      <c r="I135" s="850"/>
      <c r="J135" s="850"/>
      <c r="K135" s="850"/>
      <c r="L135" s="247"/>
      <c r="M135" s="247"/>
      <c r="N135" s="247"/>
      <c r="P135" s="805"/>
    </row>
    <row r="136" spans="2:16" ht="28.5" customHeight="1" x14ac:dyDescent="0.25">
      <c r="B136" s="1090" t="str">
        <f>"per 31/12/"&amp;$L$13</f>
        <v>per 31/12/2022</v>
      </c>
      <c r="C136" s="1091"/>
      <c r="D136" s="1091"/>
      <c r="E136" s="1092"/>
      <c r="F136" s="167"/>
      <c r="G136" s="850"/>
      <c r="H136" s="850"/>
      <c r="I136" s="850"/>
      <c r="J136" s="850"/>
      <c r="K136" s="850"/>
      <c r="L136" s="849">
        <f>+L$16+L46</f>
        <v>0</v>
      </c>
      <c r="M136" s="247"/>
      <c r="N136" s="247"/>
      <c r="P136" s="803">
        <f t="shared" ref="P136:P138" si="15">SUM(G136:N136)</f>
        <v>0</v>
      </c>
    </row>
    <row r="137" spans="2:16" ht="28.5" customHeight="1" x14ac:dyDescent="0.25">
      <c r="B137" s="1090" t="str">
        <f>"per 31/12/"&amp;$M$13</f>
        <v>per 31/12/2023</v>
      </c>
      <c r="C137" s="1091"/>
      <c r="D137" s="1091"/>
      <c r="E137" s="1092"/>
      <c r="F137" s="167"/>
      <c r="G137" s="247"/>
      <c r="H137" s="247"/>
      <c r="I137" s="247"/>
      <c r="J137" s="247"/>
      <c r="K137" s="850"/>
      <c r="L137" s="849">
        <f>+L136+L47</f>
        <v>0</v>
      </c>
      <c r="M137" s="849">
        <f>+M$16+M47</f>
        <v>0</v>
      </c>
      <c r="N137" s="247"/>
      <c r="P137" s="803">
        <f t="shared" si="15"/>
        <v>0</v>
      </c>
    </row>
    <row r="138" spans="2:16" ht="28.5" customHeight="1" x14ac:dyDescent="0.25">
      <c r="B138" s="1090" t="str">
        <f>"per 31/12/"&amp;$N$13</f>
        <v>per 31/12/2024</v>
      </c>
      <c r="C138" s="1091"/>
      <c r="D138" s="1091"/>
      <c r="E138" s="1092"/>
      <c r="F138" s="167"/>
      <c r="G138" s="247"/>
      <c r="H138" s="247"/>
      <c r="I138" s="247"/>
      <c r="J138" s="247"/>
      <c r="K138" s="247"/>
      <c r="L138" s="849">
        <f>+L137+L48</f>
        <v>0</v>
      </c>
      <c r="M138" s="849">
        <f>+M137+M48</f>
        <v>0</v>
      </c>
      <c r="N138" s="849">
        <f>+N$16+N48</f>
        <v>0</v>
      </c>
      <c r="P138" s="803">
        <f t="shared" si="15"/>
        <v>0</v>
      </c>
    </row>
    <row r="139" spans="2:16" ht="27.75" customHeight="1" x14ac:dyDescent="0.25">
      <c r="B139" s="1096" t="s">
        <v>66</v>
      </c>
      <c r="C139" s="1097"/>
      <c r="D139" s="1097"/>
      <c r="E139" s="1098"/>
      <c r="F139" s="167"/>
      <c r="G139" s="804"/>
      <c r="H139" s="804"/>
      <c r="I139" s="804"/>
      <c r="J139" s="804"/>
      <c r="K139" s="804"/>
      <c r="L139" s="804"/>
      <c r="M139" s="804"/>
      <c r="N139" s="804"/>
      <c r="P139" s="804"/>
    </row>
    <row r="140" spans="2:16" ht="28.5" customHeight="1" x14ac:dyDescent="0.25">
      <c r="B140" s="1090" t="str">
        <f>"per 31/12/"&amp;$G$13</f>
        <v>per 31/12/2017</v>
      </c>
      <c r="C140" s="1091"/>
      <c r="D140" s="1091"/>
      <c r="E140" s="1092"/>
      <c r="F140" s="167"/>
      <c r="G140" s="849">
        <f>+G$17+G50</f>
        <v>0</v>
      </c>
      <c r="H140" s="247"/>
      <c r="I140" s="247"/>
      <c r="J140" s="247"/>
      <c r="K140" s="247"/>
      <c r="L140" s="247"/>
      <c r="M140" s="247"/>
      <c r="N140" s="247"/>
      <c r="P140" s="803">
        <f>SUM(G140:N140)</f>
        <v>0</v>
      </c>
    </row>
    <row r="141" spans="2:16" ht="28.5" customHeight="1" x14ac:dyDescent="0.25">
      <c r="B141" s="1090" t="str">
        <f>"per 31/12/"&amp;$H$13</f>
        <v>per 31/12/2018</v>
      </c>
      <c r="C141" s="1091"/>
      <c r="D141" s="1091"/>
      <c r="E141" s="1092"/>
      <c r="F141" s="167"/>
      <c r="G141" s="849">
        <f>+G140+G51</f>
        <v>0</v>
      </c>
      <c r="H141" s="247">
        <f>+H$17+H51</f>
        <v>0</v>
      </c>
      <c r="I141" s="247"/>
      <c r="J141" s="247"/>
      <c r="K141" s="247"/>
      <c r="L141" s="247"/>
      <c r="M141" s="247"/>
      <c r="N141" s="247"/>
      <c r="P141" s="803">
        <f t="shared" ref="P141:P147" si="16">SUM(G141:N141)</f>
        <v>0</v>
      </c>
    </row>
    <row r="142" spans="2:16" ht="28.5" customHeight="1" x14ac:dyDescent="0.25">
      <c r="B142" s="1090" t="str">
        <f>"per 31/12/"&amp;$I$13</f>
        <v>per 31/12/2019</v>
      </c>
      <c r="C142" s="1091"/>
      <c r="D142" s="1091"/>
      <c r="E142" s="1092"/>
      <c r="F142" s="167"/>
      <c r="G142" s="849">
        <f>+G141+G52</f>
        <v>0</v>
      </c>
      <c r="H142" s="849">
        <f>+H141+H52</f>
        <v>0</v>
      </c>
      <c r="I142" s="247">
        <f>+I$17+I52</f>
        <v>0</v>
      </c>
      <c r="J142" s="247"/>
      <c r="K142" s="247"/>
      <c r="L142" s="247"/>
      <c r="M142" s="247"/>
      <c r="N142" s="247"/>
      <c r="P142" s="803">
        <f t="shared" si="16"/>
        <v>0</v>
      </c>
    </row>
    <row r="143" spans="2:16" ht="28.5" customHeight="1" x14ac:dyDescent="0.25">
      <c r="B143" s="1090" t="str">
        <f>"per 31/12/"&amp;$J$13</f>
        <v>per 31/12/2020</v>
      </c>
      <c r="C143" s="1091"/>
      <c r="D143" s="1091"/>
      <c r="E143" s="1092"/>
      <c r="F143" s="167"/>
      <c r="G143" s="849">
        <f>+G142+G53</f>
        <v>0</v>
      </c>
      <c r="H143" s="849">
        <f>+H142+H53</f>
        <v>0</v>
      </c>
      <c r="I143" s="849">
        <f>+I142+I53</f>
        <v>0</v>
      </c>
      <c r="J143" s="247">
        <f>+J$17+J53</f>
        <v>0</v>
      </c>
      <c r="K143" s="247"/>
      <c r="L143" s="247"/>
      <c r="M143" s="247"/>
      <c r="N143" s="247"/>
      <c r="P143" s="803">
        <f t="shared" si="16"/>
        <v>0</v>
      </c>
    </row>
    <row r="144" spans="2:16" ht="28.5" customHeight="1" x14ac:dyDescent="0.25">
      <c r="B144" s="1090" t="str">
        <f>"per 31/12/"&amp;$K$13</f>
        <v>per 31/12/2021</v>
      </c>
      <c r="C144" s="1091"/>
      <c r="D144" s="1091"/>
      <c r="E144" s="1092"/>
      <c r="F144" s="167"/>
      <c r="G144" s="849">
        <f>+G143+G54</f>
        <v>0</v>
      </c>
      <c r="H144" s="849">
        <f>+H143+H54</f>
        <v>0</v>
      </c>
      <c r="I144" s="849">
        <f>+I143+I54</f>
        <v>0</v>
      </c>
      <c r="J144" s="849">
        <f>+J143+J54</f>
        <v>0</v>
      </c>
      <c r="K144" s="247">
        <f>+K$17+K54</f>
        <v>0</v>
      </c>
      <c r="L144" s="247"/>
      <c r="M144" s="247"/>
      <c r="N144" s="247"/>
      <c r="P144" s="803">
        <f t="shared" si="16"/>
        <v>0</v>
      </c>
    </row>
    <row r="145" spans="2:16" ht="28.5" customHeight="1" x14ac:dyDescent="0.25">
      <c r="B145" s="1090" t="str">
        <f>"per 31/12/"&amp;$L$13</f>
        <v>per 31/12/2022</v>
      </c>
      <c r="C145" s="1091"/>
      <c r="D145" s="1091"/>
      <c r="E145" s="1092"/>
      <c r="F145" s="167"/>
      <c r="G145" s="849">
        <f>+G144+G55</f>
        <v>0</v>
      </c>
      <c r="H145" s="849">
        <f>+H144+H55</f>
        <v>0</v>
      </c>
      <c r="I145" s="849">
        <f>+I144+I55</f>
        <v>0</v>
      </c>
      <c r="J145" s="849">
        <f>+J144+J55</f>
        <v>0</v>
      </c>
      <c r="K145" s="849">
        <f>+K144+K55</f>
        <v>0</v>
      </c>
      <c r="L145" s="247">
        <f>+L$17+L55</f>
        <v>0</v>
      </c>
      <c r="M145" s="247"/>
      <c r="N145" s="247"/>
      <c r="P145" s="803">
        <f t="shared" si="16"/>
        <v>0</v>
      </c>
    </row>
    <row r="146" spans="2:16" ht="28.5" customHeight="1" x14ac:dyDescent="0.25">
      <c r="B146" s="1090" t="str">
        <f>"per 31/12/"&amp;$M$13</f>
        <v>per 31/12/2023</v>
      </c>
      <c r="C146" s="1091"/>
      <c r="D146" s="1091"/>
      <c r="E146" s="1092"/>
      <c r="F146" s="167"/>
      <c r="G146" s="247"/>
      <c r="H146" s="247"/>
      <c r="I146" s="247"/>
      <c r="J146" s="247"/>
      <c r="K146" s="849">
        <f>+K145+K56</f>
        <v>0</v>
      </c>
      <c r="L146" s="849">
        <f>+L145+L56</f>
        <v>0</v>
      </c>
      <c r="M146" s="247">
        <f>+M$17+M56</f>
        <v>0</v>
      </c>
      <c r="N146" s="247"/>
      <c r="P146" s="803">
        <f t="shared" si="16"/>
        <v>0</v>
      </c>
    </row>
    <row r="147" spans="2:16" ht="28.5" customHeight="1" x14ac:dyDescent="0.25">
      <c r="B147" s="1090" t="str">
        <f>"per 31/12/"&amp;$N$13</f>
        <v>per 31/12/2024</v>
      </c>
      <c r="C147" s="1091"/>
      <c r="D147" s="1091"/>
      <c r="E147" s="1092"/>
      <c r="F147" s="167"/>
      <c r="G147" s="247"/>
      <c r="H147" s="247"/>
      <c r="I147" s="247"/>
      <c r="J147" s="247"/>
      <c r="K147" s="247"/>
      <c r="L147" s="849">
        <f>+L146+L57</f>
        <v>0</v>
      </c>
      <c r="M147" s="849">
        <f>+M146+M57</f>
        <v>0</v>
      </c>
      <c r="N147" s="247">
        <f>+N$17+N57</f>
        <v>0</v>
      </c>
      <c r="P147" s="803">
        <f t="shared" si="16"/>
        <v>0</v>
      </c>
    </row>
    <row r="148" spans="2:16" ht="27" customHeight="1" x14ac:dyDescent="0.25">
      <c r="B148" s="1104" t="s">
        <v>350</v>
      </c>
      <c r="C148" s="1104"/>
      <c r="D148" s="1104"/>
      <c r="E148" s="1104"/>
      <c r="F148" s="167"/>
      <c r="G148" s="804"/>
      <c r="H148" s="804"/>
      <c r="I148" s="804"/>
      <c r="J148" s="804"/>
      <c r="K148" s="804"/>
      <c r="L148" s="804"/>
      <c r="M148" s="804"/>
      <c r="N148" s="804"/>
      <c r="P148" s="804"/>
    </row>
    <row r="149" spans="2:16" ht="28.5" customHeight="1" x14ac:dyDescent="0.25">
      <c r="B149" s="1090" t="str">
        <f>"per 31/12/"&amp;$G$13</f>
        <v>per 31/12/2017</v>
      </c>
      <c r="C149" s="1091"/>
      <c r="D149" s="1091"/>
      <c r="E149" s="1092"/>
      <c r="F149" s="167"/>
      <c r="G149" s="849">
        <f>+G$18+G59</f>
        <v>0</v>
      </c>
      <c r="H149" s="247"/>
      <c r="I149" s="247"/>
      <c r="J149" s="247"/>
      <c r="K149" s="247"/>
      <c r="L149" s="247"/>
      <c r="M149" s="247"/>
      <c r="N149" s="247"/>
      <c r="P149" s="803">
        <f>SUM(G149:N149)</f>
        <v>0</v>
      </c>
    </row>
    <row r="150" spans="2:16" ht="28.5" customHeight="1" x14ac:dyDescent="0.25">
      <c r="B150" s="1090" t="str">
        <f>"per 31/12/"&amp;$H$13</f>
        <v>per 31/12/2018</v>
      </c>
      <c r="C150" s="1091"/>
      <c r="D150" s="1091"/>
      <c r="E150" s="1092"/>
      <c r="F150" s="167"/>
      <c r="G150" s="247">
        <f>+G149+G60</f>
        <v>0</v>
      </c>
      <c r="H150" s="247">
        <f>+H$18+H60</f>
        <v>0</v>
      </c>
      <c r="I150" s="247"/>
      <c r="J150" s="247"/>
      <c r="K150" s="247"/>
      <c r="L150" s="247"/>
      <c r="M150" s="247"/>
      <c r="N150" s="247"/>
      <c r="P150" s="803">
        <f t="shared" ref="P150:P154" si="17">SUM(G150:N150)</f>
        <v>0</v>
      </c>
    </row>
    <row r="151" spans="2:16" ht="28.5" customHeight="1" x14ac:dyDescent="0.25">
      <c r="B151" s="1090" t="str">
        <f>"per 31/12/"&amp;$I$13</f>
        <v>per 31/12/2019</v>
      </c>
      <c r="C151" s="1091"/>
      <c r="D151" s="1091"/>
      <c r="E151" s="1092"/>
      <c r="F151" s="167"/>
      <c r="G151" s="247">
        <f>+G150+G61</f>
        <v>0</v>
      </c>
      <c r="H151" s="247">
        <f>+H150+H61</f>
        <v>0</v>
      </c>
      <c r="I151" s="247">
        <f>+I$18+I61</f>
        <v>0</v>
      </c>
      <c r="J151" s="247"/>
      <c r="K151" s="247"/>
      <c r="L151" s="247"/>
      <c r="M151" s="247"/>
      <c r="N151" s="247"/>
      <c r="P151" s="803">
        <f t="shared" si="17"/>
        <v>0</v>
      </c>
    </row>
    <row r="152" spans="2:16" ht="28.5" customHeight="1" x14ac:dyDescent="0.25">
      <c r="B152" s="1090" t="str">
        <f>"per 31/12/"&amp;$J$13</f>
        <v>per 31/12/2020</v>
      </c>
      <c r="C152" s="1091"/>
      <c r="D152" s="1091"/>
      <c r="E152" s="1092"/>
      <c r="F152" s="167"/>
      <c r="G152" s="247">
        <f>+G151+G62</f>
        <v>0</v>
      </c>
      <c r="H152" s="247">
        <f>+H151+H62</f>
        <v>0</v>
      </c>
      <c r="I152" s="247">
        <f>+I151+I62</f>
        <v>0</v>
      </c>
      <c r="J152" s="247">
        <f>+J$18+J62</f>
        <v>0</v>
      </c>
      <c r="K152" s="247"/>
      <c r="L152" s="247"/>
      <c r="M152" s="247"/>
      <c r="N152" s="247"/>
      <c r="P152" s="803">
        <f t="shared" si="17"/>
        <v>0</v>
      </c>
    </row>
    <row r="153" spans="2:16" ht="28.5" customHeight="1" x14ac:dyDescent="0.25">
      <c r="B153" s="1090" t="str">
        <f>"per 31/12/"&amp;$K$13</f>
        <v>per 31/12/2021</v>
      </c>
      <c r="C153" s="1091"/>
      <c r="D153" s="1091"/>
      <c r="E153" s="1092"/>
      <c r="F153" s="167"/>
      <c r="G153" s="247">
        <f>+G152+G63</f>
        <v>0</v>
      </c>
      <c r="H153" s="247">
        <f>+H152+H63</f>
        <v>0</v>
      </c>
      <c r="I153" s="247">
        <f>+I152+I63</f>
        <v>0</v>
      </c>
      <c r="J153" s="247">
        <f>+J152+J63</f>
        <v>0</v>
      </c>
      <c r="K153" s="520"/>
      <c r="L153" s="247"/>
      <c r="M153" s="247"/>
      <c r="N153" s="247"/>
      <c r="P153" s="803">
        <f t="shared" si="17"/>
        <v>0</v>
      </c>
    </row>
    <row r="154" spans="2:16" ht="28.5" customHeight="1" x14ac:dyDescent="0.25">
      <c r="B154" s="1090" t="str">
        <f>"per 31/12/"&amp;$L$13</f>
        <v>per 31/12/2022</v>
      </c>
      <c r="C154" s="1091"/>
      <c r="D154" s="1091"/>
      <c r="E154" s="1092"/>
      <c r="F154" s="167"/>
      <c r="G154" s="247">
        <f>+G153+G64</f>
        <v>0</v>
      </c>
      <c r="H154" s="247">
        <f>+H153+H64</f>
        <v>0</v>
      </c>
      <c r="I154" s="247">
        <f>+I153+I64</f>
        <v>0</v>
      </c>
      <c r="J154" s="247">
        <f>+J153+J64</f>
        <v>0</v>
      </c>
      <c r="K154" s="520"/>
      <c r="L154" s="520"/>
      <c r="M154" s="247"/>
      <c r="N154" s="247"/>
      <c r="P154" s="803">
        <f t="shared" si="17"/>
        <v>0</v>
      </c>
    </row>
    <row r="155" spans="2:16" ht="28.5" customHeight="1" x14ac:dyDescent="0.25">
      <c r="B155" s="1090" t="str">
        <f>"per 31/12/"&amp;$M$13</f>
        <v>per 31/12/2023</v>
      </c>
      <c r="C155" s="1091"/>
      <c r="D155" s="1091"/>
      <c r="E155" s="1092"/>
      <c r="F155" s="167"/>
      <c r="G155" s="247"/>
      <c r="H155" s="247"/>
      <c r="I155" s="247"/>
      <c r="J155" s="247"/>
      <c r="K155" s="520"/>
      <c r="L155" s="520"/>
      <c r="M155" s="520"/>
      <c r="N155" s="247"/>
      <c r="P155" s="805"/>
    </row>
    <row r="156" spans="2:16" ht="28.5" customHeight="1" x14ac:dyDescent="0.25">
      <c r="B156" s="1090" t="str">
        <f>"per 31/12/"&amp;$N$13</f>
        <v>per 31/12/2024</v>
      </c>
      <c r="C156" s="1091"/>
      <c r="D156" s="1091"/>
      <c r="E156" s="1092"/>
      <c r="F156" s="167"/>
      <c r="G156" s="247"/>
      <c r="H156" s="247"/>
      <c r="I156" s="247"/>
      <c r="J156" s="247"/>
      <c r="K156" s="247"/>
      <c r="L156" s="520"/>
      <c r="M156" s="520"/>
      <c r="N156" s="520"/>
      <c r="P156" s="805"/>
    </row>
    <row r="157" spans="2:16" ht="30" customHeight="1" x14ac:dyDescent="0.25">
      <c r="B157" s="1096" t="s">
        <v>169</v>
      </c>
      <c r="C157" s="1097"/>
      <c r="D157" s="1097"/>
      <c r="E157" s="1098"/>
      <c r="F157" s="167"/>
      <c r="G157" s="804"/>
      <c r="H157" s="804"/>
      <c r="I157" s="804"/>
      <c r="J157" s="804"/>
      <c r="K157" s="804"/>
      <c r="L157" s="804"/>
      <c r="M157" s="804"/>
      <c r="N157" s="804"/>
      <c r="P157" s="804"/>
    </row>
    <row r="158" spans="2:16" ht="28.5" customHeight="1" x14ac:dyDescent="0.25">
      <c r="B158" s="1090" t="str">
        <f>"per 31/12/"&amp;$G$13</f>
        <v>per 31/12/2017</v>
      </c>
      <c r="C158" s="1091"/>
      <c r="D158" s="1091"/>
      <c r="E158" s="1092"/>
      <c r="F158" s="167"/>
      <c r="G158" s="849">
        <f>+G$19+G68</f>
        <v>0</v>
      </c>
      <c r="H158" s="247"/>
      <c r="I158" s="247"/>
      <c r="J158" s="247"/>
      <c r="K158" s="247"/>
      <c r="L158" s="247"/>
      <c r="M158" s="247"/>
      <c r="N158" s="247"/>
      <c r="P158" s="803">
        <f>SUM(G158:N158)</f>
        <v>0</v>
      </c>
    </row>
    <row r="159" spans="2:16" ht="28.5" customHeight="1" x14ac:dyDescent="0.25">
      <c r="B159" s="1090" t="str">
        <f>"per 31/12/"&amp;$H$13</f>
        <v>per 31/12/2018</v>
      </c>
      <c r="C159" s="1091"/>
      <c r="D159" s="1091"/>
      <c r="E159" s="1092"/>
      <c r="F159" s="167"/>
      <c r="G159" s="247">
        <f>+G158+G69</f>
        <v>0</v>
      </c>
      <c r="H159" s="247">
        <f>+H$19+H69</f>
        <v>0</v>
      </c>
      <c r="I159" s="247"/>
      <c r="J159" s="247"/>
      <c r="K159" s="247"/>
      <c r="L159" s="247"/>
      <c r="M159" s="247"/>
      <c r="N159" s="247"/>
      <c r="P159" s="803">
        <f t="shared" ref="P159:P163" si="18">SUM(G159:N159)</f>
        <v>0</v>
      </c>
    </row>
    <row r="160" spans="2:16" ht="28.5" customHeight="1" x14ac:dyDescent="0.25">
      <c r="B160" s="1090" t="str">
        <f>"per 31/12/"&amp;$I$13</f>
        <v>per 31/12/2019</v>
      </c>
      <c r="C160" s="1091"/>
      <c r="D160" s="1091"/>
      <c r="E160" s="1092"/>
      <c r="F160" s="167"/>
      <c r="G160" s="247">
        <f>+G159+G70</f>
        <v>0</v>
      </c>
      <c r="H160" s="247">
        <f>+H159+H70</f>
        <v>0</v>
      </c>
      <c r="I160" s="247">
        <f>+I$19+I70</f>
        <v>0</v>
      </c>
      <c r="J160" s="247"/>
      <c r="K160" s="247"/>
      <c r="L160" s="247"/>
      <c r="M160" s="247"/>
      <c r="N160" s="247"/>
      <c r="P160" s="803">
        <f t="shared" si="18"/>
        <v>0</v>
      </c>
    </row>
    <row r="161" spans="2:16" ht="28.5" customHeight="1" x14ac:dyDescent="0.25">
      <c r="B161" s="1090" t="str">
        <f>"per 31/12/"&amp;$J$13</f>
        <v>per 31/12/2020</v>
      </c>
      <c r="C161" s="1091"/>
      <c r="D161" s="1091"/>
      <c r="E161" s="1092"/>
      <c r="F161" s="167"/>
      <c r="G161" s="247">
        <f>+G160+G71</f>
        <v>0</v>
      </c>
      <c r="H161" s="247">
        <f>+H160+H71</f>
        <v>0</v>
      </c>
      <c r="I161" s="247">
        <f>+I160+I71</f>
        <v>0</v>
      </c>
      <c r="J161" s="247">
        <f>+J$19+J71</f>
        <v>0</v>
      </c>
      <c r="K161" s="247"/>
      <c r="L161" s="247"/>
      <c r="M161" s="247"/>
      <c r="N161" s="247"/>
      <c r="P161" s="803">
        <f t="shared" si="18"/>
        <v>0</v>
      </c>
    </row>
    <row r="162" spans="2:16" ht="28.5" customHeight="1" x14ac:dyDescent="0.25">
      <c r="B162" s="1090" t="str">
        <f>"per 31/12/"&amp;$K$13</f>
        <v>per 31/12/2021</v>
      </c>
      <c r="C162" s="1091"/>
      <c r="D162" s="1091"/>
      <c r="E162" s="1092"/>
      <c r="F162" s="167"/>
      <c r="G162" s="247">
        <f>+G161+G72</f>
        <v>0</v>
      </c>
      <c r="H162" s="247">
        <f>+H161+H72</f>
        <v>0</v>
      </c>
      <c r="I162" s="247">
        <f>+I161+I72</f>
        <v>0</v>
      </c>
      <c r="J162" s="247">
        <f>+J161+J72</f>
        <v>0</v>
      </c>
      <c r="K162" s="520"/>
      <c r="L162" s="247"/>
      <c r="M162" s="247"/>
      <c r="N162" s="247"/>
      <c r="P162" s="803">
        <f t="shared" si="18"/>
        <v>0</v>
      </c>
    </row>
    <row r="163" spans="2:16" ht="28.5" customHeight="1" x14ac:dyDescent="0.25">
      <c r="B163" s="1090" t="str">
        <f>"per 31/12/"&amp;$L$13</f>
        <v>per 31/12/2022</v>
      </c>
      <c r="C163" s="1091"/>
      <c r="D163" s="1091"/>
      <c r="E163" s="1092"/>
      <c r="F163" s="167"/>
      <c r="G163" s="247">
        <f>+G162+G73</f>
        <v>0</v>
      </c>
      <c r="H163" s="247">
        <f>+H162+H73</f>
        <v>0</v>
      </c>
      <c r="I163" s="247">
        <f>+I162+I73</f>
        <v>0</v>
      </c>
      <c r="J163" s="247">
        <f>+J162+J73</f>
        <v>0</v>
      </c>
      <c r="K163" s="520"/>
      <c r="L163" s="520"/>
      <c r="M163" s="247"/>
      <c r="N163" s="247"/>
      <c r="P163" s="803">
        <f t="shared" si="18"/>
        <v>0</v>
      </c>
    </row>
    <row r="164" spans="2:16" ht="28.5" customHeight="1" x14ac:dyDescent="0.25">
      <c r="B164" s="1090" t="str">
        <f>"per 31/12/"&amp;$M$13</f>
        <v>per 31/12/2023</v>
      </c>
      <c r="C164" s="1091"/>
      <c r="D164" s="1091"/>
      <c r="E164" s="1092"/>
      <c r="F164" s="167"/>
      <c r="G164" s="247"/>
      <c r="H164" s="247"/>
      <c r="I164" s="247"/>
      <c r="J164" s="247"/>
      <c r="K164" s="520"/>
      <c r="L164" s="520"/>
      <c r="M164" s="520"/>
      <c r="N164" s="247"/>
      <c r="P164" s="805"/>
    </row>
    <row r="165" spans="2:16" ht="28.5" customHeight="1" x14ac:dyDescent="0.25">
      <c r="B165" s="1090" t="str">
        <f>"per 31/12/"&amp;$N$13</f>
        <v>per 31/12/2024</v>
      </c>
      <c r="C165" s="1091"/>
      <c r="D165" s="1091"/>
      <c r="E165" s="1092"/>
      <c r="F165" s="167"/>
      <c r="G165" s="247"/>
      <c r="H165" s="247"/>
      <c r="I165" s="247"/>
      <c r="J165" s="247"/>
      <c r="K165" s="247"/>
      <c r="L165" s="520"/>
      <c r="M165" s="520"/>
      <c r="N165" s="520"/>
      <c r="P165" s="805"/>
    </row>
    <row r="166" spans="2:16" ht="30" customHeight="1" x14ac:dyDescent="0.25">
      <c r="B166" s="1096" t="s">
        <v>67</v>
      </c>
      <c r="C166" s="1097"/>
      <c r="D166" s="1097"/>
      <c r="E166" s="1098"/>
      <c r="F166" s="167"/>
      <c r="G166" s="804"/>
      <c r="H166" s="804"/>
      <c r="I166" s="804"/>
      <c r="J166" s="804"/>
      <c r="K166" s="804"/>
      <c r="L166" s="804"/>
      <c r="M166" s="804"/>
      <c r="N166" s="804"/>
      <c r="P166" s="804"/>
    </row>
    <row r="167" spans="2:16" ht="28.5" customHeight="1" x14ac:dyDescent="0.25">
      <c r="B167" s="1090" t="str">
        <f>"per 31/12/"&amp;$G$13</f>
        <v>per 31/12/2017</v>
      </c>
      <c r="C167" s="1091"/>
      <c r="D167" s="1091"/>
      <c r="E167" s="1092"/>
      <c r="F167" s="167"/>
      <c r="G167" s="849">
        <f>+G$20+G77</f>
        <v>0</v>
      </c>
      <c r="H167" s="247"/>
      <c r="I167" s="247"/>
      <c r="J167" s="247"/>
      <c r="K167" s="247"/>
      <c r="L167" s="247"/>
      <c r="M167" s="247"/>
      <c r="N167" s="247"/>
      <c r="P167" s="803">
        <f>SUM(G167:N167)</f>
        <v>0</v>
      </c>
    </row>
    <row r="168" spans="2:16" ht="28.5" customHeight="1" x14ac:dyDescent="0.25">
      <c r="B168" s="1090" t="str">
        <f>"per 31/12/"&amp;$H$13</f>
        <v>per 31/12/2018</v>
      </c>
      <c r="C168" s="1091"/>
      <c r="D168" s="1091"/>
      <c r="E168" s="1092"/>
      <c r="F168" s="167"/>
      <c r="G168" s="247">
        <f>+G167+G78</f>
        <v>0</v>
      </c>
      <c r="H168" s="247">
        <f>+H$20+H78</f>
        <v>0</v>
      </c>
      <c r="I168" s="247"/>
      <c r="J168" s="247"/>
      <c r="K168" s="247"/>
      <c r="L168" s="247"/>
      <c r="M168" s="247"/>
      <c r="N168" s="247"/>
      <c r="P168" s="803">
        <f t="shared" ref="P168:P174" si="19">SUM(G168:N168)</f>
        <v>0</v>
      </c>
    </row>
    <row r="169" spans="2:16" ht="28.5" customHeight="1" x14ac:dyDescent="0.25">
      <c r="B169" s="1090" t="str">
        <f>"per 31/12/"&amp;$I$13</f>
        <v>per 31/12/2019</v>
      </c>
      <c r="C169" s="1091"/>
      <c r="D169" s="1091"/>
      <c r="E169" s="1092"/>
      <c r="F169" s="167"/>
      <c r="G169" s="247">
        <f>+G168+G79</f>
        <v>0</v>
      </c>
      <c r="H169" s="247">
        <f>+H168+H79</f>
        <v>0</v>
      </c>
      <c r="I169" s="247">
        <f>+I$20+I79</f>
        <v>0</v>
      </c>
      <c r="J169" s="247"/>
      <c r="K169" s="247"/>
      <c r="L169" s="247"/>
      <c r="M169" s="247"/>
      <c r="N169" s="247"/>
      <c r="P169" s="803">
        <f t="shared" si="19"/>
        <v>0</v>
      </c>
    </row>
    <row r="170" spans="2:16" ht="28.5" customHeight="1" x14ac:dyDescent="0.25">
      <c r="B170" s="1090" t="str">
        <f>"per 31/12/"&amp;$J$13</f>
        <v>per 31/12/2020</v>
      </c>
      <c r="C170" s="1091"/>
      <c r="D170" s="1091"/>
      <c r="E170" s="1092"/>
      <c r="F170" s="167"/>
      <c r="G170" s="247">
        <f>+G169+G80</f>
        <v>0</v>
      </c>
      <c r="H170" s="247">
        <f>+H169+H80</f>
        <v>0</v>
      </c>
      <c r="I170" s="247">
        <f>+I169+I80</f>
        <v>0</v>
      </c>
      <c r="J170" s="247">
        <f>+J$20+J80</f>
        <v>0</v>
      </c>
      <c r="K170" s="247"/>
      <c r="L170" s="247"/>
      <c r="M170" s="247"/>
      <c r="N170" s="247"/>
      <c r="P170" s="803">
        <f t="shared" si="19"/>
        <v>0</v>
      </c>
    </row>
    <row r="171" spans="2:16" ht="28.5" customHeight="1" x14ac:dyDescent="0.25">
      <c r="B171" s="1090" t="str">
        <f>"per 31/12/"&amp;$K$13</f>
        <v>per 31/12/2021</v>
      </c>
      <c r="C171" s="1091"/>
      <c r="D171" s="1091"/>
      <c r="E171" s="1092"/>
      <c r="F171" s="167"/>
      <c r="G171" s="247">
        <f>+G170+G81</f>
        <v>0</v>
      </c>
      <c r="H171" s="247">
        <f>+H170+H81</f>
        <v>0</v>
      </c>
      <c r="I171" s="247">
        <f>+I170+I81</f>
        <v>0</v>
      </c>
      <c r="J171" s="247">
        <f>+J170+J81</f>
        <v>0</v>
      </c>
      <c r="K171" s="247">
        <f>+K$20+K81</f>
        <v>0</v>
      </c>
      <c r="L171" s="247"/>
      <c r="M171" s="247"/>
      <c r="N171" s="247"/>
      <c r="P171" s="803">
        <f t="shared" si="19"/>
        <v>0</v>
      </c>
    </row>
    <row r="172" spans="2:16" ht="28.5" customHeight="1" x14ac:dyDescent="0.25">
      <c r="B172" s="1090" t="str">
        <f>"per 31/12/"&amp;$L$13</f>
        <v>per 31/12/2022</v>
      </c>
      <c r="C172" s="1091"/>
      <c r="D172" s="1091"/>
      <c r="E172" s="1092"/>
      <c r="F172" s="167"/>
      <c r="G172" s="247">
        <f>+G171+G82</f>
        <v>0</v>
      </c>
      <c r="H172" s="247">
        <f>+H171+H82</f>
        <v>0</v>
      </c>
      <c r="I172" s="247">
        <f>+I171+I82</f>
        <v>0</v>
      </c>
      <c r="J172" s="247">
        <f>+J171+J82</f>
        <v>0</v>
      </c>
      <c r="K172" s="247">
        <f>+K171+K82</f>
        <v>0</v>
      </c>
      <c r="L172" s="247">
        <f>+L$20+L82</f>
        <v>0</v>
      </c>
      <c r="M172" s="247"/>
      <c r="N172" s="247"/>
      <c r="P172" s="803">
        <f t="shared" si="19"/>
        <v>0</v>
      </c>
    </row>
    <row r="173" spans="2:16" ht="28.5" customHeight="1" x14ac:dyDescent="0.25">
      <c r="B173" s="1090" t="str">
        <f>"per 31/12/"&amp;$M$13</f>
        <v>per 31/12/2023</v>
      </c>
      <c r="C173" s="1091"/>
      <c r="D173" s="1091"/>
      <c r="E173" s="1092"/>
      <c r="F173" s="167"/>
      <c r="G173" s="247"/>
      <c r="H173" s="247"/>
      <c r="I173" s="247"/>
      <c r="J173" s="247"/>
      <c r="K173" s="247">
        <f>+K172+K83</f>
        <v>0</v>
      </c>
      <c r="L173" s="247">
        <f>+L172+L83</f>
        <v>0</v>
      </c>
      <c r="M173" s="247">
        <f>+M$20+M83</f>
        <v>0</v>
      </c>
      <c r="N173" s="247"/>
      <c r="P173" s="803">
        <f t="shared" si="19"/>
        <v>0</v>
      </c>
    </row>
    <row r="174" spans="2:16" ht="28.5" customHeight="1" x14ac:dyDescent="0.25">
      <c r="B174" s="1090" t="str">
        <f>"per 31/12/"&amp;$N$13</f>
        <v>per 31/12/2024</v>
      </c>
      <c r="C174" s="1091"/>
      <c r="D174" s="1091"/>
      <c r="E174" s="1092"/>
      <c r="F174" s="167"/>
      <c r="G174" s="247"/>
      <c r="H174" s="247"/>
      <c r="I174" s="247"/>
      <c r="J174" s="247"/>
      <c r="K174" s="247"/>
      <c r="L174" s="247">
        <f>+L173+L84</f>
        <v>0</v>
      </c>
      <c r="M174" s="247">
        <f>+M173+M84</f>
        <v>0</v>
      </c>
      <c r="N174" s="247">
        <f>+N$20+N84</f>
        <v>0</v>
      </c>
      <c r="P174" s="803">
        <f t="shared" si="19"/>
        <v>0</v>
      </c>
    </row>
    <row r="175" spans="2:16" ht="26.25" customHeight="1" x14ac:dyDescent="0.25">
      <c r="B175" s="1096" t="s">
        <v>96</v>
      </c>
      <c r="C175" s="1097"/>
      <c r="D175" s="1097"/>
      <c r="E175" s="1098"/>
      <c r="F175" s="167"/>
      <c r="G175" s="804"/>
      <c r="H175" s="804"/>
      <c r="I175" s="804"/>
      <c r="J175" s="804"/>
      <c r="K175" s="804"/>
      <c r="L175" s="804"/>
      <c r="M175" s="804"/>
      <c r="N175" s="804"/>
      <c r="P175" s="804"/>
    </row>
    <row r="176" spans="2:16" ht="28.5" customHeight="1" x14ac:dyDescent="0.25">
      <c r="B176" s="1090" t="str">
        <f>"per 31/12/"&amp;$G$13</f>
        <v>per 31/12/2017</v>
      </c>
      <c r="C176" s="1091"/>
      <c r="D176" s="1091"/>
      <c r="E176" s="1092"/>
      <c r="F176" s="167"/>
      <c r="G176" s="849">
        <f>+G$21+G86</f>
        <v>0</v>
      </c>
      <c r="H176" s="247"/>
      <c r="I176" s="247"/>
      <c r="J176" s="247"/>
      <c r="K176" s="247"/>
      <c r="L176" s="247"/>
      <c r="M176" s="247"/>
      <c r="N176" s="247"/>
      <c r="P176" s="803">
        <f t="shared" ref="P176:P182" si="20">SUM(G176:N176)</f>
        <v>0</v>
      </c>
    </row>
    <row r="177" spans="2:16" ht="28.5" customHeight="1" x14ac:dyDescent="0.25">
      <c r="B177" s="1090" t="str">
        <f>"per 31/12/"&amp;$H$13</f>
        <v>per 31/12/2018</v>
      </c>
      <c r="C177" s="1091"/>
      <c r="D177" s="1091"/>
      <c r="E177" s="1092"/>
      <c r="F177" s="167"/>
      <c r="G177" s="247">
        <f>+G176+G87</f>
        <v>0</v>
      </c>
      <c r="H177" s="247">
        <f>+H$21+H87</f>
        <v>0</v>
      </c>
      <c r="I177" s="247"/>
      <c r="J177" s="247"/>
      <c r="K177" s="247"/>
      <c r="L177" s="247"/>
      <c r="M177" s="247"/>
      <c r="N177" s="247"/>
      <c r="P177" s="803">
        <f t="shared" si="20"/>
        <v>0</v>
      </c>
    </row>
    <row r="178" spans="2:16" ht="28.5" customHeight="1" x14ac:dyDescent="0.25">
      <c r="B178" s="1090" t="str">
        <f>"per 31/12/"&amp;$I$13</f>
        <v>per 31/12/2019</v>
      </c>
      <c r="C178" s="1091"/>
      <c r="D178" s="1091"/>
      <c r="E178" s="1092"/>
      <c r="F178" s="167"/>
      <c r="G178" s="247">
        <f>+G177+G88</f>
        <v>0</v>
      </c>
      <c r="H178" s="247">
        <f>+H177+H88</f>
        <v>0</v>
      </c>
      <c r="I178" s="247">
        <f>+I$21+I88</f>
        <v>0</v>
      </c>
      <c r="J178" s="247"/>
      <c r="K178" s="247"/>
      <c r="L178" s="247"/>
      <c r="M178" s="247"/>
      <c r="N178" s="247"/>
      <c r="P178" s="803">
        <f t="shared" si="20"/>
        <v>0</v>
      </c>
    </row>
    <row r="179" spans="2:16" ht="28.5" customHeight="1" x14ac:dyDescent="0.25">
      <c r="B179" s="1090" t="str">
        <f>"per 31/12/"&amp;$J$13</f>
        <v>per 31/12/2020</v>
      </c>
      <c r="C179" s="1091"/>
      <c r="D179" s="1091"/>
      <c r="E179" s="1092"/>
      <c r="F179" s="167"/>
      <c r="G179" s="247">
        <f>+G178+G89</f>
        <v>0</v>
      </c>
      <c r="H179" s="247">
        <f>+H178+H89</f>
        <v>0</v>
      </c>
      <c r="I179" s="247">
        <f>+I178+I89</f>
        <v>0</v>
      </c>
      <c r="J179" s="247">
        <f>+J$21+J89</f>
        <v>0</v>
      </c>
      <c r="K179" s="247"/>
      <c r="L179" s="247"/>
      <c r="M179" s="247"/>
      <c r="N179" s="247"/>
      <c r="P179" s="803">
        <f t="shared" si="20"/>
        <v>0</v>
      </c>
    </row>
    <row r="180" spans="2:16" ht="28.5" customHeight="1" x14ac:dyDescent="0.25">
      <c r="B180" s="1090" t="str">
        <f>"per 31/12/"&amp;$K$13</f>
        <v>per 31/12/2021</v>
      </c>
      <c r="C180" s="1091"/>
      <c r="D180" s="1091"/>
      <c r="E180" s="1092"/>
      <c r="F180" s="167"/>
      <c r="G180" s="247">
        <f>+G179+G90</f>
        <v>0</v>
      </c>
      <c r="H180" s="247">
        <f>+H179+H90</f>
        <v>0</v>
      </c>
      <c r="I180" s="247">
        <f>+I179+I90</f>
        <v>0</v>
      </c>
      <c r="J180" s="247">
        <f>+J179+J90</f>
        <v>0</v>
      </c>
      <c r="K180" s="247">
        <f>+K$21+K90</f>
        <v>0</v>
      </c>
      <c r="L180" s="247"/>
      <c r="M180" s="247"/>
      <c r="N180" s="247"/>
      <c r="P180" s="803">
        <f t="shared" si="20"/>
        <v>0</v>
      </c>
    </row>
    <row r="181" spans="2:16" ht="28.5" customHeight="1" x14ac:dyDescent="0.25">
      <c r="B181" s="1090" t="str">
        <f>"per 31/12/"&amp;$L$13</f>
        <v>per 31/12/2022</v>
      </c>
      <c r="C181" s="1091"/>
      <c r="D181" s="1091"/>
      <c r="E181" s="1092"/>
      <c r="F181" s="167"/>
      <c r="G181" s="247">
        <f>+G180+G91</f>
        <v>0</v>
      </c>
      <c r="H181" s="247">
        <f>+H180+H91</f>
        <v>0</v>
      </c>
      <c r="I181" s="247">
        <f>+I180+I91</f>
        <v>0</v>
      </c>
      <c r="J181" s="247">
        <f>+J180+J91</f>
        <v>0</v>
      </c>
      <c r="K181" s="247">
        <f>+K180+K91</f>
        <v>0</v>
      </c>
      <c r="L181" s="520"/>
      <c r="M181" s="247"/>
      <c r="N181" s="247"/>
      <c r="P181" s="803">
        <f t="shared" si="20"/>
        <v>0</v>
      </c>
    </row>
    <row r="182" spans="2:16" ht="28.5" customHeight="1" x14ac:dyDescent="0.25">
      <c r="B182" s="1090" t="str">
        <f>"per 31/12/"&amp;$M$13</f>
        <v>per 31/12/2023</v>
      </c>
      <c r="C182" s="1091"/>
      <c r="D182" s="1091"/>
      <c r="E182" s="1092"/>
      <c r="F182" s="167"/>
      <c r="G182" s="247"/>
      <c r="H182" s="247"/>
      <c r="I182" s="247"/>
      <c r="J182" s="247"/>
      <c r="K182" s="247">
        <f>+K181+K92</f>
        <v>0</v>
      </c>
      <c r="L182" s="520"/>
      <c r="M182" s="520"/>
      <c r="N182" s="247"/>
      <c r="P182" s="803">
        <f t="shared" si="20"/>
        <v>0</v>
      </c>
    </row>
    <row r="183" spans="2:16" ht="28.5" customHeight="1" x14ac:dyDescent="0.25">
      <c r="B183" s="1081" t="str">
        <f>"per 31/12/"&amp;$N$13</f>
        <v>per 31/12/2024</v>
      </c>
      <c r="C183" s="1082"/>
      <c r="D183" s="1082"/>
      <c r="E183" s="1083"/>
      <c r="F183" s="167"/>
      <c r="G183" s="247"/>
      <c r="H183" s="247"/>
      <c r="I183" s="247"/>
      <c r="J183" s="247"/>
      <c r="K183" s="247"/>
      <c r="L183" s="520"/>
      <c r="M183" s="520"/>
      <c r="N183" s="520"/>
      <c r="P183" s="805"/>
    </row>
    <row r="184" spans="2:16" ht="33" customHeight="1" x14ac:dyDescent="0.25">
      <c r="B184" s="1096" t="s">
        <v>357</v>
      </c>
      <c r="C184" s="1097"/>
      <c r="D184" s="1097"/>
      <c r="E184" s="1098"/>
      <c r="F184" s="167"/>
      <c r="G184" s="804"/>
      <c r="H184" s="804"/>
      <c r="I184" s="804"/>
      <c r="J184" s="804"/>
      <c r="K184" s="804"/>
      <c r="L184" s="804"/>
      <c r="M184" s="804"/>
      <c r="N184" s="804"/>
      <c r="P184" s="804"/>
    </row>
    <row r="185" spans="2:16" ht="28.5" customHeight="1" x14ac:dyDescent="0.25">
      <c r="B185" s="1090" t="str">
        <f>"per 31/12/"&amp;$G$13</f>
        <v>per 31/12/2017</v>
      </c>
      <c r="C185" s="1091"/>
      <c r="D185" s="1091"/>
      <c r="E185" s="1092"/>
      <c r="F185" s="167"/>
      <c r="G185" s="849">
        <f>+G$22+G95</f>
        <v>0</v>
      </c>
      <c r="H185" s="247"/>
      <c r="I185" s="247"/>
      <c r="J185" s="247"/>
      <c r="K185" s="247"/>
      <c r="L185" s="247"/>
      <c r="M185" s="247"/>
      <c r="N185" s="247"/>
      <c r="P185" s="803">
        <f t="shared" ref="P185:P192" si="21">SUM(G185:N185)</f>
        <v>0</v>
      </c>
    </row>
    <row r="186" spans="2:16" ht="28.5" customHeight="1" x14ac:dyDescent="0.25">
      <c r="B186" s="1090" t="str">
        <f>"per 31/12/"&amp;$H$13</f>
        <v>per 31/12/2018</v>
      </c>
      <c r="C186" s="1091"/>
      <c r="D186" s="1091"/>
      <c r="E186" s="1092"/>
      <c r="F186" s="167"/>
      <c r="G186" s="247">
        <f>+G185+G96</f>
        <v>0</v>
      </c>
      <c r="H186" s="247">
        <f>+H$22+H96</f>
        <v>0</v>
      </c>
      <c r="I186" s="247"/>
      <c r="J186" s="247"/>
      <c r="K186" s="247"/>
      <c r="L186" s="247"/>
      <c r="M186" s="247"/>
      <c r="N186" s="247"/>
      <c r="P186" s="803">
        <f t="shared" si="21"/>
        <v>0</v>
      </c>
    </row>
    <row r="187" spans="2:16" ht="28.5" customHeight="1" x14ac:dyDescent="0.25">
      <c r="B187" s="1090" t="str">
        <f>"per 31/12/"&amp;$I$13</f>
        <v>per 31/12/2019</v>
      </c>
      <c r="C187" s="1091"/>
      <c r="D187" s="1091"/>
      <c r="E187" s="1092"/>
      <c r="F187" s="167"/>
      <c r="G187" s="247">
        <f>+G186+G97</f>
        <v>0</v>
      </c>
      <c r="H187" s="247">
        <f>+H186+H97</f>
        <v>0</v>
      </c>
      <c r="I187" s="247">
        <f>+I$22+I97</f>
        <v>0</v>
      </c>
      <c r="J187" s="247"/>
      <c r="K187" s="247"/>
      <c r="L187" s="247"/>
      <c r="M187" s="247"/>
      <c r="N187" s="247"/>
      <c r="P187" s="803">
        <f t="shared" si="21"/>
        <v>0</v>
      </c>
    </row>
    <row r="188" spans="2:16" ht="28.5" customHeight="1" x14ac:dyDescent="0.25">
      <c r="B188" s="1090" t="str">
        <f>"per 31/12/"&amp;$J$13</f>
        <v>per 31/12/2020</v>
      </c>
      <c r="C188" s="1091"/>
      <c r="D188" s="1091"/>
      <c r="E188" s="1092"/>
      <c r="F188" s="167"/>
      <c r="G188" s="247">
        <f>+G187+G98</f>
        <v>0</v>
      </c>
      <c r="H188" s="247">
        <f>+H187+H98</f>
        <v>0</v>
      </c>
      <c r="I188" s="247">
        <f>+I187+I98</f>
        <v>0</v>
      </c>
      <c r="J188" s="247">
        <f>+J$22+J98</f>
        <v>0</v>
      </c>
      <c r="K188" s="247"/>
      <c r="L188" s="247"/>
      <c r="M188" s="247"/>
      <c r="N188" s="247"/>
      <c r="P188" s="803">
        <f t="shared" si="21"/>
        <v>0</v>
      </c>
    </row>
    <row r="189" spans="2:16" ht="28.5" customHeight="1" x14ac:dyDescent="0.25">
      <c r="B189" s="1090" t="str">
        <f>"per 31/12/"&amp;$K$13</f>
        <v>per 31/12/2021</v>
      </c>
      <c r="C189" s="1091"/>
      <c r="D189" s="1091"/>
      <c r="E189" s="1092"/>
      <c r="F189" s="167"/>
      <c r="G189" s="247">
        <f>+G188+G99</f>
        <v>0</v>
      </c>
      <c r="H189" s="247">
        <f>+H188+H99</f>
        <v>0</v>
      </c>
      <c r="I189" s="247">
        <f>+I188+I99</f>
        <v>0</v>
      </c>
      <c r="J189" s="247">
        <f>+J188+J99</f>
        <v>0</v>
      </c>
      <c r="K189" s="247">
        <f>+K$22+K99</f>
        <v>0</v>
      </c>
      <c r="L189" s="247"/>
      <c r="M189" s="247"/>
      <c r="N189" s="247"/>
      <c r="P189" s="803">
        <f t="shared" si="21"/>
        <v>0</v>
      </c>
    </row>
    <row r="190" spans="2:16" ht="28.5" customHeight="1" x14ac:dyDescent="0.25">
      <c r="B190" s="1090" t="str">
        <f>"per 31/12/"&amp;$L$13</f>
        <v>per 31/12/2022</v>
      </c>
      <c r="C190" s="1091"/>
      <c r="D190" s="1091"/>
      <c r="E190" s="1092"/>
      <c r="F190" s="167"/>
      <c r="G190" s="247">
        <f>+G189+G100</f>
        <v>0</v>
      </c>
      <c r="H190" s="247">
        <f>+H189+H100</f>
        <v>0</v>
      </c>
      <c r="I190" s="247">
        <f>+I189+I100</f>
        <v>0</v>
      </c>
      <c r="J190" s="247">
        <f>+J189+J100</f>
        <v>0</v>
      </c>
      <c r="K190" s="247">
        <f>+K189+K100</f>
        <v>0</v>
      </c>
      <c r="L190" s="247">
        <f>+L$22+L100</f>
        <v>0</v>
      </c>
      <c r="M190" s="247"/>
      <c r="N190" s="247"/>
      <c r="P190" s="803">
        <f t="shared" si="21"/>
        <v>0</v>
      </c>
    </row>
    <row r="191" spans="2:16" ht="28.5" customHeight="1" x14ac:dyDescent="0.25">
      <c r="B191" s="1090" t="str">
        <f>"per 31/12/"&amp;$M$13</f>
        <v>per 31/12/2023</v>
      </c>
      <c r="C191" s="1091"/>
      <c r="D191" s="1091"/>
      <c r="E191" s="1092"/>
      <c r="F191" s="167"/>
      <c r="G191" s="247"/>
      <c r="H191" s="247"/>
      <c r="I191" s="247"/>
      <c r="J191" s="247"/>
      <c r="K191" s="247">
        <f>+K190+K101</f>
        <v>0</v>
      </c>
      <c r="L191" s="247">
        <f>+L190+L101</f>
        <v>0</v>
      </c>
      <c r="M191" s="247">
        <f>+M$22+M101</f>
        <v>0</v>
      </c>
      <c r="N191" s="247"/>
      <c r="P191" s="803">
        <f t="shared" si="21"/>
        <v>0</v>
      </c>
    </row>
    <row r="192" spans="2:16" ht="28.5" customHeight="1" x14ac:dyDescent="0.25">
      <c r="B192" s="1090" t="str">
        <f>"per 31/12/"&amp;$N$13</f>
        <v>per 31/12/2024</v>
      </c>
      <c r="C192" s="1091"/>
      <c r="D192" s="1091"/>
      <c r="E192" s="1092"/>
      <c r="F192" s="167"/>
      <c r="G192" s="247"/>
      <c r="H192" s="247"/>
      <c r="I192" s="247"/>
      <c r="J192" s="247"/>
      <c r="K192" s="247"/>
      <c r="L192" s="247">
        <f>+L191+L102</f>
        <v>0</v>
      </c>
      <c r="M192" s="247">
        <f>+M191+M102</f>
        <v>0</v>
      </c>
      <c r="N192" s="247">
        <f>+N$22+N102</f>
        <v>0</v>
      </c>
      <c r="P192" s="803">
        <f t="shared" si="21"/>
        <v>0</v>
      </c>
    </row>
    <row r="193" spans="1:16" ht="13" x14ac:dyDescent="0.25">
      <c r="G193" s="301"/>
      <c r="H193" s="301"/>
      <c r="I193" s="301"/>
      <c r="J193" s="301"/>
      <c r="K193" s="301"/>
      <c r="L193" s="301"/>
      <c r="M193" s="301"/>
      <c r="N193" s="301"/>
      <c r="P193" s="302"/>
    </row>
    <row r="194" spans="1:16" s="216" customFormat="1" ht="13" x14ac:dyDescent="0.25">
      <c r="B194" s="310"/>
      <c r="C194" s="311"/>
      <c r="D194" s="311"/>
      <c r="E194" s="312"/>
      <c r="F194" s="275"/>
      <c r="G194" s="165">
        <v>2017</v>
      </c>
      <c r="H194" s="165">
        <f>+G194+1</f>
        <v>2018</v>
      </c>
      <c r="I194" s="165">
        <f>+H194+1</f>
        <v>2019</v>
      </c>
      <c r="J194" s="165">
        <f t="shared" ref="J194:N194" si="22">+I194+1</f>
        <v>2020</v>
      </c>
      <c r="K194" s="165">
        <f t="shared" si="22"/>
        <v>2021</v>
      </c>
      <c r="L194" s="165">
        <f t="shared" si="22"/>
        <v>2022</v>
      </c>
      <c r="M194" s="165">
        <f t="shared" si="22"/>
        <v>2023</v>
      </c>
      <c r="N194" s="165">
        <f t="shared" si="22"/>
        <v>2024</v>
      </c>
      <c r="O194" s="203"/>
      <c r="P194" s="165" t="s">
        <v>20</v>
      </c>
    </row>
    <row r="195" spans="1:16" ht="20.25" customHeight="1" x14ac:dyDescent="0.25">
      <c r="B195" s="1093" t="s">
        <v>125</v>
      </c>
      <c r="C195" s="1094"/>
      <c r="D195" s="1094"/>
      <c r="E195" s="1095"/>
      <c r="F195" s="169"/>
      <c r="G195" s="170"/>
      <c r="H195" s="170"/>
      <c r="I195" s="170"/>
      <c r="J195" s="170"/>
      <c r="K195" s="170"/>
      <c r="L195" s="170"/>
      <c r="M195" s="170"/>
      <c r="N195" s="170"/>
      <c r="P195" s="170"/>
    </row>
    <row r="196" spans="1:16" ht="28.5" customHeight="1" x14ac:dyDescent="0.25">
      <c r="A196" s="203">
        <v>2017</v>
      </c>
      <c r="B196" s="1084" t="str">
        <f>"per 31/12/"&amp;$G$13</f>
        <v>per 31/12/2017</v>
      </c>
      <c r="C196" s="1085"/>
      <c r="D196" s="1085"/>
      <c r="E196" s="1086"/>
      <c r="F196" s="313"/>
      <c r="G196" s="806">
        <f t="shared" ref="G196:G201" si="23">SUMIFS(G$122:G$192,$B$122:$B$192,$B196)</f>
        <v>0</v>
      </c>
      <c r="H196" s="806"/>
      <c r="I196" s="806"/>
      <c r="J196" s="806"/>
      <c r="K196" s="806"/>
      <c r="L196" s="806"/>
      <c r="M196" s="806"/>
      <c r="N196" s="806"/>
      <c r="P196" s="807">
        <f t="shared" ref="P196:P203" si="24">SUMIFS(P$122:P$192,$B$122:$B$192,$B196)</f>
        <v>0</v>
      </c>
    </row>
    <row r="197" spans="1:16" ht="28.5" customHeight="1" x14ac:dyDescent="0.25">
      <c r="A197" s="203">
        <v>2018</v>
      </c>
      <c r="B197" s="1084" t="str">
        <f>"per 31/12/"&amp;$H$13</f>
        <v>per 31/12/2018</v>
      </c>
      <c r="C197" s="1085"/>
      <c r="D197" s="1085"/>
      <c r="E197" s="1086"/>
      <c r="F197" s="313"/>
      <c r="G197" s="806">
        <f t="shared" si="23"/>
        <v>0</v>
      </c>
      <c r="H197" s="806">
        <f>SUMIFS(H$122:H$192,$B$122:$B$192,$B197)</f>
        <v>0</v>
      </c>
      <c r="I197" s="806"/>
      <c r="J197" s="806"/>
      <c r="K197" s="806"/>
      <c r="L197" s="806"/>
      <c r="M197" s="806"/>
      <c r="N197" s="806"/>
      <c r="P197" s="807">
        <f t="shared" si="24"/>
        <v>0</v>
      </c>
    </row>
    <row r="198" spans="1:16" ht="28.5" customHeight="1" x14ac:dyDescent="0.25">
      <c r="A198" s="203">
        <v>2019</v>
      </c>
      <c r="B198" s="1084" t="str">
        <f>"per 31/12/"&amp;$I$13</f>
        <v>per 31/12/2019</v>
      </c>
      <c r="C198" s="1085"/>
      <c r="D198" s="1085"/>
      <c r="E198" s="1086"/>
      <c r="F198" s="313"/>
      <c r="G198" s="806">
        <f t="shared" si="23"/>
        <v>0</v>
      </c>
      <c r="H198" s="806">
        <f>SUMIFS(H$122:H$192,$B$122:$B$192,$B198)</f>
        <v>0</v>
      </c>
      <c r="I198" s="806">
        <f>SUMIFS(I$122:I$192,$B$122:$B$192,$B198)</f>
        <v>0</v>
      </c>
      <c r="J198" s="806"/>
      <c r="K198" s="806"/>
      <c r="L198" s="806"/>
      <c r="M198" s="806"/>
      <c r="N198" s="806"/>
      <c r="P198" s="807">
        <f t="shared" si="24"/>
        <v>0</v>
      </c>
    </row>
    <row r="199" spans="1:16" ht="28.5" customHeight="1" x14ac:dyDescent="0.25">
      <c r="A199" s="203">
        <v>2020</v>
      </c>
      <c r="B199" s="1084" t="str">
        <f>"per 31/12/"&amp;$J$13</f>
        <v>per 31/12/2020</v>
      </c>
      <c r="C199" s="1085"/>
      <c r="D199" s="1085"/>
      <c r="E199" s="1086"/>
      <c r="F199" s="313"/>
      <c r="G199" s="806">
        <f t="shared" si="23"/>
        <v>0</v>
      </c>
      <c r="H199" s="806">
        <f>SUMIFS(H$122:H$192,$B$122:$B$192,$B199)</f>
        <v>0</v>
      </c>
      <c r="I199" s="806">
        <f>SUMIFS(I$122:I$192,$B$122:$B$192,$B199)</f>
        <v>0</v>
      </c>
      <c r="J199" s="806">
        <f>SUMIFS(J$122:J$192,$B$122:$B$192,$B199)</f>
        <v>0</v>
      </c>
      <c r="K199" s="806"/>
      <c r="L199" s="806"/>
      <c r="M199" s="806"/>
      <c r="N199" s="806"/>
      <c r="P199" s="807">
        <f t="shared" si="24"/>
        <v>0</v>
      </c>
    </row>
    <row r="200" spans="1:16" ht="28.5" customHeight="1" x14ac:dyDescent="0.25">
      <c r="A200" s="203">
        <v>2021</v>
      </c>
      <c r="B200" s="1084" t="str">
        <f>"per 31/12/"&amp;$K$13</f>
        <v>per 31/12/2021</v>
      </c>
      <c r="C200" s="1085"/>
      <c r="D200" s="1085"/>
      <c r="E200" s="1086"/>
      <c r="F200" s="313"/>
      <c r="G200" s="806">
        <f t="shared" si="23"/>
        <v>0</v>
      </c>
      <c r="H200" s="806">
        <f>SUMIFS(H$122:H$192,$B$122:$B$192,$B200)</f>
        <v>0</v>
      </c>
      <c r="I200" s="806">
        <f>SUMIFS(I$122:I$192,$B$122:$B$192,$B200)</f>
        <v>0</v>
      </c>
      <c r="J200" s="806">
        <f>SUMIFS(J$122:J$192,$B$122:$B$192,$B200)</f>
        <v>0</v>
      </c>
      <c r="K200" s="806">
        <f>SUMIFS(K$122:K$192,$B$122:$B$192,$B200)</f>
        <v>0</v>
      </c>
      <c r="L200" s="806"/>
      <c r="M200" s="806"/>
      <c r="N200" s="806"/>
      <c r="P200" s="807">
        <f t="shared" si="24"/>
        <v>0</v>
      </c>
    </row>
    <row r="201" spans="1:16" ht="28.5" customHeight="1" x14ac:dyDescent="0.25">
      <c r="A201" s="203">
        <v>2022</v>
      </c>
      <c r="B201" s="1084" t="str">
        <f>"per 31/12/"&amp;$L$13</f>
        <v>per 31/12/2022</v>
      </c>
      <c r="C201" s="1085"/>
      <c r="D201" s="1085"/>
      <c r="E201" s="1086"/>
      <c r="F201" s="313"/>
      <c r="G201" s="806">
        <f t="shared" si="23"/>
        <v>0</v>
      </c>
      <c r="H201" s="806">
        <f>SUMIFS(H$122:H$192,$B$122:$B$192,$B201)</f>
        <v>0</v>
      </c>
      <c r="I201" s="806">
        <f>SUMIFS(I$122:I$192,$B$122:$B$192,$B201)</f>
        <v>0</v>
      </c>
      <c r="J201" s="806">
        <f>SUMIFS(J$122:J$192,$B$122:$B$192,$B201)</f>
        <v>0</v>
      </c>
      <c r="K201" s="806">
        <f>SUMIFS(K$122:K$192,$B$122:$B$192,$B201)</f>
        <v>0</v>
      </c>
      <c r="L201" s="806">
        <f>SUMIFS(L$122:L$192,$B$122:$B$192,$B201)</f>
        <v>0</v>
      </c>
      <c r="M201" s="806"/>
      <c r="N201" s="806"/>
      <c r="P201" s="807">
        <f t="shared" si="24"/>
        <v>0</v>
      </c>
    </row>
    <row r="202" spans="1:16" ht="28.5" customHeight="1" x14ac:dyDescent="0.25">
      <c r="A202" s="203">
        <v>2023</v>
      </c>
      <c r="B202" s="1084" t="str">
        <f>"per 31/12/"&amp;$M$13</f>
        <v>per 31/12/2023</v>
      </c>
      <c r="C202" s="1085"/>
      <c r="D202" s="1085"/>
      <c r="E202" s="1086"/>
      <c r="F202" s="313"/>
      <c r="G202" s="806"/>
      <c r="H202" s="806"/>
      <c r="I202" s="806"/>
      <c r="J202" s="806"/>
      <c r="K202" s="806">
        <f>SUMIFS(K$122:K$192,$B$122:$B$192,$B202)</f>
        <v>0</v>
      </c>
      <c r="L202" s="806">
        <f>SUMIFS(L$122:L$192,$B$122:$B$192,$B202)</f>
        <v>0</v>
      </c>
      <c r="M202" s="806">
        <f>SUMIFS(M$122:M$192,$B$122:$B$192,$B202)</f>
        <v>0</v>
      </c>
      <c r="N202" s="806"/>
      <c r="P202" s="807">
        <f t="shared" si="24"/>
        <v>0</v>
      </c>
    </row>
    <row r="203" spans="1:16" ht="28.5" customHeight="1" x14ac:dyDescent="0.25">
      <c r="A203" s="203">
        <v>2024</v>
      </c>
      <c r="B203" s="1084" t="str">
        <f>"per 31/12/"&amp;$N$13</f>
        <v>per 31/12/2024</v>
      </c>
      <c r="C203" s="1085"/>
      <c r="D203" s="1085"/>
      <c r="E203" s="1086"/>
      <c r="F203" s="313"/>
      <c r="G203" s="806"/>
      <c r="H203" s="806"/>
      <c r="I203" s="806"/>
      <c r="J203" s="806"/>
      <c r="K203" s="806"/>
      <c r="L203" s="806">
        <f>SUMIFS(L$122:L$192,$B$122:$B$192,$B203)</f>
        <v>0</v>
      </c>
      <c r="M203" s="806">
        <f>SUMIFS(M$122:M$192,$B$122:$B$192,$B203)</f>
        <v>0</v>
      </c>
      <c r="N203" s="806">
        <f>SUMIFS(N$122:N$192,$B$122:$B$192,$B203)</f>
        <v>0</v>
      </c>
      <c r="P203" s="807">
        <f t="shared" si="24"/>
        <v>0</v>
      </c>
    </row>
    <row r="204" spans="1:16" s="530" customFormat="1" ht="13" x14ac:dyDescent="0.25">
      <c r="B204" s="1103" t="s">
        <v>108</v>
      </c>
      <c r="C204" s="1103"/>
      <c r="D204" s="1103"/>
      <c r="E204" s="1103"/>
      <c r="F204" s="216"/>
      <c r="G204" s="304">
        <f>IF($E$2="ex-ante",(INDEX(G$196:G$203,MATCH($D$2,$A$196:$A$203,0),1))-T6A!C94,IF($E$2="ex-post",(INDEX(G$196:G$203,MATCH($D$2,$A$196:$A$203,0),1))-T6A!C94+SUMIFS(T6A!C$100:C$107,T6A!$B$100:$B$107,$D$2+1),"FOUT"))</f>
        <v>0</v>
      </c>
      <c r="H204" s="304">
        <f>IF($E$2="ex-ante",(INDEX(H$196:H$203,MATCH($D$2,$A$196:$A$203,0),1))-T6A!D94,IF($E$2="ex-post",(INDEX(H$196:H$203,MATCH($D$2,$A$196:$A$203,0),1))-T6A!D94+SUMIFS(T6A!D$100:D$107,T6A!$B$100:$B$107,$D$2+1),"FOUT"))</f>
        <v>0</v>
      </c>
      <c r="I204" s="304">
        <f>IF($E$2="ex-ante",(INDEX(I$196:I$203,MATCH($D$2,$A$196:$A$203,0),1))-T6A!E94,IF($E$2="ex-post",(INDEX(I$196:I$203,MATCH($D$2,$A$196:$A$203,0),1))-T6A!E94+SUMIFS(T6A!E$100:E$107,T6A!$B$100:$B$107,$D$2+1),"FOUT"))</f>
        <v>0</v>
      </c>
      <c r="J204" s="304">
        <f>IF($E$2="ex-ante",(INDEX(J$196:J$203,MATCH($D$2,$A$196:$A$203,0),1))-T6A!F94,IF($E$2="ex-post",(INDEX(J$196:J$203,MATCH($D$2,$A$196:$A$203,0),1))-T6A!F94+SUMIFS(T6A!F$100:F$107,T6A!$B$100:$B$107,$D$2+1),"FOUT"))</f>
        <v>0</v>
      </c>
      <c r="K204" s="304">
        <f>IF($E$2="ex-ante",(INDEX(K$196:K$203,MATCH($D$2,$A$196:$A$203,0),1))-T6A!G94,IF($E$2="ex-post",(INDEX(K$196:K$203,MATCH($D$2,$A$196:$A$203,0),1))-T6A!G94+SUMIFS(T6A!G$100:G$107,T6A!$B$100:$B$107,$D$2+1),"FOUT"))</f>
        <v>0</v>
      </c>
      <c r="L204" s="304">
        <f>IF($E$2="ex-ante",(INDEX(L$196:L$203,MATCH($D$2,$A$196:$A$203,0),1))-T6A!H94,IF($E$2="ex-post",(INDEX(L$196:L$203,MATCH($D$2,$A$196:$A$203,0),1))-T6A!H94+SUMIFS(T6A!H$100:H$107,T6A!$B$100:$B$107,$D$2+1),"FOUT"))</f>
        <v>0</v>
      </c>
      <c r="M204" s="304">
        <f>IF($E$2="ex-ante",(INDEX(M$196:M$203,MATCH($D$2,$A$196:$A$203,0),1))-T6A!I94,IF($E$2="ex-post",(INDEX(M$196:M$203,MATCH($D$2,$A$196:$A$203,0),1))-T6A!I94+SUMIFS(T6A!I$100:I$107,T6A!$B$100:$B$107,$D$2+1),"FOUT"))</f>
        <v>0</v>
      </c>
      <c r="N204" s="304">
        <f>IF($E$2="ex-ante",(INDEX(N$196:N$203,MATCH($D$2,$A$196:$A$203,0),1))-T6A!J94,IF($E$2="ex-post",(INDEX(N$196:N$203,MATCH($D$2,$A$196:$A$203,0),1))-T6A!J94+SUMIFS(T6A!J$100:J$107,T6A!$B$100:$B$107,$D$2+1),"FOUT"))</f>
        <v>0</v>
      </c>
      <c r="O204" s="205"/>
      <c r="P204" s="304">
        <f>IF($E$2="ex-ante",(INDEX(P$196:P$203,MATCH($D$2,$A$196:$A$203,0),1))-T6A!L94,IF($E$2="ex-post",(INDEX(P$196:P$203,MATCH($D$2,$A$196:$A$203,0),1))-T6A!L94+SUMIFS(T6A!L$100:L$107,T6A!$B$100:$B$107,$D$2+1),"FOUT"))</f>
        <v>0</v>
      </c>
    </row>
    <row r="205" spans="1:16" ht="13" x14ac:dyDescent="0.25">
      <c r="B205" s="305"/>
      <c r="C205" s="305"/>
      <c r="D205" s="305"/>
      <c r="E205" s="305"/>
      <c r="F205" s="306"/>
      <c r="G205" s="307"/>
      <c r="H205" s="307"/>
      <c r="I205" s="307"/>
      <c r="J205" s="307"/>
      <c r="K205" s="307"/>
      <c r="L205" s="307"/>
      <c r="M205" s="307"/>
      <c r="N205" s="307"/>
      <c r="P205" s="307"/>
    </row>
    <row r="206" spans="1:16" ht="13" x14ac:dyDescent="0.25">
      <c r="B206" s="305"/>
      <c r="C206" s="305"/>
      <c r="D206" s="305"/>
      <c r="E206" s="305"/>
      <c r="F206" s="306"/>
      <c r="G206" s="307"/>
      <c r="H206" s="307"/>
      <c r="I206" s="307"/>
      <c r="J206" s="307"/>
      <c r="K206" s="307"/>
      <c r="L206" s="307"/>
      <c r="M206" s="307"/>
      <c r="N206" s="307"/>
      <c r="P206" s="307"/>
    </row>
    <row r="207" spans="1:16" ht="13" x14ac:dyDescent="0.25">
      <c r="B207" s="305"/>
      <c r="C207" s="305"/>
      <c r="D207" s="305"/>
      <c r="E207" s="305"/>
      <c r="F207" s="306"/>
      <c r="G207" s="308" t="s">
        <v>32</v>
      </c>
      <c r="H207" s="307"/>
      <c r="I207" s="307"/>
      <c r="J207" s="307"/>
      <c r="K207" s="307"/>
      <c r="L207" s="307"/>
      <c r="M207" s="307"/>
      <c r="N207" s="307"/>
      <c r="P207" s="307"/>
    </row>
    <row r="208" spans="1:16" ht="13" x14ac:dyDescent="0.25">
      <c r="G208" s="308" t="s">
        <v>33</v>
      </c>
      <c r="H208" s="307"/>
      <c r="I208" s="307"/>
      <c r="J208" s="307"/>
    </row>
    <row r="209" spans="2:16" ht="77.25" customHeight="1" x14ac:dyDescent="0.25">
      <c r="B209" s="1087" t="s">
        <v>65</v>
      </c>
      <c r="C209" s="1088"/>
      <c r="D209" s="1088"/>
      <c r="E209" s="1089"/>
      <c r="F209" s="167"/>
      <c r="G209" s="165" t="str">
        <f>"Afbouw van het regulatoir saldo inzake herindexering budget endogene kosten op te nemen in het toegelaten inkomen voor boekjaar "&amp;D2</f>
        <v>Afbouw van het regulatoir saldo inzake herindexering budget endogene kosten op te nemen in het toegelaten inkomen voor boekjaar 2022</v>
      </c>
      <c r="H209" s="307"/>
      <c r="I209" s="307"/>
      <c r="J209" s="307"/>
    </row>
    <row r="210" spans="2:16" ht="13" x14ac:dyDescent="0.25">
      <c r="B210" s="320"/>
      <c r="C210" s="297"/>
      <c r="D210" s="297"/>
      <c r="E210" s="297"/>
      <c r="F210" s="298"/>
      <c r="G210" s="787"/>
      <c r="H210" s="307"/>
      <c r="I210" s="307"/>
      <c r="J210" s="307"/>
    </row>
    <row r="211" spans="2:16" ht="30" customHeight="1" x14ac:dyDescent="0.25">
      <c r="B211" s="1099" t="s">
        <v>369</v>
      </c>
      <c r="C211" s="1099"/>
      <c r="D211" s="1099"/>
      <c r="E211" s="1099"/>
      <c r="F211" s="167"/>
      <c r="G211" s="247">
        <f>+IF($B$7="elektriciteit",VLOOKUP(D2,B277:C280,2,FALSE)+VLOOKUP(D2,B300:C303,2,FALSE)+VLOOKUP(D2,B364:C367,2,FALSE)+VLOOKUP(D2,B412:C415,2,FALSE)+VLOOKUP(D2,B460:C463,2,FALSE)+VLOOKUP(D2,B579:C582,2,FALSE),IF($B$7="gas",VLOOKUP(D2,B277:C280,2,FALSE)+VLOOKUP(D2,B460:C463,2,FALSE),"FOUT"))</f>
        <v>0</v>
      </c>
      <c r="H211" s="307"/>
      <c r="I211" s="307"/>
      <c r="J211" s="307"/>
    </row>
    <row r="212" spans="2:16" ht="30" customHeight="1" x14ac:dyDescent="0.25">
      <c r="B212" s="1099" t="s">
        <v>353</v>
      </c>
      <c r="C212" s="1099"/>
      <c r="D212" s="1099"/>
      <c r="E212" s="1099"/>
      <c r="F212" s="167"/>
      <c r="G212" s="247">
        <f>+IF($B$7="elektriciteit",0,IF($B$7="gas",VLOOKUP(D2,B364:C367,2,FALSE),"FOUT"))</f>
        <v>0</v>
      </c>
      <c r="H212" s="307"/>
      <c r="I212" s="307"/>
      <c r="J212" s="307"/>
    </row>
    <row r="213" spans="2:16" ht="30" customHeight="1" x14ac:dyDescent="0.25">
      <c r="B213" s="1099" t="s">
        <v>354</v>
      </c>
      <c r="C213" s="1099"/>
      <c r="D213" s="1099"/>
      <c r="E213" s="1099"/>
      <c r="F213" s="167"/>
      <c r="G213" s="247">
        <f>VLOOKUP($D$2,B523:C526,2,FALSE)</f>
        <v>0</v>
      </c>
      <c r="H213" s="307"/>
      <c r="I213" s="307"/>
      <c r="J213" s="307"/>
    </row>
    <row r="214" spans="2:16" ht="30" customHeight="1" x14ac:dyDescent="0.25">
      <c r="B214" s="1099" t="s">
        <v>356</v>
      </c>
      <c r="C214" s="1099"/>
      <c r="D214" s="1099"/>
      <c r="E214" s="1099"/>
      <c r="F214" s="167"/>
      <c r="G214" s="247">
        <f>VLOOKUP($D$2,B642:C645,2,FALSE)</f>
        <v>0</v>
      </c>
      <c r="H214" s="307"/>
      <c r="I214" s="307"/>
      <c r="J214" s="307"/>
    </row>
    <row r="215" spans="2:16" ht="13" x14ac:dyDescent="0.25">
      <c r="H215" s="307"/>
      <c r="I215" s="307"/>
      <c r="J215" s="307"/>
    </row>
    <row r="216" spans="2:16" ht="13" x14ac:dyDescent="0.25">
      <c r="B216" s="1106" t="s">
        <v>22</v>
      </c>
      <c r="C216" s="1107"/>
      <c r="D216" s="1107"/>
      <c r="E216" s="1108"/>
      <c r="F216" s="181"/>
      <c r="G216" s="168">
        <f>SUM(G211:G214)</f>
        <v>0</v>
      </c>
      <c r="H216" s="307"/>
      <c r="I216" s="307"/>
      <c r="J216" s="307"/>
    </row>
    <row r="217" spans="2:16" x14ac:dyDescent="0.25">
      <c r="O217" s="206"/>
    </row>
    <row r="218" spans="2:16" x14ac:dyDescent="0.25">
      <c r="O218" s="206"/>
    </row>
    <row r="219" spans="2:16" ht="13" x14ac:dyDescent="0.25">
      <c r="B219" s="321" t="s">
        <v>201</v>
      </c>
      <c r="C219" s="322"/>
      <c r="D219" s="322"/>
      <c r="E219" s="322"/>
      <c r="F219" s="323"/>
      <c r="G219" s="323"/>
      <c r="H219" s="323"/>
      <c r="I219" s="323"/>
      <c r="J219" s="323"/>
      <c r="K219" s="323"/>
      <c r="L219" s="323"/>
      <c r="M219" s="323"/>
      <c r="N219" s="323"/>
      <c r="O219" s="324"/>
      <c r="P219" s="323"/>
    </row>
    <row r="220" spans="2:16" x14ac:dyDescent="0.25">
      <c r="O220" s="206"/>
    </row>
    <row r="221" spans="2:16" ht="13" x14ac:dyDescent="0.25">
      <c r="B221" s="273" t="s">
        <v>139</v>
      </c>
      <c r="F221" s="810">
        <v>2018</v>
      </c>
      <c r="O221" s="206"/>
    </row>
    <row r="222" spans="2:16" x14ac:dyDescent="0.25">
      <c r="O222" s="166"/>
    </row>
    <row r="223" spans="2:16" ht="102" customHeight="1" x14ac:dyDescent="0.25">
      <c r="B223" s="1078" t="s">
        <v>140</v>
      </c>
      <c r="C223" s="1079"/>
      <c r="D223" s="1079"/>
      <c r="E223" s="1080"/>
      <c r="F223" s="274"/>
      <c r="G223" s="165" t="str">
        <f>"Nog af te bouwen regulatoir saldo einde "&amp;F221-1</f>
        <v>Nog af te bouwen regulatoir saldo einde 2017</v>
      </c>
      <c r="H223" s="165" t="str">
        <f>"Afbouw oudste openstaande regulatoir saldo vanaf boekjaar "&amp;F221-2&amp;" en vroeger, door aanwending van compensatie met regulatoir saldo ontstaan over boekjaar "&amp;F221-1</f>
        <v>Afbouw oudste openstaande regulatoir saldo vanaf boekjaar 2016 en vroeger, door aanwending van compensatie met regulatoir saldo ontstaan over boekjaar 2017</v>
      </c>
      <c r="I223" s="165" t="str">
        <f>"Nog af te bouwen regulatoir saldo na compensatie einde "&amp;F221-1</f>
        <v>Nog af te bouwen regulatoir saldo na compensatie einde 2017</v>
      </c>
      <c r="J223" s="165" t="str">
        <f>"Aanwending van 50% van het geaccumuleerd regulatoir saldo door te rekenen volgens de tariefmethodologie in het boekjaar "&amp;F221</f>
        <v>Aanwending van 50% van het geaccumuleerd regulatoir saldo door te rekenen volgens de tariefmethodologie in het boekjaar 2018</v>
      </c>
      <c r="K223" s="165" t="str">
        <f>"Nog af te bouwen regulatoir saldo einde "&amp;F221</f>
        <v>Nog af te bouwen regulatoir saldo einde 2018</v>
      </c>
      <c r="L223" s="220"/>
      <c r="M223" s="220"/>
      <c r="N223" s="220"/>
      <c r="O223" s="166"/>
    </row>
    <row r="224" spans="2:16" ht="13" x14ac:dyDescent="0.25">
      <c r="B224" s="1075">
        <v>2017</v>
      </c>
      <c r="C224" s="1076"/>
      <c r="D224" s="1076"/>
      <c r="E224" s="1077"/>
      <c r="F224" s="275"/>
      <c r="G224" s="521">
        <f>G122</f>
        <v>0</v>
      </c>
      <c r="H224" s="521">
        <v>0</v>
      </c>
      <c r="I224" s="521">
        <f>+G224+H224</f>
        <v>0</v>
      </c>
      <c r="J224" s="821">
        <f>-I224*0.5</f>
        <v>0</v>
      </c>
      <c r="K224" s="851">
        <f>+J224+G224</f>
        <v>0</v>
      </c>
      <c r="L224" s="812"/>
      <c r="M224" s="812"/>
      <c r="N224" s="812"/>
      <c r="O224" s="166"/>
    </row>
    <row r="225" spans="2:15" x14ac:dyDescent="0.25">
      <c r="O225" s="166"/>
    </row>
    <row r="226" spans="2:15" ht="13" x14ac:dyDescent="0.25">
      <c r="B226" s="273" t="s">
        <v>139</v>
      </c>
      <c r="F226" s="810">
        <v>2019</v>
      </c>
      <c r="O226" s="206"/>
    </row>
    <row r="227" spans="2:15" x14ac:dyDescent="0.25">
      <c r="O227" s="206"/>
    </row>
    <row r="228" spans="2:15" ht="102" customHeight="1" x14ac:dyDescent="0.25">
      <c r="B228" s="1078" t="s">
        <v>140</v>
      </c>
      <c r="C228" s="1079"/>
      <c r="D228" s="1079"/>
      <c r="E228" s="1080"/>
      <c r="F228" s="274"/>
      <c r="G228" s="165" t="str">
        <f>"Nog af te bouwen regulatoir saldo einde "&amp;F226-1</f>
        <v>Nog af te bouwen regulatoir saldo einde 2018</v>
      </c>
      <c r="H228" s="165" t="str">
        <f>"Afbouw oudste openstaande regulatoir saldo vanaf boekjaar "&amp;F226-2&amp;" en vroeger, door aanwending van compensatie met regulatoir saldo ontstaan over boekjaar "&amp;F226-1</f>
        <v>Afbouw oudste openstaande regulatoir saldo vanaf boekjaar 2017 en vroeger, door aanwending van compensatie met regulatoir saldo ontstaan over boekjaar 2018</v>
      </c>
      <c r="I228" s="165" t="str">
        <f>"Nog af te bouwen regulatoir saldo na compensatie einde "&amp;F226-1</f>
        <v>Nog af te bouwen regulatoir saldo na compensatie einde 2018</v>
      </c>
      <c r="J228" s="213" t="str">
        <f>"Aanwending van 50% van het geaccumuleerd regulatoir saldo door te rekenen volgens de tariefmethodologie in het boekjaar "&amp;F226</f>
        <v>Aanwending van 50% van het geaccumuleerd regulatoir saldo door te rekenen volgens de tariefmethodologie in het boekjaar 2019</v>
      </c>
      <c r="K228" s="213" t="str">
        <f>"Aanwending van 50% van het geaccumuleerd regulatoir saldo door te rekenen volgens de tariefmethodologie in het boekjaar "&amp;F226</f>
        <v>Aanwending van 50% van het geaccumuleerd regulatoir saldo door te rekenen volgens de tariefmethodologie in het boekjaar 2019</v>
      </c>
      <c r="L228" s="165" t="str">
        <f>"Totale afbouw over "&amp;F226</f>
        <v>Totale afbouw over 2019</v>
      </c>
      <c r="M228" s="165" t="str">
        <f>"Nog af te bouwen regulatoir saldo einde "&amp;F226</f>
        <v>Nog af te bouwen regulatoir saldo einde 2019</v>
      </c>
      <c r="N228" s="206"/>
      <c r="O228" s="166"/>
    </row>
    <row r="229" spans="2:15" ht="13" x14ac:dyDescent="0.25">
      <c r="B229" s="1075">
        <v>2017</v>
      </c>
      <c r="C229" s="1076"/>
      <c r="D229" s="1076"/>
      <c r="E229" s="1077"/>
      <c r="F229" s="275"/>
      <c r="G229" s="521">
        <f>K224</f>
        <v>0</v>
      </c>
      <c r="H229" s="521">
        <f>IF(SIGN(G230*K224)&lt;0,IF(G229&lt;&gt;0,-SIGN(G229)*MIN(ABS(G230),ABS(G229)),0),0)</f>
        <v>0</v>
      </c>
      <c r="I229" s="521">
        <f>+G229+H229</f>
        <v>0</v>
      </c>
      <c r="J229" s="852"/>
      <c r="K229" s="821">
        <f>-MIN(ABS(I229),ABS(J231))*SIGN(I229)</f>
        <v>0</v>
      </c>
      <c r="L229" s="813">
        <f>+K229+H229</f>
        <v>0</v>
      </c>
      <c r="M229" s="521">
        <f>+I229+K229</f>
        <v>0</v>
      </c>
      <c r="N229" s="206"/>
      <c r="O229" s="166"/>
    </row>
    <row r="230" spans="2:15" ht="13" x14ac:dyDescent="0.25">
      <c r="B230" s="1075">
        <v>2018</v>
      </c>
      <c r="C230" s="1076"/>
      <c r="D230" s="1076"/>
      <c r="E230" s="1077"/>
      <c r="F230" s="275"/>
      <c r="G230" s="521">
        <f>+H123</f>
        <v>0</v>
      </c>
      <c r="H230" s="813">
        <f>IF(SIGN(G230*K224)&lt;0,-H229,0)</f>
        <v>0</v>
      </c>
      <c r="I230" s="521">
        <f>+G230+H230</f>
        <v>0</v>
      </c>
      <c r="J230" s="852"/>
      <c r="K230" s="821">
        <f>-MIN(ABS(I230),ABS(J231-K229))*SIGN(I230)</f>
        <v>0</v>
      </c>
      <c r="L230" s="813">
        <f>+K230+H230</f>
        <v>0</v>
      </c>
      <c r="M230" s="521">
        <f>+I230+K230</f>
        <v>0</v>
      </c>
      <c r="N230" s="206"/>
      <c r="O230" s="166"/>
    </row>
    <row r="231" spans="2:15" s="273" customFormat="1" ht="13" x14ac:dyDescent="0.3">
      <c r="G231" s="168">
        <f>SUM(G229:G230)</f>
        <v>0</v>
      </c>
      <c r="H231" s="168">
        <f>SUM(H229:H230)</f>
        <v>0</v>
      </c>
      <c r="I231" s="168">
        <f>SUM(I229:I230)</f>
        <v>0</v>
      </c>
      <c r="J231" s="286">
        <f>-I231*0.5</f>
        <v>0</v>
      </c>
      <c r="K231" s="286">
        <f>SUM(K229:K230)</f>
        <v>0</v>
      </c>
      <c r="L231" s="528"/>
      <c r="M231" s="168">
        <f>SUM(M229:M230)</f>
        <v>0</v>
      </c>
    </row>
    <row r="232" spans="2:15" x14ac:dyDescent="0.25">
      <c r="O232" s="166"/>
    </row>
    <row r="233" spans="2:15" ht="13" x14ac:dyDescent="0.25">
      <c r="B233" s="273" t="s">
        <v>139</v>
      </c>
      <c r="F233" s="810">
        <v>2020</v>
      </c>
      <c r="O233" s="166"/>
    </row>
    <row r="234" spans="2:15" x14ac:dyDescent="0.25">
      <c r="O234" s="166"/>
    </row>
    <row r="235" spans="2:15" ht="102" customHeight="1" x14ac:dyDescent="0.25">
      <c r="B235" s="1078" t="s">
        <v>140</v>
      </c>
      <c r="C235" s="1079"/>
      <c r="D235" s="1079"/>
      <c r="E235" s="1080"/>
      <c r="F235" s="274"/>
      <c r="G235" s="165" t="str">
        <f>"Nog af te bouwen regulatoir saldo einde "&amp;F233-1</f>
        <v>Nog af te bouwen regulatoir saldo einde 2019</v>
      </c>
      <c r="H235" s="165" t="str">
        <f>"Afbouw oudste openstaande regulatoir saldo vanaf boekjaar "&amp;F233-2&amp;" en vroeger, door aanwending van compensatie met regulatoir saldo ontstaan over boekjaar "&amp;F233-1</f>
        <v>Afbouw oudste openstaande regulatoir saldo vanaf boekjaar 2018 en vroeger, door aanwending van compensatie met regulatoir saldo ontstaan over boekjaar 2019</v>
      </c>
      <c r="I235" s="165" t="str">
        <f>"Nog af te bouwen regulatoir saldo na compensatie einde "&amp;F233-1</f>
        <v>Nog af te bouwen regulatoir saldo na compensatie einde 2019</v>
      </c>
      <c r="J235" s="213" t="str">
        <f>"Aanwending van 50% van het geaccumuleerd regulatoir saldo door te rekenen volgens de tariefmethodologie in het boekjaar "&amp;F233</f>
        <v>Aanwending van 50% van het geaccumuleerd regulatoir saldo door te rekenen volgens de tariefmethodologie in het boekjaar 2020</v>
      </c>
      <c r="K235" s="213" t="str">
        <f>"Aanwending van 50% van het geaccumuleerd regulatoir saldo door te rekenen volgens de tariefmethodologie in het boekjaar "&amp;F233</f>
        <v>Aanwending van 50% van het geaccumuleerd regulatoir saldo door te rekenen volgens de tariefmethodologie in het boekjaar 2020</v>
      </c>
      <c r="L235" s="165" t="str">
        <f>"Totale afbouw over "&amp;F233</f>
        <v>Totale afbouw over 2020</v>
      </c>
      <c r="M235" s="165" t="str">
        <f>"Nog af te bouwen regulatoir saldo einde "&amp;F233</f>
        <v>Nog af te bouwen regulatoir saldo einde 2020</v>
      </c>
      <c r="N235" s="206"/>
      <c r="O235" s="166"/>
    </row>
    <row r="236" spans="2:15" ht="13" x14ac:dyDescent="0.25">
      <c r="B236" s="1075">
        <v>2017</v>
      </c>
      <c r="C236" s="1076"/>
      <c r="D236" s="1076"/>
      <c r="E236" s="1077"/>
      <c r="F236" s="275"/>
      <c r="G236" s="521">
        <f>+M229</f>
        <v>0</v>
      </c>
      <c r="H236" s="813">
        <f>IF(SIGN(G238*M231)&lt;0,IF(G236&lt;&gt;0,-SIGN(G236)*MIN(ABS(G238),ABS(G236)),0),0)</f>
        <v>0</v>
      </c>
      <c r="I236" s="521">
        <f>+G236+H236</f>
        <v>0</v>
      </c>
      <c r="J236" s="852"/>
      <c r="K236" s="821">
        <f>-MIN(ABS(I236),ABS(J239))*SIGN(I236)</f>
        <v>0</v>
      </c>
      <c r="L236" s="813">
        <f>+K236+H236</f>
        <v>0</v>
      </c>
      <c r="M236" s="521">
        <f>+I236+K236</f>
        <v>0</v>
      </c>
      <c r="N236" s="206"/>
      <c r="O236" s="166"/>
    </row>
    <row r="237" spans="2:15" ht="13" x14ac:dyDescent="0.25">
      <c r="B237" s="1075">
        <v>2018</v>
      </c>
      <c r="C237" s="1076"/>
      <c r="D237" s="1076">
        <v>2016</v>
      </c>
      <c r="E237" s="1077"/>
      <c r="F237" s="275"/>
      <c r="G237" s="521">
        <f>+M230</f>
        <v>0</v>
      </c>
      <c r="H237" s="813">
        <f>IF(SIGN(G238*M231)&lt;0,IF(G237&lt;&gt;0,-SIGN(G237)*MIN(ABS(G238-H236),ABS(G237)),0),0)</f>
        <v>0</v>
      </c>
      <c r="I237" s="521">
        <f>+G237+H237</f>
        <v>0</v>
      </c>
      <c r="J237" s="852"/>
      <c r="K237" s="821">
        <f>-MIN(ABS(I237),ABS(J239-K236))*SIGN(I237)</f>
        <v>0</v>
      </c>
      <c r="L237" s="813">
        <f>+K237+H237</f>
        <v>0</v>
      </c>
      <c r="M237" s="521">
        <f>+I237+K237</f>
        <v>0</v>
      </c>
      <c r="N237" s="206"/>
      <c r="O237" s="166"/>
    </row>
    <row r="238" spans="2:15" ht="13" x14ac:dyDescent="0.25">
      <c r="B238" s="1075">
        <v>2019</v>
      </c>
      <c r="C238" s="1076"/>
      <c r="D238" s="1076"/>
      <c r="E238" s="1077"/>
      <c r="F238" s="275"/>
      <c r="G238" s="521">
        <f>I124</f>
        <v>0</v>
      </c>
      <c r="H238" s="813">
        <f>IF(SIGN(G238*M231)&lt;0,-SUM(H236:H237),0)</f>
        <v>0</v>
      </c>
      <c r="I238" s="521">
        <f>+G238+H238</f>
        <v>0</v>
      </c>
      <c r="J238" s="852"/>
      <c r="K238" s="821">
        <f>-MIN(ABS(I238),ABS(J239-K236-K237))*SIGN(I238)</f>
        <v>0</v>
      </c>
      <c r="L238" s="813">
        <f>+K238+H238</f>
        <v>0</v>
      </c>
      <c r="M238" s="521">
        <f>+I238+K238</f>
        <v>0</v>
      </c>
      <c r="N238" s="206"/>
      <c r="O238" s="166"/>
    </row>
    <row r="239" spans="2:15" s="273" customFormat="1" ht="13" x14ac:dyDescent="0.3">
      <c r="G239" s="168">
        <f>SUM(G236:G238)</f>
        <v>0</v>
      </c>
      <c r="H239" s="168">
        <f>SUM(H236:H238)</f>
        <v>0</v>
      </c>
      <c r="I239" s="168">
        <f>SUM(I236:I238)</f>
        <v>0</v>
      </c>
      <c r="J239" s="286">
        <f>-I239*0.5</f>
        <v>0</v>
      </c>
      <c r="K239" s="286">
        <f>SUM(K236:K238)</f>
        <v>0</v>
      </c>
      <c r="L239" s="528"/>
      <c r="M239" s="168">
        <f>SUM(M236:M238)</f>
        <v>0</v>
      </c>
    </row>
    <row r="240" spans="2:15" x14ac:dyDescent="0.25">
      <c r="O240" s="166"/>
    </row>
    <row r="241" spans="2:15" ht="13" x14ac:dyDescent="0.25">
      <c r="B241" s="273" t="s">
        <v>139</v>
      </c>
      <c r="F241" s="810">
        <v>2021</v>
      </c>
      <c r="O241" s="166"/>
    </row>
    <row r="242" spans="2:15" x14ac:dyDescent="0.25">
      <c r="O242" s="166"/>
    </row>
    <row r="243" spans="2:15" ht="78" customHeight="1" x14ac:dyDescent="0.25">
      <c r="B243" s="1078" t="s">
        <v>140</v>
      </c>
      <c r="C243" s="1079"/>
      <c r="D243" s="1079"/>
      <c r="E243" s="1080"/>
      <c r="F243" s="274"/>
      <c r="G243" s="165" t="str">
        <f>"Nog af te bouwen regulatoir saldo einde "&amp;F241-1</f>
        <v>Nog af te bouwen regulatoir saldo einde 2020</v>
      </c>
      <c r="H243" s="165" t="str">
        <f>"50% van het oorspronkelijk regulatoir saldo door te rekenen volgens de tariefmethodologie in het boekjaar "&amp;F241</f>
        <v>50% van het oorspronkelijk regulatoir saldo door te rekenen volgens de tariefmethodologie in het boekjaar 2021</v>
      </c>
      <c r="I243" s="165" t="str">
        <f>"Nog af te bouwen regulatoir saldo einde "&amp;F241</f>
        <v>Nog af te bouwen regulatoir saldo einde 2021</v>
      </c>
      <c r="J243" s="206"/>
      <c r="O243" s="166"/>
    </row>
    <row r="244" spans="2:15" ht="13" x14ac:dyDescent="0.25">
      <c r="B244" s="1075">
        <v>2017</v>
      </c>
      <c r="C244" s="1076"/>
      <c r="D244" s="1076"/>
      <c r="E244" s="1077"/>
      <c r="F244" s="275"/>
      <c r="G244" s="521">
        <f>+M236</f>
        <v>0</v>
      </c>
      <c r="H244" s="521">
        <f>-G244*0.5</f>
        <v>0</v>
      </c>
      <c r="I244" s="521">
        <f>+G244+H244</f>
        <v>0</v>
      </c>
      <c r="J244" s="206"/>
      <c r="O244" s="166"/>
    </row>
    <row r="245" spans="2:15" ht="13" x14ac:dyDescent="0.25">
      <c r="B245" s="1075">
        <v>2018</v>
      </c>
      <c r="C245" s="1076"/>
      <c r="D245" s="1076"/>
      <c r="E245" s="1077"/>
      <c r="F245" s="275"/>
      <c r="G245" s="521">
        <f t="shared" ref="G245:G246" si="25">+M237</f>
        <v>0</v>
      </c>
      <c r="H245" s="521">
        <f t="shared" ref="H245:H247" si="26">-G245*0.5</f>
        <v>0</v>
      </c>
      <c r="I245" s="521">
        <f t="shared" ref="I245:I247" si="27">+G245+H245</f>
        <v>0</v>
      </c>
      <c r="J245" s="206"/>
      <c r="O245" s="166"/>
    </row>
    <row r="246" spans="2:15" ht="13" x14ac:dyDescent="0.25">
      <c r="B246" s="1075">
        <v>2019</v>
      </c>
      <c r="C246" s="1076"/>
      <c r="D246" s="1076">
        <v>2016</v>
      </c>
      <c r="E246" s="1077"/>
      <c r="F246" s="275"/>
      <c r="G246" s="521">
        <f t="shared" si="25"/>
        <v>0</v>
      </c>
      <c r="H246" s="521">
        <f t="shared" si="26"/>
        <v>0</v>
      </c>
      <c r="I246" s="521">
        <f t="shared" si="27"/>
        <v>0</v>
      </c>
      <c r="J246" s="206"/>
      <c r="O246" s="166"/>
    </row>
    <row r="247" spans="2:15" ht="13" x14ac:dyDescent="0.25">
      <c r="B247" s="1075">
        <v>2020</v>
      </c>
      <c r="C247" s="1076"/>
      <c r="D247" s="1076"/>
      <c r="E247" s="1077"/>
      <c r="F247" s="275"/>
      <c r="G247" s="521">
        <f>J125</f>
        <v>0</v>
      </c>
      <c r="H247" s="521">
        <f t="shared" si="26"/>
        <v>0</v>
      </c>
      <c r="I247" s="521">
        <f t="shared" si="27"/>
        <v>0</v>
      </c>
      <c r="J247" s="206"/>
      <c r="O247" s="166"/>
    </row>
    <row r="248" spans="2:15" s="273" customFormat="1" ht="13" x14ac:dyDescent="0.25">
      <c r="G248" s="168">
        <f>SUM(G244:G247)</f>
        <v>0</v>
      </c>
      <c r="H248" s="168">
        <f>SUM(H244:H247)</f>
        <v>0</v>
      </c>
      <c r="I248" s="168">
        <f>SUM(I244:I247)</f>
        <v>0</v>
      </c>
    </row>
    <row r="249" spans="2:15" x14ac:dyDescent="0.25">
      <c r="G249" s="214"/>
      <c r="H249" s="214"/>
      <c r="I249" s="214"/>
      <c r="O249" s="166"/>
    </row>
    <row r="250" spans="2:15" ht="13" x14ac:dyDescent="0.25">
      <c r="B250" s="273" t="s">
        <v>139</v>
      </c>
      <c r="F250" s="810">
        <v>2022</v>
      </c>
      <c r="O250" s="166"/>
    </row>
    <row r="251" spans="2:15" x14ac:dyDescent="0.25">
      <c r="O251" s="166"/>
    </row>
    <row r="252" spans="2:15" ht="78" customHeight="1" x14ac:dyDescent="0.25">
      <c r="B252" s="1078" t="s">
        <v>140</v>
      </c>
      <c r="C252" s="1079"/>
      <c r="D252" s="1079"/>
      <c r="E252" s="1080"/>
      <c r="F252" s="274"/>
      <c r="G252" s="165" t="str">
        <f>"Nog af te bouwen regulatoir saldo einde "&amp;F250-1</f>
        <v>Nog af te bouwen regulatoir saldo einde 2021</v>
      </c>
      <c r="H252" s="165" t="str">
        <f>"50% van het oorspronkelijk regulatoir saldo door te rekenen volgens de tariefmethodologie in het boekjaar "&amp;F250</f>
        <v>50% van het oorspronkelijk regulatoir saldo door te rekenen volgens de tariefmethodologie in het boekjaar 2022</v>
      </c>
      <c r="I252" s="165" t="str">
        <f>"Nog af te bouwen regulatoir saldo einde "&amp;F250</f>
        <v>Nog af te bouwen regulatoir saldo einde 2022</v>
      </c>
      <c r="J252" s="206"/>
      <c r="O252" s="166"/>
    </row>
    <row r="253" spans="2:15" ht="13" x14ac:dyDescent="0.25">
      <c r="B253" s="1075">
        <v>2017</v>
      </c>
      <c r="C253" s="1076"/>
      <c r="D253" s="1076">
        <v>2016</v>
      </c>
      <c r="E253" s="1077"/>
      <c r="F253" s="275"/>
      <c r="G253" s="521">
        <f>+I244</f>
        <v>0</v>
      </c>
      <c r="H253" s="521">
        <f>-G244*0.5</f>
        <v>0</v>
      </c>
      <c r="I253" s="521">
        <f t="shared" ref="I253:I257" si="28">+G253+H253</f>
        <v>0</v>
      </c>
      <c r="J253" s="206"/>
      <c r="O253" s="166"/>
    </row>
    <row r="254" spans="2:15" ht="13" x14ac:dyDescent="0.25">
      <c r="B254" s="1075">
        <v>2018</v>
      </c>
      <c r="C254" s="1076"/>
      <c r="D254" s="1076"/>
      <c r="E254" s="1077"/>
      <c r="F254" s="275"/>
      <c r="G254" s="521">
        <f t="shared" ref="G254:G256" si="29">+I245</f>
        <v>0</v>
      </c>
      <c r="H254" s="521">
        <f t="shared" ref="H254:H256" si="30">-G245*0.5</f>
        <v>0</v>
      </c>
      <c r="I254" s="521">
        <f t="shared" si="28"/>
        <v>0</v>
      </c>
      <c r="J254" s="206"/>
      <c r="O254" s="166"/>
    </row>
    <row r="255" spans="2:15" ht="13" x14ac:dyDescent="0.25">
      <c r="B255" s="1075">
        <v>2019</v>
      </c>
      <c r="C255" s="1076"/>
      <c r="D255" s="1076"/>
      <c r="E255" s="1077"/>
      <c r="F255" s="275"/>
      <c r="G255" s="521">
        <f t="shared" si="29"/>
        <v>0</v>
      </c>
      <c r="H255" s="521">
        <f t="shared" si="30"/>
        <v>0</v>
      </c>
      <c r="I255" s="521">
        <f t="shared" ref="I255" si="31">+G255+H255</f>
        <v>0</v>
      </c>
      <c r="J255" s="206"/>
      <c r="O255" s="166"/>
    </row>
    <row r="256" spans="2:15" ht="13" x14ac:dyDescent="0.25">
      <c r="B256" s="1075">
        <v>2020</v>
      </c>
      <c r="C256" s="1076"/>
      <c r="D256" s="1076"/>
      <c r="E256" s="1077"/>
      <c r="F256" s="275"/>
      <c r="G256" s="521">
        <f t="shared" si="29"/>
        <v>0</v>
      </c>
      <c r="H256" s="521">
        <f t="shared" si="30"/>
        <v>0</v>
      </c>
      <c r="I256" s="521">
        <f t="shared" si="28"/>
        <v>0</v>
      </c>
      <c r="J256" s="206"/>
      <c r="O256" s="166"/>
    </row>
    <row r="257" spans="2:15" ht="13" x14ac:dyDescent="0.25">
      <c r="B257" s="1075">
        <v>2021</v>
      </c>
      <c r="C257" s="1076"/>
      <c r="D257" s="1076"/>
      <c r="E257" s="1077"/>
      <c r="F257" s="275"/>
      <c r="G257" s="521">
        <f>K126</f>
        <v>0</v>
      </c>
      <c r="H257" s="521">
        <f t="shared" ref="H257" si="32">-G257*0.5</f>
        <v>0</v>
      </c>
      <c r="I257" s="521">
        <f t="shared" si="28"/>
        <v>0</v>
      </c>
      <c r="J257" s="206"/>
      <c r="O257" s="166"/>
    </row>
    <row r="258" spans="2:15" s="273" customFormat="1" ht="13" x14ac:dyDescent="0.25">
      <c r="G258" s="168">
        <f>SUM(G253:G257)</f>
        <v>0</v>
      </c>
      <c r="H258" s="168">
        <f>SUM(H253:H257)</f>
        <v>0</v>
      </c>
      <c r="I258" s="168">
        <f>SUM(I253:I257)</f>
        <v>0</v>
      </c>
    </row>
    <row r="259" spans="2:15" x14ac:dyDescent="0.25">
      <c r="O259" s="166"/>
    </row>
    <row r="260" spans="2:15" ht="13" x14ac:dyDescent="0.25">
      <c r="B260" s="273" t="s">
        <v>139</v>
      </c>
      <c r="F260" s="810">
        <v>2023</v>
      </c>
      <c r="O260" s="166"/>
    </row>
    <row r="261" spans="2:15" x14ac:dyDescent="0.25">
      <c r="O261" s="166"/>
    </row>
    <row r="262" spans="2:15" ht="78" customHeight="1" x14ac:dyDescent="0.25">
      <c r="B262" s="1078" t="s">
        <v>140</v>
      </c>
      <c r="C262" s="1079"/>
      <c r="D262" s="1079"/>
      <c r="E262" s="1080"/>
      <c r="F262" s="274"/>
      <c r="G262" s="165" t="str">
        <f>"Nog af te bouwen regulatoir saldo einde "&amp;F260-1</f>
        <v>Nog af te bouwen regulatoir saldo einde 2022</v>
      </c>
      <c r="H262" s="165" t="str">
        <f>"50% van het oorspronkelijk regulatoir saldo door te rekenen volgens de tariefmethodologie in het boekjaar "&amp;F260</f>
        <v>50% van het oorspronkelijk regulatoir saldo door te rekenen volgens de tariefmethodologie in het boekjaar 2023</v>
      </c>
      <c r="I262" s="165" t="str">
        <f>"Nog af te bouwen regulatoir saldo einde "&amp;F260</f>
        <v>Nog af te bouwen regulatoir saldo einde 2023</v>
      </c>
      <c r="J262" s="206"/>
      <c r="O262" s="166"/>
    </row>
    <row r="263" spans="2:15" ht="13" x14ac:dyDescent="0.25">
      <c r="B263" s="1075">
        <v>2021</v>
      </c>
      <c r="C263" s="1076"/>
      <c r="D263" s="1076"/>
      <c r="E263" s="1077"/>
      <c r="F263" s="275"/>
      <c r="G263" s="521">
        <f>+I257</f>
        <v>0</v>
      </c>
      <c r="H263" s="521">
        <f>-G257*0.5</f>
        <v>0</v>
      </c>
      <c r="I263" s="521">
        <f t="shared" ref="I263:I264" si="33">+G263+H263</f>
        <v>0</v>
      </c>
      <c r="J263" s="206"/>
      <c r="O263" s="166"/>
    </row>
    <row r="264" spans="2:15" ht="13" x14ac:dyDescent="0.25">
      <c r="B264" s="1075">
        <v>2022</v>
      </c>
      <c r="C264" s="1076"/>
      <c r="D264" s="1076"/>
      <c r="E264" s="1077"/>
      <c r="F264" s="275"/>
      <c r="G264" s="521">
        <f>L127</f>
        <v>0</v>
      </c>
      <c r="H264" s="521">
        <f t="shared" ref="H264" si="34">-G264*0.5</f>
        <v>0</v>
      </c>
      <c r="I264" s="521">
        <f t="shared" si="33"/>
        <v>0</v>
      </c>
      <c r="J264" s="206"/>
      <c r="O264" s="166"/>
    </row>
    <row r="265" spans="2:15" s="273" customFormat="1" ht="13" x14ac:dyDescent="0.25">
      <c r="G265" s="168">
        <f>SUM(G263:G264)</f>
        <v>0</v>
      </c>
      <c r="H265" s="168">
        <f>SUM(H263:H264)</f>
        <v>0</v>
      </c>
      <c r="I265" s="168">
        <f>SUM(I263:I264)</f>
        <v>0</v>
      </c>
    </row>
    <row r="266" spans="2:15" x14ac:dyDescent="0.25">
      <c r="O266" s="166"/>
    </row>
    <row r="267" spans="2:15" ht="13" x14ac:dyDescent="0.25">
      <c r="B267" s="273" t="s">
        <v>139</v>
      </c>
      <c r="F267" s="810">
        <v>2024</v>
      </c>
      <c r="O267" s="166"/>
    </row>
    <row r="268" spans="2:15" x14ac:dyDescent="0.25">
      <c r="O268" s="166"/>
    </row>
    <row r="269" spans="2:15" ht="78" customHeight="1" x14ac:dyDescent="0.25">
      <c r="B269" s="1078" t="s">
        <v>140</v>
      </c>
      <c r="C269" s="1079"/>
      <c r="D269" s="1079"/>
      <c r="E269" s="1080"/>
      <c r="F269" s="274"/>
      <c r="G269" s="165" t="str">
        <f>"Nog af te bouwen regulatoir saldo einde "&amp;F267-1</f>
        <v>Nog af te bouwen regulatoir saldo einde 2023</v>
      </c>
      <c r="H269" s="165" t="str">
        <f>"50% van het oorspronkelijk regulatoir saldo door te rekenen volgens de tariefmethodologie in het boekjaar "&amp;F267</f>
        <v>50% van het oorspronkelijk regulatoir saldo door te rekenen volgens de tariefmethodologie in het boekjaar 2024</v>
      </c>
      <c r="I269" s="165" t="str">
        <f>"Nog af te bouwen regulatoir saldo einde "&amp;F267</f>
        <v>Nog af te bouwen regulatoir saldo einde 2024</v>
      </c>
      <c r="J269" s="206"/>
      <c r="O269" s="166"/>
    </row>
    <row r="270" spans="2:15" ht="13" x14ac:dyDescent="0.25">
      <c r="B270" s="1075">
        <v>2022</v>
      </c>
      <c r="C270" s="1076"/>
      <c r="D270" s="1076"/>
      <c r="E270" s="1077"/>
      <c r="F270" s="275"/>
      <c r="G270" s="521">
        <f>+I264</f>
        <v>0</v>
      </c>
      <c r="H270" s="521">
        <f>-G264*0.5</f>
        <v>0</v>
      </c>
      <c r="I270" s="521">
        <f t="shared" ref="I270:I271" si="35">+G270+H270</f>
        <v>0</v>
      </c>
      <c r="J270" s="206"/>
      <c r="O270" s="166"/>
    </row>
    <row r="271" spans="2:15" ht="13" x14ac:dyDescent="0.25">
      <c r="B271" s="1075">
        <v>2023</v>
      </c>
      <c r="C271" s="1076"/>
      <c r="D271" s="1076"/>
      <c r="E271" s="1077"/>
      <c r="F271" s="275"/>
      <c r="G271" s="521">
        <f>+M128</f>
        <v>0</v>
      </c>
      <c r="H271" s="521">
        <f t="shared" ref="H271" si="36">-G271*0.5</f>
        <v>0</v>
      </c>
      <c r="I271" s="521">
        <f t="shared" si="35"/>
        <v>0</v>
      </c>
      <c r="J271" s="206"/>
      <c r="O271" s="166"/>
    </row>
    <row r="272" spans="2:15" s="273" customFormat="1" ht="13" x14ac:dyDescent="0.25">
      <c r="G272" s="168">
        <f>SUM(G270:G271)</f>
        <v>0</v>
      </c>
      <c r="H272" s="168">
        <f>SUM(H270:H271)</f>
        <v>0</v>
      </c>
      <c r="I272" s="168">
        <f>SUM(I270:I271)</f>
        <v>0</v>
      </c>
    </row>
    <row r="273" spans="2:16" s="727" customFormat="1" ht="13" x14ac:dyDescent="0.25">
      <c r="B273" s="273"/>
      <c r="C273" s="216"/>
      <c r="D273" s="216"/>
      <c r="E273" s="216"/>
      <c r="F273" s="166"/>
      <c r="G273" s="166"/>
      <c r="H273" s="166"/>
      <c r="I273" s="166"/>
    </row>
    <row r="274" spans="2:16" ht="13" x14ac:dyDescent="0.25">
      <c r="B274" s="273" t="s">
        <v>201</v>
      </c>
      <c r="O274" s="166"/>
    </row>
    <row r="275" spans="2:16" ht="13" x14ac:dyDescent="0.25">
      <c r="B275" s="273" t="s">
        <v>141</v>
      </c>
      <c r="C275" s="216"/>
      <c r="D275" s="216"/>
      <c r="E275" s="216"/>
      <c r="O275" s="166"/>
    </row>
    <row r="276" spans="2:16" ht="13" x14ac:dyDescent="0.25">
      <c r="B276" s="273"/>
      <c r="C276" s="216"/>
      <c r="D276" s="216"/>
      <c r="E276" s="216"/>
      <c r="O276" s="166"/>
    </row>
    <row r="277" spans="2:16" ht="13" x14ac:dyDescent="0.25">
      <c r="B277" s="275">
        <f>F241</f>
        <v>2021</v>
      </c>
      <c r="C277" s="279">
        <f>+H248</f>
        <v>0</v>
      </c>
      <c r="D277" s="216"/>
      <c r="E277" s="216"/>
      <c r="O277" s="166"/>
    </row>
    <row r="278" spans="2:16" ht="13" x14ac:dyDescent="0.25">
      <c r="B278" s="275">
        <v>2022</v>
      </c>
      <c r="C278" s="279">
        <f>+H258</f>
        <v>0</v>
      </c>
      <c r="D278" s="216"/>
      <c r="E278" s="216"/>
      <c r="O278" s="166"/>
    </row>
    <row r="279" spans="2:16" ht="13" x14ac:dyDescent="0.25">
      <c r="B279" s="275">
        <v>2023</v>
      </c>
      <c r="C279" s="279">
        <f>+H265</f>
        <v>0</v>
      </c>
      <c r="D279" s="216"/>
      <c r="E279" s="216"/>
      <c r="O279" s="166"/>
    </row>
    <row r="280" spans="2:16" ht="13" x14ac:dyDescent="0.25">
      <c r="B280" s="275">
        <v>2024</v>
      </c>
      <c r="C280" s="279">
        <f>+H272</f>
        <v>0</v>
      </c>
      <c r="D280" s="216"/>
      <c r="E280" s="216"/>
      <c r="O280" s="166"/>
    </row>
    <row r="281" spans="2:16" x14ac:dyDescent="0.25">
      <c r="O281" s="206"/>
    </row>
    <row r="282" spans="2:16" x14ac:dyDescent="0.25">
      <c r="O282" s="206"/>
    </row>
    <row r="283" spans="2:16" ht="13" x14ac:dyDescent="0.25">
      <c r="B283" s="321" t="s">
        <v>347</v>
      </c>
      <c r="C283" s="322"/>
      <c r="D283" s="322"/>
      <c r="E283" s="322"/>
      <c r="F283" s="323"/>
      <c r="G283" s="323"/>
      <c r="H283" s="323"/>
      <c r="I283" s="323"/>
      <c r="J283" s="323"/>
      <c r="K283" s="323"/>
      <c r="L283" s="323"/>
      <c r="M283" s="323"/>
      <c r="N283" s="323"/>
      <c r="O283" s="324"/>
      <c r="P283" s="323"/>
    </row>
    <row r="284" spans="2:16" x14ac:dyDescent="0.25">
      <c r="O284" s="206"/>
    </row>
    <row r="285" spans="2:16" ht="13" x14ac:dyDescent="0.25">
      <c r="B285" s="273" t="s">
        <v>139</v>
      </c>
      <c r="F285" s="810">
        <v>2023</v>
      </c>
      <c r="O285" s="166"/>
    </row>
    <row r="286" spans="2:16" x14ac:dyDescent="0.25">
      <c r="O286" s="166"/>
    </row>
    <row r="287" spans="2:16" ht="78" customHeight="1" x14ac:dyDescent="0.25">
      <c r="B287" s="1078" t="s">
        <v>140</v>
      </c>
      <c r="C287" s="1079"/>
      <c r="D287" s="1079"/>
      <c r="E287" s="1080"/>
      <c r="F287" s="274"/>
      <c r="G287" s="165" t="str">
        <f>"Nog af te bouwen regulatoir saldo einde "&amp;F285-1</f>
        <v>Nog af te bouwen regulatoir saldo einde 2022</v>
      </c>
      <c r="H287" s="165" t="str">
        <f>"50% van het oorspronkelijk regulatoir saldo door te rekenen volgens de tariefmethodologie in het boekjaar "&amp;F285</f>
        <v>50% van het oorspronkelijk regulatoir saldo door te rekenen volgens de tariefmethodologie in het boekjaar 2023</v>
      </c>
      <c r="I287" s="165" t="str">
        <f>"Nog af te bouwen regulatoir saldo einde "&amp;F285</f>
        <v>Nog af te bouwen regulatoir saldo einde 2023</v>
      </c>
      <c r="J287" s="206"/>
      <c r="O287" s="166"/>
    </row>
    <row r="288" spans="2:16" ht="13" x14ac:dyDescent="0.25">
      <c r="B288" s="1075">
        <v>2022</v>
      </c>
      <c r="C288" s="1076"/>
      <c r="D288" s="1076"/>
      <c r="E288" s="1077"/>
      <c r="F288" s="275"/>
      <c r="G288" s="521">
        <f>+L136</f>
        <v>0</v>
      </c>
      <c r="H288" s="521">
        <f t="shared" ref="H288" si="37">-G288*0.5</f>
        <v>0</v>
      </c>
      <c r="I288" s="521">
        <f t="shared" ref="I288" si="38">+G288+H288</f>
        <v>0</v>
      </c>
      <c r="J288" s="206"/>
      <c r="O288" s="166"/>
    </row>
    <row r="289" spans="2:15" s="273" customFormat="1" ht="13" x14ac:dyDescent="0.25">
      <c r="G289" s="168">
        <f>SUM(G288:G288)</f>
        <v>0</v>
      </c>
      <c r="H289" s="168">
        <f>SUM(H288:H288)</f>
        <v>0</v>
      </c>
      <c r="I289" s="168">
        <f>SUM(I288:I288)</f>
        <v>0</v>
      </c>
    </row>
    <row r="290" spans="2:15" x14ac:dyDescent="0.25">
      <c r="O290" s="166"/>
    </row>
    <row r="291" spans="2:15" ht="13" x14ac:dyDescent="0.25">
      <c r="B291" s="273" t="s">
        <v>139</v>
      </c>
      <c r="F291" s="810">
        <v>2024</v>
      </c>
      <c r="O291" s="166"/>
    </row>
    <row r="292" spans="2:15" x14ac:dyDescent="0.25">
      <c r="O292" s="166"/>
    </row>
    <row r="293" spans="2:15" ht="78" customHeight="1" x14ac:dyDescent="0.25">
      <c r="B293" s="1078" t="s">
        <v>140</v>
      </c>
      <c r="C293" s="1079"/>
      <c r="D293" s="1079"/>
      <c r="E293" s="1080"/>
      <c r="F293" s="274"/>
      <c r="G293" s="165" t="str">
        <f>"Nog af te bouwen regulatoir saldo einde "&amp;F291-1</f>
        <v>Nog af te bouwen regulatoir saldo einde 2023</v>
      </c>
      <c r="H293" s="165" t="str">
        <f>"50% van het oorspronkelijk regulatoir saldo door te rekenen volgens de tariefmethodologie in het boekjaar "&amp;F291</f>
        <v>50% van het oorspronkelijk regulatoir saldo door te rekenen volgens de tariefmethodologie in het boekjaar 2024</v>
      </c>
      <c r="I293" s="165" t="str">
        <f>"Nog af te bouwen regulatoir saldo einde "&amp;F291</f>
        <v>Nog af te bouwen regulatoir saldo einde 2024</v>
      </c>
      <c r="J293" s="206"/>
      <c r="O293" s="166"/>
    </row>
    <row r="294" spans="2:15" ht="13" x14ac:dyDescent="0.25">
      <c r="B294" s="1075">
        <v>2022</v>
      </c>
      <c r="C294" s="1076"/>
      <c r="D294" s="1076"/>
      <c r="E294" s="1077"/>
      <c r="F294" s="275"/>
      <c r="G294" s="521">
        <f>+I288</f>
        <v>0</v>
      </c>
      <c r="H294" s="521">
        <f>-G288*0.5</f>
        <v>0</v>
      </c>
      <c r="I294" s="521">
        <f t="shared" ref="I294:I295" si="39">+G294+H294</f>
        <v>0</v>
      </c>
      <c r="J294" s="206"/>
      <c r="O294" s="166"/>
    </row>
    <row r="295" spans="2:15" ht="13" x14ac:dyDescent="0.25">
      <c r="B295" s="1075">
        <v>2023</v>
      </c>
      <c r="C295" s="1076"/>
      <c r="D295" s="1076"/>
      <c r="E295" s="1077"/>
      <c r="F295" s="275"/>
      <c r="G295" s="521">
        <f>+M137</f>
        <v>0</v>
      </c>
      <c r="H295" s="521">
        <f t="shared" ref="H295" si="40">-G295*0.5</f>
        <v>0</v>
      </c>
      <c r="I295" s="521">
        <f t="shared" si="39"/>
        <v>0</v>
      </c>
      <c r="J295" s="206"/>
      <c r="O295" s="166"/>
    </row>
    <row r="296" spans="2:15" s="273" customFormat="1" ht="13" x14ac:dyDescent="0.25">
      <c r="G296" s="168">
        <f>SUM(G294:G295)</f>
        <v>0</v>
      </c>
      <c r="H296" s="168">
        <f>SUM(H294:H295)</f>
        <v>0</v>
      </c>
      <c r="I296" s="168">
        <f>SUM(I294:I295)</f>
        <v>0</v>
      </c>
    </row>
    <row r="297" spans="2:15" ht="13" x14ac:dyDescent="0.25">
      <c r="B297" s="273" t="s">
        <v>347</v>
      </c>
      <c r="C297" s="216"/>
      <c r="D297" s="216"/>
      <c r="E297" s="216"/>
      <c r="O297" s="166"/>
    </row>
    <row r="298" spans="2:15" ht="13" x14ac:dyDescent="0.25">
      <c r="B298" s="273" t="s">
        <v>141</v>
      </c>
      <c r="C298" s="216"/>
      <c r="D298" s="216"/>
      <c r="E298" s="216"/>
      <c r="O298" s="166"/>
    </row>
    <row r="299" spans="2:15" ht="13" x14ac:dyDescent="0.25">
      <c r="B299" s="273"/>
      <c r="C299" s="216"/>
      <c r="D299" s="216"/>
      <c r="E299" s="216"/>
      <c r="O299" s="166"/>
    </row>
    <row r="300" spans="2:15" ht="13" x14ac:dyDescent="0.25">
      <c r="B300" s="336">
        <v>2021</v>
      </c>
      <c r="C300" s="337">
        <v>0</v>
      </c>
      <c r="D300" s="216"/>
      <c r="E300" s="216"/>
      <c r="O300" s="166"/>
    </row>
    <row r="301" spans="2:15" ht="13" x14ac:dyDescent="0.25">
      <c r="B301" s="336">
        <v>2022</v>
      </c>
      <c r="C301" s="337">
        <v>0</v>
      </c>
      <c r="D301" s="216"/>
      <c r="E301" s="216"/>
      <c r="O301" s="166"/>
    </row>
    <row r="302" spans="2:15" ht="13" x14ac:dyDescent="0.25">
      <c r="B302" s="275">
        <v>2023</v>
      </c>
      <c r="C302" s="279">
        <f>+H289</f>
        <v>0</v>
      </c>
      <c r="D302" s="216"/>
      <c r="E302" s="216"/>
      <c r="O302" s="166"/>
    </row>
    <row r="303" spans="2:15" ht="13" x14ac:dyDescent="0.25">
      <c r="B303" s="275">
        <v>2024</v>
      </c>
      <c r="C303" s="279">
        <f>+H296</f>
        <v>0</v>
      </c>
      <c r="D303" s="216"/>
      <c r="E303" s="216"/>
      <c r="O303" s="166"/>
    </row>
    <row r="304" spans="2:15" x14ac:dyDescent="0.25">
      <c r="O304" s="166"/>
    </row>
    <row r="305" spans="2:16" x14ac:dyDescent="0.25">
      <c r="O305" s="166"/>
    </row>
    <row r="306" spans="2:16" ht="13" x14ac:dyDescent="0.25">
      <c r="B306" s="321" t="s">
        <v>66</v>
      </c>
      <c r="C306" s="322"/>
      <c r="D306" s="322"/>
      <c r="E306" s="322"/>
      <c r="F306" s="323"/>
      <c r="G306" s="323"/>
      <c r="H306" s="323"/>
      <c r="I306" s="323"/>
      <c r="J306" s="323"/>
      <c r="K306" s="323"/>
      <c r="L306" s="323"/>
      <c r="M306" s="323"/>
      <c r="N306" s="323"/>
      <c r="O306" s="324"/>
      <c r="P306" s="323"/>
    </row>
    <row r="307" spans="2:16" x14ac:dyDescent="0.25">
      <c r="O307" s="206"/>
    </row>
    <row r="308" spans="2:16" ht="13" x14ac:dyDescent="0.25">
      <c r="B308" s="273" t="s">
        <v>139</v>
      </c>
      <c r="F308" s="810">
        <v>2018</v>
      </c>
      <c r="O308" s="206"/>
    </row>
    <row r="309" spans="2:16" x14ac:dyDescent="0.25">
      <c r="O309" s="166"/>
    </row>
    <row r="310" spans="2:16" ht="102" customHeight="1" x14ac:dyDescent="0.25">
      <c r="B310" s="1078" t="s">
        <v>140</v>
      </c>
      <c r="C310" s="1079"/>
      <c r="D310" s="1079"/>
      <c r="E310" s="1080"/>
      <c r="F310" s="274"/>
      <c r="G310" s="165" t="str">
        <f>"Nog af te bouwen regulatoir saldo einde "&amp;F308-1</f>
        <v>Nog af te bouwen regulatoir saldo einde 2017</v>
      </c>
      <c r="H310" s="165" t="str">
        <f>"Afbouw oudste openstaande regulatoir saldo vanaf boekjaar "&amp;F308-2&amp;" en vroeger, door aanwending van compensatie met regulatoir saldo ontstaan over boekjaar "&amp;F308-1</f>
        <v>Afbouw oudste openstaande regulatoir saldo vanaf boekjaar 2016 en vroeger, door aanwending van compensatie met regulatoir saldo ontstaan over boekjaar 2017</v>
      </c>
      <c r="I310" s="165" t="str">
        <f>"Nog af te bouwen regulatoir saldo na compensatie einde "&amp;F308-1</f>
        <v>Nog af te bouwen regulatoir saldo na compensatie einde 2017</v>
      </c>
      <c r="J310" s="165" t="str">
        <f>"Aanwending van 50% van het geaccumuleerd regulatoir saldo door te rekenen volgens de tariefmethodologie in het boekjaar "&amp;F308</f>
        <v>Aanwending van 50% van het geaccumuleerd regulatoir saldo door te rekenen volgens de tariefmethodologie in het boekjaar 2018</v>
      </c>
      <c r="K310" s="165" t="str">
        <f>"Nog af te bouwen regulatoir saldo einde "&amp;F308</f>
        <v>Nog af te bouwen regulatoir saldo einde 2018</v>
      </c>
      <c r="L310" s="220"/>
      <c r="M310" s="220"/>
      <c r="N310" s="220"/>
      <c r="O310" s="166"/>
    </row>
    <row r="311" spans="2:16" ht="13" x14ac:dyDescent="0.25">
      <c r="B311" s="1075">
        <v>2017</v>
      </c>
      <c r="C311" s="1076"/>
      <c r="D311" s="1076"/>
      <c r="E311" s="1077"/>
      <c r="F311" s="275"/>
      <c r="G311" s="521">
        <f>G140</f>
        <v>0</v>
      </c>
      <c r="H311" s="521">
        <v>0</v>
      </c>
      <c r="I311" s="521">
        <f>+G311+H311</f>
        <v>0</v>
      </c>
      <c r="J311" s="821">
        <f>-I311*0.5</f>
        <v>0</v>
      </c>
      <c r="K311" s="851">
        <f>+J311+G311</f>
        <v>0</v>
      </c>
      <c r="L311" s="812"/>
      <c r="M311" s="812"/>
      <c r="N311" s="812"/>
      <c r="O311" s="166"/>
    </row>
    <row r="312" spans="2:16" x14ac:dyDescent="0.25">
      <c r="O312" s="166"/>
    </row>
    <row r="313" spans="2:16" ht="13" x14ac:dyDescent="0.25">
      <c r="B313" s="273" t="s">
        <v>139</v>
      </c>
      <c r="F313" s="810">
        <v>2019</v>
      </c>
      <c r="O313" s="206"/>
    </row>
    <row r="314" spans="2:16" x14ac:dyDescent="0.25">
      <c r="O314" s="206"/>
    </row>
    <row r="315" spans="2:16" ht="102" customHeight="1" x14ac:dyDescent="0.25">
      <c r="B315" s="1078" t="s">
        <v>140</v>
      </c>
      <c r="C315" s="1079"/>
      <c r="D315" s="1079"/>
      <c r="E315" s="1080"/>
      <c r="F315" s="274"/>
      <c r="G315" s="165" t="str">
        <f>"Nog af te bouwen regulatoir saldo einde "&amp;F313-1</f>
        <v>Nog af te bouwen regulatoir saldo einde 2018</v>
      </c>
      <c r="H315" s="165" t="str">
        <f>"Afbouw oudste openstaande regulatoir saldo vanaf boekjaar "&amp;F313-2&amp;" en vroeger, door aanwending van compensatie met regulatoir saldo ontstaan over boekjaar "&amp;F313-1</f>
        <v>Afbouw oudste openstaande regulatoir saldo vanaf boekjaar 2017 en vroeger, door aanwending van compensatie met regulatoir saldo ontstaan over boekjaar 2018</v>
      </c>
      <c r="I315" s="165" t="str">
        <f>"Nog af te bouwen regulatoir saldo na compensatie einde "&amp;F313-1</f>
        <v>Nog af te bouwen regulatoir saldo na compensatie einde 2018</v>
      </c>
      <c r="J315" s="213" t="str">
        <f>"Aanwending van 50% van het geaccumuleerd regulatoir saldo door te rekenen volgens de tariefmethodologie in het boekjaar "&amp;F313</f>
        <v>Aanwending van 50% van het geaccumuleerd regulatoir saldo door te rekenen volgens de tariefmethodologie in het boekjaar 2019</v>
      </c>
      <c r="K315" s="213" t="str">
        <f>"Aanwending van 50% van het geaccumuleerd regulatoir saldo door te rekenen volgens de tariefmethodologie in het boekjaar "&amp;F313</f>
        <v>Aanwending van 50% van het geaccumuleerd regulatoir saldo door te rekenen volgens de tariefmethodologie in het boekjaar 2019</v>
      </c>
      <c r="L315" s="165" t="str">
        <f>"Totale afbouw over "&amp;F313</f>
        <v>Totale afbouw over 2019</v>
      </c>
      <c r="M315" s="165" t="str">
        <f>"Nog af te bouwen regulatoir saldo einde "&amp;F313</f>
        <v>Nog af te bouwen regulatoir saldo einde 2019</v>
      </c>
      <c r="N315" s="206"/>
      <c r="O315" s="166"/>
    </row>
    <row r="316" spans="2:16" ht="13" x14ac:dyDescent="0.25">
      <c r="B316" s="1075">
        <v>2017</v>
      </c>
      <c r="C316" s="1076"/>
      <c r="D316" s="1076"/>
      <c r="E316" s="1077"/>
      <c r="F316" s="275"/>
      <c r="G316" s="521">
        <f>K311</f>
        <v>0</v>
      </c>
      <c r="H316" s="521">
        <f>IF(SIGN(G317*K311)&lt;0,IF(G316&lt;&gt;0,-SIGN(G316)*MIN(ABS(G317),ABS(G316)),0),0)</f>
        <v>0</v>
      </c>
      <c r="I316" s="521">
        <f>+G316+H316</f>
        <v>0</v>
      </c>
      <c r="J316" s="852"/>
      <c r="K316" s="821">
        <f>-MIN(ABS(I316),ABS(J318))*SIGN(I316)</f>
        <v>0</v>
      </c>
      <c r="L316" s="813">
        <f>+K316+H316</f>
        <v>0</v>
      </c>
      <c r="M316" s="521">
        <f>+I316+K316</f>
        <v>0</v>
      </c>
      <c r="N316" s="206"/>
      <c r="O316" s="166"/>
    </row>
    <row r="317" spans="2:16" ht="13" x14ac:dyDescent="0.25">
      <c r="B317" s="1075">
        <v>2018</v>
      </c>
      <c r="C317" s="1076"/>
      <c r="D317" s="1076"/>
      <c r="E317" s="1077"/>
      <c r="F317" s="275"/>
      <c r="G317" s="521">
        <f>+H141</f>
        <v>0</v>
      </c>
      <c r="H317" s="813">
        <f>IF(SIGN(G317*K311)&lt;0,-H316,0)</f>
        <v>0</v>
      </c>
      <c r="I317" s="521">
        <f>+G317+H317</f>
        <v>0</v>
      </c>
      <c r="J317" s="852"/>
      <c r="K317" s="821">
        <f>-MIN(ABS(I317),ABS(J318-K316))*SIGN(I317)</f>
        <v>0</v>
      </c>
      <c r="L317" s="813">
        <f>+K317+H317</f>
        <v>0</v>
      </c>
      <c r="M317" s="521">
        <f>+I317+K317</f>
        <v>0</v>
      </c>
      <c r="N317" s="206"/>
      <c r="O317" s="166"/>
    </row>
    <row r="318" spans="2:16" s="273" customFormat="1" ht="13" x14ac:dyDescent="0.3">
      <c r="G318" s="168">
        <f>SUM(G316:G317)</f>
        <v>0</v>
      </c>
      <c r="H318" s="168">
        <f>SUM(H316:H317)</f>
        <v>0</v>
      </c>
      <c r="I318" s="168">
        <f>SUM(I316:I317)</f>
        <v>0</v>
      </c>
      <c r="J318" s="286">
        <f>-I318*0.5</f>
        <v>0</v>
      </c>
      <c r="K318" s="286">
        <f>SUM(K316:K317)</f>
        <v>0</v>
      </c>
      <c r="L318" s="528"/>
      <c r="M318" s="168">
        <f>SUM(M316:M317)</f>
        <v>0</v>
      </c>
    </row>
    <row r="319" spans="2:16" x14ac:dyDescent="0.25">
      <c r="O319" s="166"/>
    </row>
    <row r="320" spans="2:16" ht="13" x14ac:dyDescent="0.25">
      <c r="B320" s="273" t="s">
        <v>139</v>
      </c>
      <c r="F320" s="810">
        <v>2020</v>
      </c>
      <c r="O320" s="166"/>
    </row>
    <row r="321" spans="2:15" x14ac:dyDescent="0.25">
      <c r="O321" s="166"/>
    </row>
    <row r="322" spans="2:15" ht="102" customHeight="1" x14ac:dyDescent="0.25">
      <c r="B322" s="1078" t="s">
        <v>140</v>
      </c>
      <c r="C322" s="1079"/>
      <c r="D322" s="1079"/>
      <c r="E322" s="1080"/>
      <c r="F322" s="274"/>
      <c r="G322" s="165" t="str">
        <f>"Nog af te bouwen regulatoir saldo einde "&amp;F320-1</f>
        <v>Nog af te bouwen regulatoir saldo einde 2019</v>
      </c>
      <c r="H322" s="165" t="str">
        <f>"Afbouw oudste openstaande regulatoir saldo vanaf boekjaar "&amp;F320-2&amp;" en vroeger, door aanwending van compensatie met regulatoir saldo ontstaan over boekjaar "&amp;F320-1</f>
        <v>Afbouw oudste openstaande regulatoir saldo vanaf boekjaar 2018 en vroeger, door aanwending van compensatie met regulatoir saldo ontstaan over boekjaar 2019</v>
      </c>
      <c r="I322" s="165" t="str">
        <f>"Nog af te bouwen regulatoir saldo na compensatie einde "&amp;F320-1</f>
        <v>Nog af te bouwen regulatoir saldo na compensatie einde 2019</v>
      </c>
      <c r="J322" s="213" t="str">
        <f>"Aanwending van 50% van het geaccumuleerd regulatoir saldo door te rekenen volgens de tariefmethodologie in het boekjaar "&amp;F320</f>
        <v>Aanwending van 50% van het geaccumuleerd regulatoir saldo door te rekenen volgens de tariefmethodologie in het boekjaar 2020</v>
      </c>
      <c r="K322" s="213" t="str">
        <f>"Aanwending van 50% van het geaccumuleerd regulatoir saldo door te rekenen volgens de tariefmethodologie in het boekjaar "&amp;F320</f>
        <v>Aanwending van 50% van het geaccumuleerd regulatoir saldo door te rekenen volgens de tariefmethodologie in het boekjaar 2020</v>
      </c>
      <c r="L322" s="165" t="str">
        <f>"Totale afbouw over "&amp;F320</f>
        <v>Totale afbouw over 2020</v>
      </c>
      <c r="M322" s="165" t="str">
        <f>"Nog af te bouwen regulatoir saldo einde "&amp;F320</f>
        <v>Nog af te bouwen regulatoir saldo einde 2020</v>
      </c>
      <c r="N322" s="206"/>
      <c r="O322" s="166"/>
    </row>
    <row r="323" spans="2:15" ht="13" x14ac:dyDescent="0.25">
      <c r="B323" s="1075">
        <v>2017</v>
      </c>
      <c r="C323" s="1076"/>
      <c r="D323" s="1076"/>
      <c r="E323" s="1077"/>
      <c r="F323" s="275"/>
      <c r="G323" s="521">
        <f>+M316</f>
        <v>0</v>
      </c>
      <c r="H323" s="813">
        <f>IF(SIGN(G325*M318)&lt;0,IF(G323&lt;&gt;0,-SIGN(G323)*MIN(ABS(G325),ABS(G323)),0),0)</f>
        <v>0</v>
      </c>
      <c r="I323" s="521">
        <f>+G323+H323</f>
        <v>0</v>
      </c>
      <c r="J323" s="852"/>
      <c r="K323" s="821">
        <f>-MIN(ABS(I323),ABS(J326))*SIGN(I323)</f>
        <v>0</v>
      </c>
      <c r="L323" s="813">
        <f>+K323+H323</f>
        <v>0</v>
      </c>
      <c r="M323" s="521">
        <f>+I323+K323</f>
        <v>0</v>
      </c>
      <c r="N323" s="206"/>
      <c r="O323" s="166"/>
    </row>
    <row r="324" spans="2:15" ht="13" x14ac:dyDescent="0.25">
      <c r="B324" s="1075">
        <v>2018</v>
      </c>
      <c r="C324" s="1076"/>
      <c r="D324" s="1076">
        <v>2016</v>
      </c>
      <c r="E324" s="1077"/>
      <c r="F324" s="275"/>
      <c r="G324" s="521">
        <f>+M317</f>
        <v>0</v>
      </c>
      <c r="H324" s="813">
        <f>IF(SIGN(G325*M318)&lt;0,IF(G324&lt;&gt;0,-SIGN(G324)*MIN(ABS(G325-H323),ABS(G324)),0),0)</f>
        <v>0</v>
      </c>
      <c r="I324" s="521">
        <f>+G324+H324</f>
        <v>0</v>
      </c>
      <c r="J324" s="852"/>
      <c r="K324" s="821">
        <f>-MIN(ABS(I324),ABS(J326-K323))*SIGN(I324)</f>
        <v>0</v>
      </c>
      <c r="L324" s="813">
        <f>+K324+H324</f>
        <v>0</v>
      </c>
      <c r="M324" s="521">
        <f>+I324+K324</f>
        <v>0</v>
      </c>
      <c r="N324" s="206"/>
      <c r="O324" s="166"/>
    </row>
    <row r="325" spans="2:15" ht="13" x14ac:dyDescent="0.25">
      <c r="B325" s="1075">
        <v>2019</v>
      </c>
      <c r="C325" s="1076"/>
      <c r="D325" s="1076"/>
      <c r="E325" s="1077"/>
      <c r="F325" s="275"/>
      <c r="G325" s="521">
        <f>I142</f>
        <v>0</v>
      </c>
      <c r="H325" s="813">
        <f>IF(SIGN(G325*M318)&lt;0,-SUM(H323:H324),0)</f>
        <v>0</v>
      </c>
      <c r="I325" s="521">
        <f>+G325+H325</f>
        <v>0</v>
      </c>
      <c r="J325" s="852"/>
      <c r="K325" s="821">
        <f>-MIN(ABS(I325),ABS(J326-K323-K324))*SIGN(I325)</f>
        <v>0</v>
      </c>
      <c r="L325" s="813">
        <f>+K325+H325</f>
        <v>0</v>
      </c>
      <c r="M325" s="521">
        <f>+I325+K325</f>
        <v>0</v>
      </c>
      <c r="N325" s="206"/>
      <c r="O325" s="166"/>
    </row>
    <row r="326" spans="2:15" s="273" customFormat="1" ht="13" x14ac:dyDescent="0.3">
      <c r="G326" s="168">
        <f>SUM(G323:G325)</f>
        <v>0</v>
      </c>
      <c r="H326" s="168">
        <f>SUM(H323:H325)</f>
        <v>0</v>
      </c>
      <c r="I326" s="168">
        <f>SUM(I323:I325)</f>
        <v>0</v>
      </c>
      <c r="J326" s="286">
        <f>-I326*0.5</f>
        <v>0</v>
      </c>
      <c r="K326" s="286">
        <f>SUM(K323:K325)</f>
        <v>0</v>
      </c>
      <c r="L326" s="528"/>
      <c r="M326" s="168">
        <f>SUM(M323:M325)</f>
        <v>0</v>
      </c>
    </row>
    <row r="327" spans="2:15" x14ac:dyDescent="0.25">
      <c r="O327" s="166"/>
    </row>
    <row r="328" spans="2:15" ht="13" x14ac:dyDescent="0.25">
      <c r="B328" s="273" t="s">
        <v>139</v>
      </c>
      <c r="F328" s="810">
        <v>2021</v>
      </c>
      <c r="O328" s="166"/>
    </row>
    <row r="329" spans="2:15" x14ac:dyDescent="0.25">
      <c r="O329" s="166"/>
    </row>
    <row r="330" spans="2:15" ht="78" customHeight="1" x14ac:dyDescent="0.25">
      <c r="B330" s="1078" t="s">
        <v>140</v>
      </c>
      <c r="C330" s="1079"/>
      <c r="D330" s="1079"/>
      <c r="E330" s="1080"/>
      <c r="F330" s="274"/>
      <c r="G330" s="165" t="str">
        <f>"Nog af te bouwen regulatoir saldo einde "&amp;F328-1</f>
        <v>Nog af te bouwen regulatoir saldo einde 2020</v>
      </c>
      <c r="H330" s="165" t="str">
        <f>"50% van het oorspronkelijk regulatoir saldo door te rekenen volgens de tariefmethodologie in het boekjaar "&amp;F328</f>
        <v>50% van het oorspronkelijk regulatoir saldo door te rekenen volgens de tariefmethodologie in het boekjaar 2021</v>
      </c>
      <c r="I330" s="165" t="str">
        <f>"Nog af te bouwen regulatoir saldo einde "&amp;F328</f>
        <v>Nog af te bouwen regulatoir saldo einde 2021</v>
      </c>
      <c r="J330" s="206"/>
      <c r="O330" s="166"/>
    </row>
    <row r="331" spans="2:15" ht="13" x14ac:dyDescent="0.25">
      <c r="B331" s="1075">
        <v>2017</v>
      </c>
      <c r="C331" s="1076"/>
      <c r="D331" s="1076"/>
      <c r="E331" s="1077"/>
      <c r="F331" s="275"/>
      <c r="G331" s="521">
        <f>+M323</f>
        <v>0</v>
      </c>
      <c r="H331" s="521">
        <f>-G331*0.5</f>
        <v>0</v>
      </c>
      <c r="I331" s="521">
        <f>+G331+H331</f>
        <v>0</v>
      </c>
      <c r="J331" s="206"/>
      <c r="O331" s="166"/>
    </row>
    <row r="332" spans="2:15" ht="13" x14ac:dyDescent="0.25">
      <c r="B332" s="1075">
        <v>2018</v>
      </c>
      <c r="C332" s="1076"/>
      <c r="D332" s="1076"/>
      <c r="E332" s="1077"/>
      <c r="F332" s="275"/>
      <c r="G332" s="521">
        <f t="shared" ref="G332:G333" si="41">+M324</f>
        <v>0</v>
      </c>
      <c r="H332" s="521">
        <f t="shared" ref="H332:H334" si="42">-G332*0.5</f>
        <v>0</v>
      </c>
      <c r="I332" s="521">
        <f t="shared" ref="I332:I334" si="43">+G332+H332</f>
        <v>0</v>
      </c>
      <c r="J332" s="206"/>
      <c r="O332" s="166"/>
    </row>
    <row r="333" spans="2:15" ht="13" x14ac:dyDescent="0.25">
      <c r="B333" s="1075">
        <v>2019</v>
      </c>
      <c r="C333" s="1076"/>
      <c r="D333" s="1076">
        <v>2016</v>
      </c>
      <c r="E333" s="1077"/>
      <c r="F333" s="275"/>
      <c r="G333" s="521">
        <f t="shared" si="41"/>
        <v>0</v>
      </c>
      <c r="H333" s="521">
        <f t="shared" si="42"/>
        <v>0</v>
      </c>
      <c r="I333" s="521">
        <f t="shared" si="43"/>
        <v>0</v>
      </c>
      <c r="J333" s="206"/>
      <c r="O333" s="166"/>
    </row>
    <row r="334" spans="2:15" ht="13" x14ac:dyDescent="0.25">
      <c r="B334" s="1075">
        <v>2020</v>
      </c>
      <c r="C334" s="1076"/>
      <c r="D334" s="1076"/>
      <c r="E334" s="1077"/>
      <c r="F334" s="275"/>
      <c r="G334" s="521">
        <f>J143</f>
        <v>0</v>
      </c>
      <c r="H334" s="521">
        <f t="shared" si="42"/>
        <v>0</v>
      </c>
      <c r="I334" s="521">
        <f t="shared" si="43"/>
        <v>0</v>
      </c>
      <c r="J334" s="206"/>
      <c r="O334" s="166"/>
    </row>
    <row r="335" spans="2:15" s="273" customFormat="1" ht="13" x14ac:dyDescent="0.25">
      <c r="G335" s="168">
        <f>SUM(G331:G334)</f>
        <v>0</v>
      </c>
      <c r="H335" s="168">
        <f>SUM(H331:H334)</f>
        <v>0</v>
      </c>
      <c r="I335" s="168">
        <f>SUM(I331:I334)</f>
        <v>0</v>
      </c>
    </row>
    <row r="336" spans="2:15" x14ac:dyDescent="0.25">
      <c r="G336" s="214"/>
      <c r="H336" s="214"/>
      <c r="I336" s="214"/>
      <c r="O336" s="166"/>
    </row>
    <row r="337" spans="2:15" ht="13" x14ac:dyDescent="0.25">
      <c r="B337" s="273" t="s">
        <v>139</v>
      </c>
      <c r="F337" s="810">
        <v>2022</v>
      </c>
      <c r="O337" s="166"/>
    </row>
    <row r="338" spans="2:15" x14ac:dyDescent="0.25">
      <c r="O338" s="166"/>
    </row>
    <row r="339" spans="2:15" ht="78" customHeight="1" x14ac:dyDescent="0.25">
      <c r="B339" s="1078" t="s">
        <v>140</v>
      </c>
      <c r="C339" s="1079"/>
      <c r="D339" s="1079"/>
      <c r="E339" s="1080"/>
      <c r="F339" s="274"/>
      <c r="G339" s="165" t="str">
        <f>"Nog af te bouwen regulatoir saldo einde "&amp;F337-1</f>
        <v>Nog af te bouwen regulatoir saldo einde 2021</v>
      </c>
      <c r="H339" s="165" t="str">
        <f>"50% van het oorspronkelijk regulatoir saldo door te rekenen volgens de tariefmethodologie in het boekjaar "&amp;F337</f>
        <v>50% van het oorspronkelijk regulatoir saldo door te rekenen volgens de tariefmethodologie in het boekjaar 2022</v>
      </c>
      <c r="I339" s="165" t="str">
        <f>"Nog af te bouwen regulatoir saldo einde "&amp;F337</f>
        <v>Nog af te bouwen regulatoir saldo einde 2022</v>
      </c>
      <c r="J339" s="206"/>
      <c r="O339" s="166"/>
    </row>
    <row r="340" spans="2:15" ht="13" x14ac:dyDescent="0.25">
      <c r="B340" s="1075">
        <v>2017</v>
      </c>
      <c r="C340" s="1076"/>
      <c r="D340" s="1076">
        <v>2016</v>
      </c>
      <c r="E340" s="1077"/>
      <c r="F340" s="275"/>
      <c r="G340" s="521">
        <f>+I331</f>
        <v>0</v>
      </c>
      <c r="H340" s="521">
        <f>-G331*0.5</f>
        <v>0</v>
      </c>
      <c r="I340" s="521">
        <f t="shared" ref="I340:I344" si="44">+G340+H340</f>
        <v>0</v>
      </c>
      <c r="J340" s="206"/>
      <c r="O340" s="166"/>
    </row>
    <row r="341" spans="2:15" ht="13" x14ac:dyDescent="0.25">
      <c r="B341" s="1075">
        <v>2018</v>
      </c>
      <c r="C341" s="1076"/>
      <c r="D341" s="1076"/>
      <c r="E341" s="1077"/>
      <c r="F341" s="275"/>
      <c r="G341" s="521">
        <f t="shared" ref="G341:G343" si="45">+I332</f>
        <v>0</v>
      </c>
      <c r="H341" s="521">
        <f t="shared" ref="H341:H343" si="46">-G332*0.5</f>
        <v>0</v>
      </c>
      <c r="I341" s="521">
        <f t="shared" si="44"/>
        <v>0</v>
      </c>
      <c r="J341" s="206"/>
      <c r="O341" s="166"/>
    </row>
    <row r="342" spans="2:15" ht="13" x14ac:dyDescent="0.25">
      <c r="B342" s="1075">
        <v>2019</v>
      </c>
      <c r="C342" s="1076"/>
      <c r="D342" s="1076"/>
      <c r="E342" s="1077"/>
      <c r="F342" s="275"/>
      <c r="G342" s="521">
        <f t="shared" si="45"/>
        <v>0</v>
      </c>
      <c r="H342" s="521">
        <f t="shared" si="46"/>
        <v>0</v>
      </c>
      <c r="I342" s="521">
        <f t="shared" si="44"/>
        <v>0</v>
      </c>
      <c r="J342" s="206"/>
      <c r="O342" s="166"/>
    </row>
    <row r="343" spans="2:15" ht="13" x14ac:dyDescent="0.25">
      <c r="B343" s="1075">
        <v>2020</v>
      </c>
      <c r="C343" s="1076"/>
      <c r="D343" s="1076"/>
      <c r="E343" s="1077"/>
      <c r="F343" s="275"/>
      <c r="G343" s="521">
        <f t="shared" si="45"/>
        <v>0</v>
      </c>
      <c r="H343" s="521">
        <f t="shared" si="46"/>
        <v>0</v>
      </c>
      <c r="I343" s="521">
        <f t="shared" si="44"/>
        <v>0</v>
      </c>
      <c r="J343" s="206"/>
      <c r="O343" s="166"/>
    </row>
    <row r="344" spans="2:15" ht="13" x14ac:dyDescent="0.25">
      <c r="B344" s="1075">
        <v>2021</v>
      </c>
      <c r="C344" s="1076"/>
      <c r="D344" s="1076"/>
      <c r="E344" s="1077"/>
      <c r="F344" s="275"/>
      <c r="G344" s="521">
        <f>K144</f>
        <v>0</v>
      </c>
      <c r="H344" s="521">
        <f t="shared" ref="H344" si="47">-G344*0.5</f>
        <v>0</v>
      </c>
      <c r="I344" s="521">
        <f t="shared" si="44"/>
        <v>0</v>
      </c>
      <c r="J344" s="206"/>
      <c r="O344" s="166"/>
    </row>
    <row r="345" spans="2:15" s="273" customFormat="1" ht="13" x14ac:dyDescent="0.25">
      <c r="G345" s="168">
        <f>SUM(G340:G344)</f>
        <v>0</v>
      </c>
      <c r="H345" s="168">
        <f>SUM(H340:H344)</f>
        <v>0</v>
      </c>
      <c r="I345" s="168">
        <f>SUM(I340:I344)</f>
        <v>0</v>
      </c>
    </row>
    <row r="346" spans="2:15" x14ac:dyDescent="0.25">
      <c r="O346" s="166"/>
    </row>
    <row r="347" spans="2:15" ht="13" x14ac:dyDescent="0.25">
      <c r="B347" s="273" t="s">
        <v>139</v>
      </c>
      <c r="F347" s="810">
        <v>2023</v>
      </c>
      <c r="O347" s="166"/>
    </row>
    <row r="348" spans="2:15" x14ac:dyDescent="0.25">
      <c r="O348" s="166"/>
    </row>
    <row r="349" spans="2:15" ht="78" customHeight="1" x14ac:dyDescent="0.25">
      <c r="B349" s="1078" t="s">
        <v>140</v>
      </c>
      <c r="C349" s="1079"/>
      <c r="D349" s="1079"/>
      <c r="E349" s="1080"/>
      <c r="F349" s="274"/>
      <c r="G349" s="165" t="str">
        <f>"Nog af te bouwen regulatoir saldo einde "&amp;F347-1</f>
        <v>Nog af te bouwen regulatoir saldo einde 2022</v>
      </c>
      <c r="H349" s="165" t="str">
        <f>"50% van het oorspronkelijk regulatoir saldo door te rekenen volgens de tariefmethodologie in het boekjaar "&amp;F347</f>
        <v>50% van het oorspronkelijk regulatoir saldo door te rekenen volgens de tariefmethodologie in het boekjaar 2023</v>
      </c>
      <c r="I349" s="165" t="str">
        <f>"Nog af te bouwen regulatoir saldo einde "&amp;F347</f>
        <v>Nog af te bouwen regulatoir saldo einde 2023</v>
      </c>
      <c r="J349" s="206"/>
      <c r="O349" s="166"/>
    </row>
    <row r="350" spans="2:15" ht="13" x14ac:dyDescent="0.25">
      <c r="B350" s="1075">
        <v>2021</v>
      </c>
      <c r="C350" s="1076"/>
      <c r="D350" s="1076"/>
      <c r="E350" s="1077"/>
      <c r="F350" s="275"/>
      <c r="G350" s="521">
        <f>+I344</f>
        <v>0</v>
      </c>
      <c r="H350" s="521">
        <f>-G344*0.5</f>
        <v>0</v>
      </c>
      <c r="I350" s="521">
        <f t="shared" ref="I350:I351" si="48">+G350+H350</f>
        <v>0</v>
      </c>
      <c r="J350" s="206"/>
      <c r="O350" s="166"/>
    </row>
    <row r="351" spans="2:15" ht="13" x14ac:dyDescent="0.25">
      <c r="B351" s="1075">
        <v>2022</v>
      </c>
      <c r="C351" s="1076"/>
      <c r="D351" s="1076"/>
      <c r="E351" s="1077"/>
      <c r="F351" s="275"/>
      <c r="G351" s="521">
        <f>L145</f>
        <v>0</v>
      </c>
      <c r="H351" s="521">
        <f t="shared" ref="H351" si="49">-G351*0.5</f>
        <v>0</v>
      </c>
      <c r="I351" s="521">
        <f t="shared" si="48"/>
        <v>0</v>
      </c>
      <c r="J351" s="206"/>
      <c r="O351" s="166"/>
    </row>
    <row r="352" spans="2:15" s="273" customFormat="1" ht="13" x14ac:dyDescent="0.25">
      <c r="G352" s="168">
        <f>SUM(G350:G351)</f>
        <v>0</v>
      </c>
      <c r="H352" s="168">
        <f>SUM(H350:H351)</f>
        <v>0</v>
      </c>
      <c r="I352" s="168">
        <f>SUM(I350:I351)</f>
        <v>0</v>
      </c>
    </row>
    <row r="353" spans="2:15" x14ac:dyDescent="0.25">
      <c r="O353" s="166"/>
    </row>
    <row r="354" spans="2:15" ht="13" x14ac:dyDescent="0.25">
      <c r="B354" s="273" t="s">
        <v>139</v>
      </c>
      <c r="F354" s="810">
        <v>2024</v>
      </c>
      <c r="O354" s="166"/>
    </row>
    <row r="355" spans="2:15" x14ac:dyDescent="0.25">
      <c r="O355" s="166"/>
    </row>
    <row r="356" spans="2:15" ht="78" customHeight="1" x14ac:dyDescent="0.25">
      <c r="B356" s="1078" t="s">
        <v>140</v>
      </c>
      <c r="C356" s="1079"/>
      <c r="D356" s="1079"/>
      <c r="E356" s="1080"/>
      <c r="F356" s="274"/>
      <c r="G356" s="165" t="str">
        <f>"Nog af te bouwen regulatoir saldo einde "&amp;F354-1</f>
        <v>Nog af te bouwen regulatoir saldo einde 2023</v>
      </c>
      <c r="H356" s="165" t="str">
        <f>"50% van het oorspronkelijk regulatoir saldo door te rekenen volgens de tariefmethodologie in het boekjaar "&amp;F354</f>
        <v>50% van het oorspronkelijk regulatoir saldo door te rekenen volgens de tariefmethodologie in het boekjaar 2024</v>
      </c>
      <c r="I356" s="165" t="str">
        <f>"Nog af te bouwen regulatoir saldo einde "&amp;F354</f>
        <v>Nog af te bouwen regulatoir saldo einde 2024</v>
      </c>
      <c r="J356" s="206"/>
      <c r="O356" s="166"/>
    </row>
    <row r="357" spans="2:15" ht="13" x14ac:dyDescent="0.25">
      <c r="B357" s="1075">
        <v>2022</v>
      </c>
      <c r="C357" s="1076"/>
      <c r="D357" s="1076"/>
      <c r="E357" s="1077"/>
      <c r="F357" s="275"/>
      <c r="G357" s="521">
        <f>+I351</f>
        <v>0</v>
      </c>
      <c r="H357" s="521">
        <f>-G351*0.5</f>
        <v>0</v>
      </c>
      <c r="I357" s="521">
        <f t="shared" ref="I357:I358" si="50">+G357+H357</f>
        <v>0</v>
      </c>
      <c r="J357" s="206"/>
      <c r="O357" s="166"/>
    </row>
    <row r="358" spans="2:15" ht="13" x14ac:dyDescent="0.25">
      <c r="B358" s="1075">
        <v>2023</v>
      </c>
      <c r="C358" s="1076"/>
      <c r="D358" s="1076"/>
      <c r="E358" s="1077"/>
      <c r="F358" s="275"/>
      <c r="G358" s="521">
        <f>+M146</f>
        <v>0</v>
      </c>
      <c r="H358" s="521">
        <f t="shared" ref="H358" si="51">-G358*0.5</f>
        <v>0</v>
      </c>
      <c r="I358" s="521">
        <f t="shared" si="50"/>
        <v>0</v>
      </c>
      <c r="J358" s="206"/>
      <c r="O358" s="166"/>
    </row>
    <row r="359" spans="2:15" s="273" customFormat="1" ht="13" x14ac:dyDescent="0.25">
      <c r="G359" s="168">
        <f>SUM(G357:G358)</f>
        <v>0</v>
      </c>
      <c r="H359" s="168">
        <f>SUM(H357:H358)</f>
        <v>0</v>
      </c>
      <c r="I359" s="168">
        <f>SUM(I357:I358)</f>
        <v>0</v>
      </c>
    </row>
    <row r="360" spans="2:15" x14ac:dyDescent="0.25">
      <c r="O360" s="166"/>
    </row>
    <row r="361" spans="2:15" ht="13" x14ac:dyDescent="0.25">
      <c r="B361" s="273" t="s">
        <v>66</v>
      </c>
      <c r="O361" s="166"/>
    </row>
    <row r="362" spans="2:15" ht="13" x14ac:dyDescent="0.25">
      <c r="B362" s="273" t="s">
        <v>141</v>
      </c>
      <c r="C362" s="216"/>
      <c r="D362" s="216"/>
      <c r="E362" s="216"/>
      <c r="O362" s="166"/>
    </row>
    <row r="363" spans="2:15" ht="13" x14ac:dyDescent="0.25">
      <c r="B363" s="273"/>
      <c r="C363" s="216"/>
      <c r="D363" s="216"/>
      <c r="E363" s="216"/>
      <c r="O363" s="166"/>
    </row>
    <row r="364" spans="2:15" ht="13" x14ac:dyDescent="0.25">
      <c r="B364" s="275">
        <f>F328</f>
        <v>2021</v>
      </c>
      <c r="C364" s="279">
        <f>+H335</f>
        <v>0</v>
      </c>
      <c r="D364" s="216"/>
      <c r="E364" s="216"/>
      <c r="O364" s="166"/>
    </row>
    <row r="365" spans="2:15" ht="13" x14ac:dyDescent="0.25">
      <c r="B365" s="275">
        <v>2022</v>
      </c>
      <c r="C365" s="279">
        <f>+H345</f>
        <v>0</v>
      </c>
      <c r="D365" s="216"/>
      <c r="E365" s="216"/>
      <c r="O365" s="166"/>
    </row>
    <row r="366" spans="2:15" ht="13" x14ac:dyDescent="0.25">
      <c r="B366" s="275">
        <v>2023</v>
      </c>
      <c r="C366" s="279">
        <f>+H352</f>
        <v>0</v>
      </c>
      <c r="D366" s="216"/>
      <c r="E366" s="216"/>
      <c r="O366" s="166"/>
    </row>
    <row r="367" spans="2:15" ht="13" x14ac:dyDescent="0.25">
      <c r="B367" s="275">
        <v>2024</v>
      </c>
      <c r="C367" s="279">
        <f>+H359</f>
        <v>0</v>
      </c>
      <c r="D367" s="216"/>
      <c r="E367" s="216"/>
      <c r="O367" s="166"/>
    </row>
    <row r="368" spans="2:15" x14ac:dyDescent="0.25">
      <c r="O368" s="166"/>
    </row>
    <row r="369" spans="2:16" x14ac:dyDescent="0.25">
      <c r="O369" s="166"/>
    </row>
    <row r="370" spans="2:16" ht="13" x14ac:dyDescent="0.25">
      <c r="B370" s="321" t="s">
        <v>350</v>
      </c>
      <c r="C370" s="322"/>
      <c r="D370" s="322"/>
      <c r="E370" s="322"/>
      <c r="F370" s="323"/>
      <c r="G370" s="323"/>
      <c r="H370" s="323"/>
      <c r="I370" s="323"/>
      <c r="J370" s="323"/>
      <c r="K370" s="323"/>
      <c r="L370" s="323"/>
      <c r="M370" s="323"/>
      <c r="N370" s="323"/>
      <c r="O370" s="324"/>
      <c r="P370" s="323"/>
    </row>
    <row r="371" spans="2:16" x14ac:dyDescent="0.25">
      <c r="O371" s="206"/>
    </row>
    <row r="372" spans="2:16" ht="13" x14ac:dyDescent="0.25">
      <c r="B372" s="273" t="s">
        <v>139</v>
      </c>
      <c r="F372" s="810">
        <v>2018</v>
      </c>
      <c r="O372" s="206"/>
    </row>
    <row r="373" spans="2:16" x14ac:dyDescent="0.25">
      <c r="O373" s="166"/>
    </row>
    <row r="374" spans="2:16" ht="102" customHeight="1" x14ac:dyDescent="0.25">
      <c r="B374" s="1078" t="s">
        <v>140</v>
      </c>
      <c r="C374" s="1079"/>
      <c r="D374" s="1079"/>
      <c r="E374" s="1080"/>
      <c r="F374" s="274"/>
      <c r="G374" s="165" t="str">
        <f>"Nog af te bouwen regulatoir saldo einde "&amp;F372-1</f>
        <v>Nog af te bouwen regulatoir saldo einde 2017</v>
      </c>
      <c r="H374" s="165" t="str">
        <f>"Afbouw oudste openstaande regulatoir saldo vanaf boekjaar "&amp;F372-2&amp;" en vroeger, door aanwending van compensatie met regulatoir saldo ontstaan over boekjaar "&amp;F372-1</f>
        <v>Afbouw oudste openstaande regulatoir saldo vanaf boekjaar 2016 en vroeger, door aanwending van compensatie met regulatoir saldo ontstaan over boekjaar 2017</v>
      </c>
      <c r="I374" s="165" t="str">
        <f>"Nog af te bouwen regulatoir saldo na compensatie einde "&amp;F372-1</f>
        <v>Nog af te bouwen regulatoir saldo na compensatie einde 2017</v>
      </c>
      <c r="J374" s="165" t="str">
        <f>"Aanwending van 50% van het geaccumuleerd regulatoir saldo door te rekenen volgens de tariefmethodologie in het boekjaar "&amp;F372</f>
        <v>Aanwending van 50% van het geaccumuleerd regulatoir saldo door te rekenen volgens de tariefmethodologie in het boekjaar 2018</v>
      </c>
      <c r="K374" s="165" t="str">
        <f>"Nog af te bouwen regulatoir saldo einde "&amp;F372</f>
        <v>Nog af te bouwen regulatoir saldo einde 2018</v>
      </c>
      <c r="L374" s="220"/>
      <c r="M374" s="220"/>
      <c r="N374" s="220"/>
      <c r="O374" s="166"/>
    </row>
    <row r="375" spans="2:16" ht="13" x14ac:dyDescent="0.25">
      <c r="B375" s="1075">
        <v>2017</v>
      </c>
      <c r="C375" s="1076"/>
      <c r="D375" s="1076"/>
      <c r="E375" s="1077"/>
      <c r="F375" s="275"/>
      <c r="G375" s="521">
        <f>+G149</f>
        <v>0</v>
      </c>
      <c r="H375" s="521">
        <v>0</v>
      </c>
      <c r="I375" s="521">
        <f>+G375+H375</f>
        <v>0</v>
      </c>
      <c r="J375" s="821">
        <f>-I375*0.5</f>
        <v>0</v>
      </c>
      <c r="K375" s="851">
        <f>+J375+G375</f>
        <v>0</v>
      </c>
      <c r="L375" s="812"/>
      <c r="M375" s="812"/>
      <c r="N375" s="812"/>
      <c r="O375" s="166"/>
    </row>
    <row r="376" spans="2:16" x14ac:dyDescent="0.25">
      <c r="O376" s="166"/>
    </row>
    <row r="377" spans="2:16" ht="13" x14ac:dyDescent="0.25">
      <c r="B377" s="273" t="s">
        <v>139</v>
      </c>
      <c r="F377" s="810">
        <v>2019</v>
      </c>
      <c r="O377" s="206"/>
    </row>
    <row r="378" spans="2:16" x14ac:dyDescent="0.25">
      <c r="O378" s="206"/>
    </row>
    <row r="379" spans="2:16" ht="102" customHeight="1" x14ac:dyDescent="0.25">
      <c r="B379" s="1078" t="s">
        <v>140</v>
      </c>
      <c r="C379" s="1079"/>
      <c r="D379" s="1079"/>
      <c r="E379" s="1080"/>
      <c r="F379" s="274"/>
      <c r="G379" s="165" t="str">
        <f>"Nog af te bouwen regulatoir saldo einde "&amp;F377-1</f>
        <v>Nog af te bouwen regulatoir saldo einde 2018</v>
      </c>
      <c r="H379" s="165" t="str">
        <f>"Afbouw oudste openstaande regulatoir saldo vanaf boekjaar "&amp;F377-2&amp;" en vroeger, door aanwending van compensatie met regulatoir saldo ontstaan over boekjaar "&amp;F377-1</f>
        <v>Afbouw oudste openstaande regulatoir saldo vanaf boekjaar 2017 en vroeger, door aanwending van compensatie met regulatoir saldo ontstaan over boekjaar 2018</v>
      </c>
      <c r="I379" s="165" t="str">
        <f>"Nog af te bouwen regulatoir saldo na compensatie einde "&amp;F377-1</f>
        <v>Nog af te bouwen regulatoir saldo na compensatie einde 2018</v>
      </c>
      <c r="J379" s="213" t="str">
        <f>"Aanwending van 50% van het geaccumuleerd regulatoir saldo door te rekenen volgens de tariefmethodologie in het boekjaar "&amp;F377</f>
        <v>Aanwending van 50% van het geaccumuleerd regulatoir saldo door te rekenen volgens de tariefmethodologie in het boekjaar 2019</v>
      </c>
      <c r="K379" s="213" t="str">
        <f>"Aanwending van 50% van het geaccumuleerd regulatoir saldo door te rekenen volgens de tariefmethodologie in het boekjaar "&amp;F377</f>
        <v>Aanwending van 50% van het geaccumuleerd regulatoir saldo door te rekenen volgens de tariefmethodologie in het boekjaar 2019</v>
      </c>
      <c r="L379" s="165" t="str">
        <f>"Totale afbouw over "&amp;F377</f>
        <v>Totale afbouw over 2019</v>
      </c>
      <c r="M379" s="165" t="str">
        <f>"Nog af te bouwen regulatoir saldo einde "&amp;F377</f>
        <v>Nog af te bouwen regulatoir saldo einde 2019</v>
      </c>
      <c r="N379" s="206"/>
      <c r="O379" s="166"/>
    </row>
    <row r="380" spans="2:16" ht="13" x14ac:dyDescent="0.25">
      <c r="B380" s="1075">
        <v>2017</v>
      </c>
      <c r="C380" s="1076"/>
      <c r="D380" s="1076"/>
      <c r="E380" s="1077"/>
      <c r="F380" s="275"/>
      <c r="G380" s="521">
        <f>K375</f>
        <v>0</v>
      </c>
      <c r="H380" s="521">
        <f>IF(SIGN(G381*K375)&lt;0,IF(G380&lt;&gt;0,-SIGN(G380)*MIN(ABS(G381),ABS(G380)),0),0)</f>
        <v>0</v>
      </c>
      <c r="I380" s="521">
        <f>+G380+H380</f>
        <v>0</v>
      </c>
      <c r="J380" s="852"/>
      <c r="K380" s="821">
        <f>-MIN(ABS(I380),ABS(J382))*SIGN(I380)</f>
        <v>0</v>
      </c>
      <c r="L380" s="813">
        <f>+K380+H380</f>
        <v>0</v>
      </c>
      <c r="M380" s="521">
        <f>+I380+K380</f>
        <v>0</v>
      </c>
      <c r="N380" s="206"/>
      <c r="O380" s="166"/>
    </row>
    <row r="381" spans="2:16" ht="13" x14ac:dyDescent="0.25">
      <c r="B381" s="1075">
        <v>2018</v>
      </c>
      <c r="C381" s="1076"/>
      <c r="D381" s="1076"/>
      <c r="E381" s="1077"/>
      <c r="F381" s="275"/>
      <c r="G381" s="521">
        <f>+H150</f>
        <v>0</v>
      </c>
      <c r="H381" s="813">
        <f>IF(SIGN(G381*K375)&lt;0,-H380,0)</f>
        <v>0</v>
      </c>
      <c r="I381" s="521">
        <f>+G381+H381</f>
        <v>0</v>
      </c>
      <c r="J381" s="852"/>
      <c r="K381" s="821">
        <f>-MIN(ABS(I381),ABS(J382-K380))*SIGN(I381)</f>
        <v>0</v>
      </c>
      <c r="L381" s="813">
        <f>+K381+H381</f>
        <v>0</v>
      </c>
      <c r="M381" s="521">
        <f>+I381+K381</f>
        <v>0</v>
      </c>
      <c r="N381" s="206"/>
      <c r="O381" s="166"/>
    </row>
    <row r="382" spans="2:16" s="273" customFormat="1" ht="13" x14ac:dyDescent="0.3">
      <c r="G382" s="168">
        <f>SUM(G380:G381)</f>
        <v>0</v>
      </c>
      <c r="H382" s="168">
        <f>SUM(H380:H381)</f>
        <v>0</v>
      </c>
      <c r="I382" s="168">
        <f>SUM(I380:I381)</f>
        <v>0</v>
      </c>
      <c r="J382" s="286">
        <f>-I382*0.5</f>
        <v>0</v>
      </c>
      <c r="K382" s="286">
        <f>SUM(K380:K381)</f>
        <v>0</v>
      </c>
      <c r="L382" s="528"/>
      <c r="M382" s="168">
        <f>SUM(M380:M381)</f>
        <v>0</v>
      </c>
    </row>
    <row r="383" spans="2:16" x14ac:dyDescent="0.25">
      <c r="O383" s="166"/>
    </row>
    <row r="384" spans="2:16" ht="13" x14ac:dyDescent="0.25">
      <c r="B384" s="273" t="s">
        <v>139</v>
      </c>
      <c r="F384" s="810">
        <v>2020</v>
      </c>
      <c r="O384" s="166"/>
    </row>
    <row r="385" spans="2:15" x14ac:dyDescent="0.25">
      <c r="O385" s="166"/>
    </row>
    <row r="386" spans="2:15" ht="102" customHeight="1" x14ac:dyDescent="0.25">
      <c r="B386" s="1078" t="s">
        <v>140</v>
      </c>
      <c r="C386" s="1079"/>
      <c r="D386" s="1079"/>
      <c r="E386" s="1080"/>
      <c r="F386" s="274"/>
      <c r="G386" s="165" t="str">
        <f>"Nog af te bouwen regulatoir saldo einde "&amp;F384-1</f>
        <v>Nog af te bouwen regulatoir saldo einde 2019</v>
      </c>
      <c r="H386" s="165" t="str">
        <f>"Afbouw oudste openstaande regulatoir saldo vanaf boekjaar "&amp;F384-2&amp;" en vroeger, door aanwending van compensatie met regulatoir saldo ontstaan over boekjaar "&amp;F384-1</f>
        <v>Afbouw oudste openstaande regulatoir saldo vanaf boekjaar 2018 en vroeger, door aanwending van compensatie met regulatoir saldo ontstaan over boekjaar 2019</v>
      </c>
      <c r="I386" s="165" t="str">
        <f>"Nog af te bouwen regulatoir saldo na compensatie einde "&amp;F384-1</f>
        <v>Nog af te bouwen regulatoir saldo na compensatie einde 2019</v>
      </c>
      <c r="J386" s="213" t="str">
        <f>"Aanwending van 50% van het geaccumuleerd regulatoir saldo door te rekenen volgens de tariefmethodologie in het boekjaar "&amp;F384</f>
        <v>Aanwending van 50% van het geaccumuleerd regulatoir saldo door te rekenen volgens de tariefmethodologie in het boekjaar 2020</v>
      </c>
      <c r="K386" s="213" t="str">
        <f>"Aanwending van 50% van het geaccumuleerd regulatoir saldo door te rekenen volgens de tariefmethodologie in het boekjaar "&amp;F384</f>
        <v>Aanwending van 50% van het geaccumuleerd regulatoir saldo door te rekenen volgens de tariefmethodologie in het boekjaar 2020</v>
      </c>
      <c r="L386" s="165" t="str">
        <f>"Totale afbouw over "&amp;F384</f>
        <v>Totale afbouw over 2020</v>
      </c>
      <c r="M386" s="165" t="str">
        <f>"Nog af te bouwen regulatoir saldo einde "&amp;F384</f>
        <v>Nog af te bouwen regulatoir saldo einde 2020</v>
      </c>
      <c r="N386" s="206"/>
      <c r="O386" s="166"/>
    </row>
    <row r="387" spans="2:15" ht="13" x14ac:dyDescent="0.25">
      <c r="B387" s="1075">
        <v>2017</v>
      </c>
      <c r="C387" s="1076"/>
      <c r="D387" s="1076"/>
      <c r="E387" s="1077"/>
      <c r="F387" s="275"/>
      <c r="G387" s="521">
        <f>+M380</f>
        <v>0</v>
      </c>
      <c r="H387" s="813">
        <f>IF(SIGN(G389*M382)&lt;0,IF(G387&lt;&gt;0,-SIGN(G387)*MIN(ABS(G389),ABS(G387)),0),0)</f>
        <v>0</v>
      </c>
      <c r="I387" s="521">
        <f>+G387+H387</f>
        <v>0</v>
      </c>
      <c r="J387" s="852"/>
      <c r="K387" s="821">
        <f>-MIN(ABS(I387),ABS(J390))*SIGN(I387)</f>
        <v>0</v>
      </c>
      <c r="L387" s="813">
        <f>+K387+H387</f>
        <v>0</v>
      </c>
      <c r="M387" s="521">
        <f>+I387+K387</f>
        <v>0</v>
      </c>
      <c r="N387" s="206"/>
      <c r="O387" s="166"/>
    </row>
    <row r="388" spans="2:15" ht="13" x14ac:dyDescent="0.25">
      <c r="B388" s="1075">
        <v>2018</v>
      </c>
      <c r="C388" s="1076"/>
      <c r="D388" s="1076">
        <v>2016</v>
      </c>
      <c r="E388" s="1077"/>
      <c r="F388" s="275"/>
      <c r="G388" s="521">
        <f>+M381</f>
        <v>0</v>
      </c>
      <c r="H388" s="813">
        <f>IF(SIGN(G389*M382)&lt;0,IF(G388&lt;&gt;0,-SIGN(G388)*MIN(ABS(G389-H387),ABS(G388)),0),0)</f>
        <v>0</v>
      </c>
      <c r="I388" s="521">
        <f>+G388+H388</f>
        <v>0</v>
      </c>
      <c r="J388" s="852"/>
      <c r="K388" s="821">
        <f>-MIN(ABS(I388),ABS(J390-K387))*SIGN(I388)</f>
        <v>0</v>
      </c>
      <c r="L388" s="813">
        <f>+K388+H388</f>
        <v>0</v>
      </c>
      <c r="M388" s="521">
        <f>+I388+K388</f>
        <v>0</v>
      </c>
      <c r="N388" s="206"/>
      <c r="O388" s="166"/>
    </row>
    <row r="389" spans="2:15" ht="13" x14ac:dyDescent="0.25">
      <c r="B389" s="1075">
        <v>2019</v>
      </c>
      <c r="C389" s="1076"/>
      <c r="D389" s="1076"/>
      <c r="E389" s="1077"/>
      <c r="F389" s="275"/>
      <c r="G389" s="521">
        <f>I151</f>
        <v>0</v>
      </c>
      <c r="H389" s="813">
        <f>IF(SIGN(G389*M382)&lt;0,-SUM(H387:H388),0)</f>
        <v>0</v>
      </c>
      <c r="I389" s="521">
        <f>+G389+H389</f>
        <v>0</v>
      </c>
      <c r="J389" s="852"/>
      <c r="K389" s="821">
        <f>-MIN(ABS(I389),ABS(J390-K387-K388))*SIGN(I389)</f>
        <v>0</v>
      </c>
      <c r="L389" s="813">
        <f>+K389+H389</f>
        <v>0</v>
      </c>
      <c r="M389" s="521">
        <f>+I389+K389</f>
        <v>0</v>
      </c>
      <c r="N389" s="206"/>
      <c r="O389" s="166"/>
    </row>
    <row r="390" spans="2:15" s="273" customFormat="1" ht="13" x14ac:dyDescent="0.3">
      <c r="G390" s="168">
        <f>SUM(G387:G389)</f>
        <v>0</v>
      </c>
      <c r="H390" s="168">
        <f>SUM(H387:H389)</f>
        <v>0</v>
      </c>
      <c r="I390" s="168">
        <f>SUM(I387:I389)</f>
        <v>0</v>
      </c>
      <c r="J390" s="286">
        <f>-I390*0.5</f>
        <v>0</v>
      </c>
      <c r="K390" s="286">
        <f>SUM(K387:K389)</f>
        <v>0</v>
      </c>
      <c r="L390" s="528"/>
      <c r="M390" s="168">
        <f>SUM(M387:M389)</f>
        <v>0</v>
      </c>
    </row>
    <row r="391" spans="2:15" x14ac:dyDescent="0.25">
      <c r="O391" s="166"/>
    </row>
    <row r="392" spans="2:15" ht="13" x14ac:dyDescent="0.25">
      <c r="B392" s="273" t="s">
        <v>139</v>
      </c>
      <c r="F392" s="810">
        <v>2021</v>
      </c>
      <c r="O392" s="166"/>
    </row>
    <row r="393" spans="2:15" x14ac:dyDescent="0.25">
      <c r="O393" s="166"/>
    </row>
    <row r="394" spans="2:15" ht="78" customHeight="1" x14ac:dyDescent="0.25">
      <c r="B394" s="1078" t="s">
        <v>140</v>
      </c>
      <c r="C394" s="1079"/>
      <c r="D394" s="1079"/>
      <c r="E394" s="1080"/>
      <c r="F394" s="274"/>
      <c r="G394" s="165" t="str">
        <f>"Nog af te bouwen regulatoir saldo einde "&amp;F392-1</f>
        <v>Nog af te bouwen regulatoir saldo einde 2020</v>
      </c>
      <c r="H394" s="165" t="str">
        <f>"50% van het oorspronkelijk regulatoir saldo door te rekenen volgens de tariefmethodologie in het boekjaar "&amp;F392</f>
        <v>50% van het oorspronkelijk regulatoir saldo door te rekenen volgens de tariefmethodologie in het boekjaar 2021</v>
      </c>
      <c r="I394" s="165" t="str">
        <f>"Nog af te bouwen regulatoir saldo einde "&amp;F392</f>
        <v>Nog af te bouwen regulatoir saldo einde 2021</v>
      </c>
      <c r="J394" s="206"/>
      <c r="O394" s="166"/>
    </row>
    <row r="395" spans="2:15" ht="13" x14ac:dyDescent="0.25">
      <c r="B395" s="1075">
        <v>2017</v>
      </c>
      <c r="C395" s="1076"/>
      <c r="D395" s="1076"/>
      <c r="E395" s="1077"/>
      <c r="F395" s="275"/>
      <c r="G395" s="521">
        <f>+M387</f>
        <v>0</v>
      </c>
      <c r="H395" s="521">
        <f>-G395*0.5</f>
        <v>0</v>
      </c>
      <c r="I395" s="521">
        <f>+G395+H395</f>
        <v>0</v>
      </c>
      <c r="J395" s="206"/>
      <c r="O395" s="166"/>
    </row>
    <row r="396" spans="2:15" ht="13" x14ac:dyDescent="0.25">
      <c r="B396" s="1075">
        <v>2018</v>
      </c>
      <c r="C396" s="1076"/>
      <c r="D396" s="1076"/>
      <c r="E396" s="1077"/>
      <c r="F396" s="275"/>
      <c r="G396" s="521">
        <f t="shared" ref="G396:G397" si="52">+M388</f>
        <v>0</v>
      </c>
      <c r="H396" s="521">
        <f t="shared" ref="H396:H398" si="53">-G396*0.5</f>
        <v>0</v>
      </c>
      <c r="I396" s="521">
        <f t="shared" ref="I396:I398" si="54">+G396+H396</f>
        <v>0</v>
      </c>
      <c r="J396" s="206"/>
      <c r="O396" s="166"/>
    </row>
    <row r="397" spans="2:15" ht="13" x14ac:dyDescent="0.25">
      <c r="B397" s="1075">
        <v>2019</v>
      </c>
      <c r="C397" s="1076"/>
      <c r="D397" s="1076">
        <v>2016</v>
      </c>
      <c r="E397" s="1077"/>
      <c r="F397" s="275"/>
      <c r="G397" s="521">
        <f t="shared" si="52"/>
        <v>0</v>
      </c>
      <c r="H397" s="521">
        <f t="shared" si="53"/>
        <v>0</v>
      </c>
      <c r="I397" s="521">
        <f t="shared" si="54"/>
        <v>0</v>
      </c>
      <c r="J397" s="206"/>
      <c r="O397" s="166"/>
    </row>
    <row r="398" spans="2:15" ht="13" x14ac:dyDescent="0.25">
      <c r="B398" s="1075">
        <v>2020</v>
      </c>
      <c r="C398" s="1076"/>
      <c r="D398" s="1076"/>
      <c r="E398" s="1077"/>
      <c r="F398" s="275"/>
      <c r="G398" s="521">
        <f>J152</f>
        <v>0</v>
      </c>
      <c r="H398" s="521">
        <f t="shared" si="53"/>
        <v>0</v>
      </c>
      <c r="I398" s="521">
        <f t="shared" si="54"/>
        <v>0</v>
      </c>
      <c r="J398" s="206"/>
      <c r="O398" s="166"/>
    </row>
    <row r="399" spans="2:15" s="273" customFormat="1" ht="13" x14ac:dyDescent="0.25">
      <c r="G399" s="168">
        <f>SUM(G395:G398)</f>
        <v>0</v>
      </c>
      <c r="H399" s="168">
        <f>SUM(H395:H398)</f>
        <v>0</v>
      </c>
      <c r="I399" s="168">
        <f>SUM(I395:I398)</f>
        <v>0</v>
      </c>
    </row>
    <row r="400" spans="2:15" x14ac:dyDescent="0.25">
      <c r="G400" s="214"/>
      <c r="H400" s="214"/>
      <c r="I400" s="214"/>
      <c r="O400" s="166"/>
    </row>
    <row r="401" spans="2:15" ht="13" x14ac:dyDescent="0.25">
      <c r="B401" s="273" t="s">
        <v>139</v>
      </c>
      <c r="F401" s="810">
        <v>2022</v>
      </c>
      <c r="O401" s="166"/>
    </row>
    <row r="402" spans="2:15" x14ac:dyDescent="0.25">
      <c r="O402" s="166"/>
    </row>
    <row r="403" spans="2:15" ht="78" customHeight="1" x14ac:dyDescent="0.25">
      <c r="B403" s="1078" t="s">
        <v>140</v>
      </c>
      <c r="C403" s="1079"/>
      <c r="D403" s="1079"/>
      <c r="E403" s="1080"/>
      <c r="F403" s="274"/>
      <c r="G403" s="165" t="str">
        <f>"Nog af te bouwen regulatoir saldo einde "&amp;F401-1</f>
        <v>Nog af te bouwen regulatoir saldo einde 2021</v>
      </c>
      <c r="H403" s="165" t="str">
        <f>"50% van het oorspronkelijk regulatoir saldo door te rekenen volgens de tariefmethodologie in het boekjaar "&amp;F401</f>
        <v>50% van het oorspronkelijk regulatoir saldo door te rekenen volgens de tariefmethodologie in het boekjaar 2022</v>
      </c>
      <c r="I403" s="165" t="str">
        <f>"Nog af te bouwen regulatoir saldo einde "&amp;F401</f>
        <v>Nog af te bouwen regulatoir saldo einde 2022</v>
      </c>
      <c r="J403" s="206"/>
      <c r="O403" s="166"/>
    </row>
    <row r="404" spans="2:15" ht="13" x14ac:dyDescent="0.25">
      <c r="B404" s="1075">
        <v>2017</v>
      </c>
      <c r="C404" s="1076"/>
      <c r="D404" s="1076">
        <v>2016</v>
      </c>
      <c r="E404" s="1077"/>
      <c r="F404" s="275"/>
      <c r="G404" s="521">
        <f>+I395</f>
        <v>0</v>
      </c>
      <c r="H404" s="521">
        <f>-G395*0.5</f>
        <v>0</v>
      </c>
      <c r="I404" s="521">
        <f t="shared" ref="I404:I407" si="55">+G404+H404</f>
        <v>0</v>
      </c>
      <c r="J404" s="206"/>
      <c r="O404" s="166"/>
    </row>
    <row r="405" spans="2:15" ht="13" x14ac:dyDescent="0.25">
      <c r="B405" s="1075">
        <v>2018</v>
      </c>
      <c r="C405" s="1076"/>
      <c r="D405" s="1076"/>
      <c r="E405" s="1077"/>
      <c r="F405" s="275"/>
      <c r="G405" s="521">
        <f t="shared" ref="G405:G407" si="56">+I396</f>
        <v>0</v>
      </c>
      <c r="H405" s="521">
        <f t="shared" ref="H405:H407" si="57">-G396*0.5</f>
        <v>0</v>
      </c>
      <c r="I405" s="521">
        <f t="shared" si="55"/>
        <v>0</v>
      </c>
      <c r="J405" s="206"/>
      <c r="O405" s="166"/>
    </row>
    <row r="406" spans="2:15" ht="13" x14ac:dyDescent="0.25">
      <c r="B406" s="1075">
        <v>2019</v>
      </c>
      <c r="C406" s="1076"/>
      <c r="D406" s="1076"/>
      <c r="E406" s="1077"/>
      <c r="F406" s="275"/>
      <c r="G406" s="521">
        <f t="shared" si="56"/>
        <v>0</v>
      </c>
      <c r="H406" s="521">
        <f t="shared" si="57"/>
        <v>0</v>
      </c>
      <c r="I406" s="521">
        <f t="shared" si="55"/>
        <v>0</v>
      </c>
      <c r="J406" s="206"/>
      <c r="O406" s="166"/>
    </row>
    <row r="407" spans="2:15" ht="13" x14ac:dyDescent="0.25">
      <c r="B407" s="1075">
        <v>2020</v>
      </c>
      <c r="C407" s="1076"/>
      <c r="D407" s="1076"/>
      <c r="E407" s="1077"/>
      <c r="F407" s="275"/>
      <c r="G407" s="521">
        <f t="shared" si="56"/>
        <v>0</v>
      </c>
      <c r="H407" s="521">
        <f t="shared" si="57"/>
        <v>0</v>
      </c>
      <c r="I407" s="521">
        <f t="shared" si="55"/>
        <v>0</v>
      </c>
      <c r="J407" s="206"/>
      <c r="O407" s="166"/>
    </row>
    <row r="408" spans="2:15" s="273" customFormat="1" ht="13" x14ac:dyDescent="0.25">
      <c r="G408" s="168">
        <f>SUM(G404:G407)</f>
        <v>0</v>
      </c>
      <c r="H408" s="168">
        <f>SUM(H404:H407)</f>
        <v>0</v>
      </c>
      <c r="I408" s="168">
        <f>SUM(I404:I407)</f>
        <v>0</v>
      </c>
    </row>
    <row r="409" spans="2:15" ht="13" x14ac:dyDescent="0.25">
      <c r="B409" s="273" t="s">
        <v>350</v>
      </c>
      <c r="C409" s="216"/>
      <c r="D409" s="216"/>
      <c r="E409" s="216"/>
      <c r="O409" s="166"/>
    </row>
    <row r="410" spans="2:15" ht="13" x14ac:dyDescent="0.25">
      <c r="B410" s="273" t="s">
        <v>141</v>
      </c>
      <c r="C410" s="216"/>
      <c r="D410" s="216"/>
      <c r="E410" s="216"/>
      <c r="O410" s="166"/>
    </row>
    <row r="411" spans="2:15" ht="13" x14ac:dyDescent="0.25">
      <c r="B411" s="273"/>
      <c r="C411" s="216"/>
      <c r="D411" s="216"/>
      <c r="E411" s="216"/>
      <c r="O411" s="166"/>
    </row>
    <row r="412" spans="2:15" ht="13" x14ac:dyDescent="0.25">
      <c r="B412" s="275">
        <f>F392</f>
        <v>2021</v>
      </c>
      <c r="C412" s="279">
        <f>+H399</f>
        <v>0</v>
      </c>
      <c r="D412" s="216"/>
      <c r="E412" s="216"/>
      <c r="O412" s="166"/>
    </row>
    <row r="413" spans="2:15" ht="13" x14ac:dyDescent="0.25">
      <c r="B413" s="275">
        <v>2022</v>
      </c>
      <c r="C413" s="279">
        <f>+H408</f>
        <v>0</v>
      </c>
      <c r="D413" s="216"/>
      <c r="E413" s="216"/>
      <c r="O413" s="166"/>
    </row>
    <row r="414" spans="2:15" ht="13" x14ac:dyDescent="0.25">
      <c r="B414" s="336">
        <v>2023</v>
      </c>
      <c r="C414" s="337">
        <v>0</v>
      </c>
      <c r="D414" s="216"/>
      <c r="E414" s="216"/>
      <c r="O414" s="166"/>
    </row>
    <row r="415" spans="2:15" ht="13" x14ac:dyDescent="0.25">
      <c r="B415" s="336">
        <v>2024</v>
      </c>
      <c r="C415" s="337">
        <v>0</v>
      </c>
      <c r="D415" s="216"/>
      <c r="E415" s="216"/>
      <c r="O415" s="166"/>
    </row>
    <row r="416" spans="2:15" x14ac:dyDescent="0.25">
      <c r="O416" s="166"/>
    </row>
    <row r="417" spans="2:16" x14ac:dyDescent="0.25">
      <c r="O417" s="166"/>
    </row>
    <row r="418" spans="2:16" ht="13" x14ac:dyDescent="0.25">
      <c r="B418" s="321" t="s">
        <v>169</v>
      </c>
      <c r="C418" s="322"/>
      <c r="D418" s="322"/>
      <c r="E418" s="322"/>
      <c r="F418" s="323"/>
      <c r="G418" s="323"/>
      <c r="H418" s="323"/>
      <c r="I418" s="323"/>
      <c r="J418" s="323"/>
      <c r="K418" s="323"/>
      <c r="L418" s="323"/>
      <c r="M418" s="323"/>
      <c r="N418" s="323"/>
      <c r="O418" s="324"/>
      <c r="P418" s="323"/>
    </row>
    <row r="419" spans="2:16" x14ac:dyDescent="0.25">
      <c r="O419" s="206"/>
    </row>
    <row r="420" spans="2:16" ht="13" x14ac:dyDescent="0.25">
      <c r="B420" s="273" t="s">
        <v>139</v>
      </c>
      <c r="F420" s="810">
        <v>2018</v>
      </c>
      <c r="O420" s="206"/>
    </row>
    <row r="421" spans="2:16" x14ac:dyDescent="0.25">
      <c r="O421" s="166"/>
    </row>
    <row r="422" spans="2:16" ht="102" customHeight="1" x14ac:dyDescent="0.25">
      <c r="B422" s="1078" t="s">
        <v>140</v>
      </c>
      <c r="C422" s="1079"/>
      <c r="D422" s="1079"/>
      <c r="E422" s="1080"/>
      <c r="F422" s="274"/>
      <c r="G422" s="165" t="str">
        <f>"Nog af te bouwen regulatoir saldo einde "&amp;F420-1</f>
        <v>Nog af te bouwen regulatoir saldo einde 2017</v>
      </c>
      <c r="H422" s="165" t="str">
        <f>"Afbouw oudste openstaande regulatoir saldo vanaf boekjaar "&amp;F420-2&amp;" en vroeger, door aanwending van compensatie met regulatoir saldo ontstaan over boekjaar "&amp;F420-1</f>
        <v>Afbouw oudste openstaande regulatoir saldo vanaf boekjaar 2016 en vroeger, door aanwending van compensatie met regulatoir saldo ontstaan over boekjaar 2017</v>
      </c>
      <c r="I422" s="165" t="str">
        <f>"Nog af te bouwen regulatoir saldo na compensatie einde "&amp;F420-1</f>
        <v>Nog af te bouwen regulatoir saldo na compensatie einde 2017</v>
      </c>
      <c r="J422" s="165" t="str">
        <f>"Aanwending van 50% van het geaccumuleerd regulatoir saldo door te rekenen volgens de tariefmethodologie in het boekjaar "&amp;F420</f>
        <v>Aanwending van 50% van het geaccumuleerd regulatoir saldo door te rekenen volgens de tariefmethodologie in het boekjaar 2018</v>
      </c>
      <c r="K422" s="165" t="str">
        <f>"Nog af te bouwen regulatoir saldo einde "&amp;F420</f>
        <v>Nog af te bouwen regulatoir saldo einde 2018</v>
      </c>
      <c r="L422" s="220"/>
      <c r="M422" s="220"/>
      <c r="N422" s="220"/>
      <c r="O422" s="166"/>
    </row>
    <row r="423" spans="2:16" ht="13" x14ac:dyDescent="0.25">
      <c r="B423" s="1075">
        <v>2017</v>
      </c>
      <c r="C423" s="1076"/>
      <c r="D423" s="1076"/>
      <c r="E423" s="1077"/>
      <c r="F423" s="275"/>
      <c r="G423" s="521">
        <f>+G158</f>
        <v>0</v>
      </c>
      <c r="H423" s="521">
        <v>0</v>
      </c>
      <c r="I423" s="521">
        <f>+G423+H423</f>
        <v>0</v>
      </c>
      <c r="J423" s="821">
        <f>-I423*0.5</f>
        <v>0</v>
      </c>
      <c r="K423" s="851">
        <f>+J423+G423</f>
        <v>0</v>
      </c>
      <c r="L423" s="812"/>
      <c r="M423" s="812"/>
      <c r="N423" s="812"/>
      <c r="O423" s="166"/>
    </row>
    <row r="424" spans="2:16" x14ac:dyDescent="0.25">
      <c r="O424" s="166"/>
    </row>
    <row r="425" spans="2:16" ht="13" x14ac:dyDescent="0.25">
      <c r="B425" s="273" t="s">
        <v>139</v>
      </c>
      <c r="F425" s="810">
        <v>2019</v>
      </c>
      <c r="O425" s="206"/>
    </row>
    <row r="426" spans="2:16" x14ac:dyDescent="0.25">
      <c r="O426" s="206"/>
    </row>
    <row r="427" spans="2:16" ht="102" customHeight="1" x14ac:dyDescent="0.25">
      <c r="B427" s="1078" t="s">
        <v>140</v>
      </c>
      <c r="C427" s="1079"/>
      <c r="D427" s="1079"/>
      <c r="E427" s="1080"/>
      <c r="F427" s="274"/>
      <c r="G427" s="165" t="str">
        <f>"Nog af te bouwen regulatoir saldo einde "&amp;F425-1</f>
        <v>Nog af te bouwen regulatoir saldo einde 2018</v>
      </c>
      <c r="H427" s="165" t="str">
        <f>"Afbouw oudste openstaande regulatoir saldo vanaf boekjaar "&amp;F425-2&amp;" en vroeger, door aanwending van compensatie met regulatoir saldo ontstaan over boekjaar "&amp;F425-1</f>
        <v>Afbouw oudste openstaande regulatoir saldo vanaf boekjaar 2017 en vroeger, door aanwending van compensatie met regulatoir saldo ontstaan over boekjaar 2018</v>
      </c>
      <c r="I427" s="165" t="str">
        <f>"Nog af te bouwen regulatoir saldo na compensatie einde "&amp;F425-1</f>
        <v>Nog af te bouwen regulatoir saldo na compensatie einde 2018</v>
      </c>
      <c r="J427" s="213" t="str">
        <f>"Aanwending van 50% van het geaccumuleerd regulatoir saldo door te rekenen volgens de tariefmethodologie in het boekjaar "&amp;F425</f>
        <v>Aanwending van 50% van het geaccumuleerd regulatoir saldo door te rekenen volgens de tariefmethodologie in het boekjaar 2019</v>
      </c>
      <c r="K427" s="213" t="str">
        <f>"Aanwending van 50% van het geaccumuleerd regulatoir saldo door te rekenen volgens de tariefmethodologie in het boekjaar "&amp;F425</f>
        <v>Aanwending van 50% van het geaccumuleerd regulatoir saldo door te rekenen volgens de tariefmethodologie in het boekjaar 2019</v>
      </c>
      <c r="L427" s="165" t="str">
        <f>"Totale afbouw over "&amp;F425</f>
        <v>Totale afbouw over 2019</v>
      </c>
      <c r="M427" s="165" t="str">
        <f>"Nog af te bouwen regulatoir saldo einde "&amp;F425</f>
        <v>Nog af te bouwen regulatoir saldo einde 2019</v>
      </c>
      <c r="N427" s="206"/>
      <c r="O427" s="166"/>
    </row>
    <row r="428" spans="2:16" ht="13" x14ac:dyDescent="0.25">
      <c r="B428" s="1075">
        <v>2017</v>
      </c>
      <c r="C428" s="1076"/>
      <c r="D428" s="1076"/>
      <c r="E428" s="1077"/>
      <c r="F428" s="275"/>
      <c r="G428" s="521">
        <f>K423</f>
        <v>0</v>
      </c>
      <c r="H428" s="521">
        <f>IF(SIGN(G429*K423)&lt;0,IF(G428&lt;&gt;0,-SIGN(G428)*MIN(ABS(G429),ABS(G428)),0),0)</f>
        <v>0</v>
      </c>
      <c r="I428" s="521">
        <f>+G428+H428</f>
        <v>0</v>
      </c>
      <c r="J428" s="852"/>
      <c r="K428" s="821">
        <f>-MIN(ABS(I428),ABS(J430))*SIGN(I428)</f>
        <v>0</v>
      </c>
      <c r="L428" s="813">
        <f>+K428+H428</f>
        <v>0</v>
      </c>
      <c r="M428" s="521">
        <f>+I428+K428</f>
        <v>0</v>
      </c>
      <c r="N428" s="206"/>
      <c r="O428" s="166"/>
    </row>
    <row r="429" spans="2:16" ht="13" x14ac:dyDescent="0.25">
      <c r="B429" s="1075">
        <v>2018</v>
      </c>
      <c r="C429" s="1076"/>
      <c r="D429" s="1076"/>
      <c r="E429" s="1077"/>
      <c r="F429" s="275"/>
      <c r="G429" s="521">
        <f>+H159</f>
        <v>0</v>
      </c>
      <c r="H429" s="813">
        <f>IF(SIGN(G429*K423)&lt;0,-H428,0)</f>
        <v>0</v>
      </c>
      <c r="I429" s="521">
        <f>+G429+H429</f>
        <v>0</v>
      </c>
      <c r="J429" s="852"/>
      <c r="K429" s="821">
        <f>-MIN(ABS(I429),ABS(J430-K428))*SIGN(I429)</f>
        <v>0</v>
      </c>
      <c r="L429" s="813">
        <f>+K429+H429</f>
        <v>0</v>
      </c>
      <c r="M429" s="521">
        <f>+I429+K429</f>
        <v>0</v>
      </c>
      <c r="N429" s="206"/>
      <c r="O429" s="166"/>
    </row>
    <row r="430" spans="2:16" s="273" customFormat="1" ht="13" x14ac:dyDescent="0.3">
      <c r="G430" s="168">
        <f>SUM(G428:G429)</f>
        <v>0</v>
      </c>
      <c r="H430" s="168">
        <f>SUM(H428:H429)</f>
        <v>0</v>
      </c>
      <c r="I430" s="168">
        <f>SUM(I428:I429)</f>
        <v>0</v>
      </c>
      <c r="J430" s="286">
        <f>-I430*0.5</f>
        <v>0</v>
      </c>
      <c r="K430" s="286">
        <f>SUM(K428:K429)</f>
        <v>0</v>
      </c>
      <c r="L430" s="528"/>
      <c r="M430" s="168">
        <f>SUM(M428:M429)</f>
        <v>0</v>
      </c>
    </row>
    <row r="431" spans="2:16" x14ac:dyDescent="0.25">
      <c r="O431" s="166"/>
    </row>
    <row r="432" spans="2:16" ht="13" x14ac:dyDescent="0.25">
      <c r="B432" s="273" t="s">
        <v>139</v>
      </c>
      <c r="F432" s="810">
        <v>2020</v>
      </c>
      <c r="O432" s="166"/>
    </row>
    <row r="433" spans="2:15" x14ac:dyDescent="0.25">
      <c r="O433" s="166"/>
    </row>
    <row r="434" spans="2:15" ht="102" customHeight="1" x14ac:dyDescent="0.25">
      <c r="B434" s="1078" t="s">
        <v>140</v>
      </c>
      <c r="C434" s="1079"/>
      <c r="D434" s="1079"/>
      <c r="E434" s="1080"/>
      <c r="F434" s="274"/>
      <c r="G434" s="165" t="str">
        <f>"Nog af te bouwen regulatoir saldo einde "&amp;F432-1</f>
        <v>Nog af te bouwen regulatoir saldo einde 2019</v>
      </c>
      <c r="H434" s="165" t="str">
        <f>"Afbouw oudste openstaande regulatoir saldo vanaf boekjaar "&amp;F432-2&amp;" en vroeger, door aanwending van compensatie met regulatoir saldo ontstaan over boekjaar "&amp;F432-1</f>
        <v>Afbouw oudste openstaande regulatoir saldo vanaf boekjaar 2018 en vroeger, door aanwending van compensatie met regulatoir saldo ontstaan over boekjaar 2019</v>
      </c>
      <c r="I434" s="165" t="str">
        <f>"Nog af te bouwen regulatoir saldo na compensatie einde "&amp;F432-1</f>
        <v>Nog af te bouwen regulatoir saldo na compensatie einde 2019</v>
      </c>
      <c r="J434" s="213" t="str">
        <f>"Aanwending van 50% van het geaccumuleerd regulatoir saldo door te rekenen volgens de tariefmethodologie in het boekjaar "&amp;F432</f>
        <v>Aanwending van 50% van het geaccumuleerd regulatoir saldo door te rekenen volgens de tariefmethodologie in het boekjaar 2020</v>
      </c>
      <c r="K434" s="213" t="str">
        <f>"Aanwending van 50% van het geaccumuleerd regulatoir saldo door te rekenen volgens de tariefmethodologie in het boekjaar "&amp;F432</f>
        <v>Aanwending van 50% van het geaccumuleerd regulatoir saldo door te rekenen volgens de tariefmethodologie in het boekjaar 2020</v>
      </c>
      <c r="L434" s="165" t="str">
        <f>"Totale afbouw over "&amp;F432</f>
        <v>Totale afbouw over 2020</v>
      </c>
      <c r="M434" s="165" t="str">
        <f>"Nog af te bouwen regulatoir saldo einde "&amp;F432</f>
        <v>Nog af te bouwen regulatoir saldo einde 2020</v>
      </c>
      <c r="N434" s="206"/>
      <c r="O434" s="166"/>
    </row>
    <row r="435" spans="2:15" ht="13" x14ac:dyDescent="0.25">
      <c r="B435" s="1075">
        <v>2017</v>
      </c>
      <c r="C435" s="1076"/>
      <c r="D435" s="1076"/>
      <c r="E435" s="1077"/>
      <c r="F435" s="275"/>
      <c r="G435" s="521">
        <f>+M428</f>
        <v>0</v>
      </c>
      <c r="H435" s="813">
        <f>IF(SIGN(G437*M430)&lt;0,IF(G435&lt;&gt;0,-SIGN(G435)*MIN(ABS(G437),ABS(G435)),0),0)</f>
        <v>0</v>
      </c>
      <c r="I435" s="521">
        <f>+G435+H435</f>
        <v>0</v>
      </c>
      <c r="J435" s="852"/>
      <c r="K435" s="821">
        <f>-MIN(ABS(I435),ABS(J438))*SIGN(I435)</f>
        <v>0</v>
      </c>
      <c r="L435" s="813">
        <f>+K435+H435</f>
        <v>0</v>
      </c>
      <c r="M435" s="521">
        <f>+I435+K435</f>
        <v>0</v>
      </c>
      <c r="N435" s="206"/>
      <c r="O435" s="166"/>
    </row>
    <row r="436" spans="2:15" ht="13" x14ac:dyDescent="0.25">
      <c r="B436" s="1075">
        <v>2018</v>
      </c>
      <c r="C436" s="1076"/>
      <c r="D436" s="1076">
        <v>2016</v>
      </c>
      <c r="E436" s="1077"/>
      <c r="F436" s="275"/>
      <c r="G436" s="521">
        <f>+M429</f>
        <v>0</v>
      </c>
      <c r="H436" s="813">
        <f>IF(SIGN(G437*M430)&lt;0,IF(G436&lt;&gt;0,-SIGN(G436)*MIN(ABS(G437-H435),ABS(G436)),0),0)</f>
        <v>0</v>
      </c>
      <c r="I436" s="521">
        <f>+G436+H436</f>
        <v>0</v>
      </c>
      <c r="J436" s="852"/>
      <c r="K436" s="821">
        <f>-MIN(ABS(I436),ABS(J438-K435))*SIGN(I436)</f>
        <v>0</v>
      </c>
      <c r="L436" s="813">
        <f>+K436+H436</f>
        <v>0</v>
      </c>
      <c r="M436" s="521">
        <f>+I436+K436</f>
        <v>0</v>
      </c>
      <c r="N436" s="206"/>
      <c r="O436" s="166"/>
    </row>
    <row r="437" spans="2:15" ht="13" x14ac:dyDescent="0.25">
      <c r="B437" s="1075">
        <v>2019</v>
      </c>
      <c r="C437" s="1076"/>
      <c r="D437" s="1076"/>
      <c r="E437" s="1077"/>
      <c r="F437" s="275"/>
      <c r="G437" s="521">
        <f>I160</f>
        <v>0</v>
      </c>
      <c r="H437" s="813">
        <f>IF(SIGN(G437*M430)&lt;0,-SUM(H435:H436),0)</f>
        <v>0</v>
      </c>
      <c r="I437" s="521">
        <f>+G437+H437</f>
        <v>0</v>
      </c>
      <c r="J437" s="852"/>
      <c r="K437" s="821">
        <f>-MIN(ABS(I437),ABS(J438-K435-K436))*SIGN(I437)</f>
        <v>0</v>
      </c>
      <c r="L437" s="813">
        <f>+K437+H437</f>
        <v>0</v>
      </c>
      <c r="M437" s="521">
        <f>+I437+K437</f>
        <v>0</v>
      </c>
      <c r="N437" s="206"/>
      <c r="O437" s="166"/>
    </row>
    <row r="438" spans="2:15" s="273" customFormat="1" ht="13" x14ac:dyDescent="0.3">
      <c r="G438" s="168">
        <f>SUM(G435:G437)</f>
        <v>0</v>
      </c>
      <c r="H438" s="168">
        <f>SUM(H435:H437)</f>
        <v>0</v>
      </c>
      <c r="I438" s="168">
        <f>SUM(I435:I437)</f>
        <v>0</v>
      </c>
      <c r="J438" s="286">
        <f>-I438*0.5</f>
        <v>0</v>
      </c>
      <c r="K438" s="286">
        <f>SUM(K435:K437)</f>
        <v>0</v>
      </c>
      <c r="L438" s="528"/>
      <c r="M438" s="168">
        <f>SUM(M435:M437)</f>
        <v>0</v>
      </c>
    </row>
    <row r="439" spans="2:15" x14ac:dyDescent="0.25">
      <c r="O439" s="166"/>
    </row>
    <row r="440" spans="2:15" ht="13" x14ac:dyDescent="0.25">
      <c r="B440" s="273" t="s">
        <v>139</v>
      </c>
      <c r="F440" s="810">
        <v>2021</v>
      </c>
      <c r="O440" s="166"/>
    </row>
    <row r="441" spans="2:15" x14ac:dyDescent="0.25">
      <c r="O441" s="166"/>
    </row>
    <row r="442" spans="2:15" ht="78" customHeight="1" x14ac:dyDescent="0.25">
      <c r="B442" s="1078" t="s">
        <v>140</v>
      </c>
      <c r="C442" s="1079"/>
      <c r="D442" s="1079"/>
      <c r="E442" s="1080"/>
      <c r="F442" s="274"/>
      <c r="G442" s="165" t="str">
        <f>"Nog af te bouwen regulatoir saldo einde "&amp;F440-1</f>
        <v>Nog af te bouwen regulatoir saldo einde 2020</v>
      </c>
      <c r="H442" s="165" t="str">
        <f>"50% van het oorspronkelijk regulatoir saldo door te rekenen volgens de tariefmethodologie in het boekjaar "&amp;F440</f>
        <v>50% van het oorspronkelijk regulatoir saldo door te rekenen volgens de tariefmethodologie in het boekjaar 2021</v>
      </c>
      <c r="I442" s="165" t="str">
        <f>"Nog af te bouwen regulatoir saldo einde "&amp;F440</f>
        <v>Nog af te bouwen regulatoir saldo einde 2021</v>
      </c>
      <c r="J442" s="206"/>
      <c r="O442" s="166"/>
    </row>
    <row r="443" spans="2:15" ht="13" x14ac:dyDescent="0.25">
      <c r="B443" s="1075">
        <v>2017</v>
      </c>
      <c r="C443" s="1076"/>
      <c r="D443" s="1076"/>
      <c r="E443" s="1077"/>
      <c r="F443" s="275"/>
      <c r="G443" s="521">
        <f>+M435</f>
        <v>0</v>
      </c>
      <c r="H443" s="521">
        <f>-G443*0.5</f>
        <v>0</v>
      </c>
      <c r="I443" s="521">
        <f>+G443+H443</f>
        <v>0</v>
      </c>
      <c r="J443" s="206"/>
      <c r="O443" s="166"/>
    </row>
    <row r="444" spans="2:15" ht="13" x14ac:dyDescent="0.25">
      <c r="B444" s="1075">
        <v>2018</v>
      </c>
      <c r="C444" s="1076"/>
      <c r="D444" s="1076"/>
      <c r="E444" s="1077"/>
      <c r="F444" s="275"/>
      <c r="G444" s="521">
        <f t="shared" ref="G444:G445" si="58">+M436</f>
        <v>0</v>
      </c>
      <c r="H444" s="521">
        <f t="shared" ref="H444:H446" si="59">-G444*0.5</f>
        <v>0</v>
      </c>
      <c r="I444" s="521">
        <f t="shared" ref="I444:I446" si="60">+G444+H444</f>
        <v>0</v>
      </c>
      <c r="J444" s="206"/>
      <c r="O444" s="166"/>
    </row>
    <row r="445" spans="2:15" ht="13" x14ac:dyDescent="0.25">
      <c r="B445" s="1075">
        <v>2019</v>
      </c>
      <c r="C445" s="1076"/>
      <c r="D445" s="1076">
        <v>2016</v>
      </c>
      <c r="E445" s="1077"/>
      <c r="F445" s="275"/>
      <c r="G445" s="521">
        <f t="shared" si="58"/>
        <v>0</v>
      </c>
      <c r="H445" s="521">
        <f t="shared" si="59"/>
        <v>0</v>
      </c>
      <c r="I445" s="521">
        <f t="shared" si="60"/>
        <v>0</v>
      </c>
      <c r="J445" s="206"/>
      <c r="O445" s="166"/>
    </row>
    <row r="446" spans="2:15" ht="13" x14ac:dyDescent="0.25">
      <c r="B446" s="1075">
        <v>2020</v>
      </c>
      <c r="C446" s="1076"/>
      <c r="D446" s="1076"/>
      <c r="E446" s="1077"/>
      <c r="F446" s="275"/>
      <c r="G446" s="521">
        <f>J161</f>
        <v>0</v>
      </c>
      <c r="H446" s="521">
        <f t="shared" si="59"/>
        <v>0</v>
      </c>
      <c r="I446" s="521">
        <f t="shared" si="60"/>
        <v>0</v>
      </c>
      <c r="J446" s="206"/>
      <c r="O446" s="166"/>
    </row>
    <row r="447" spans="2:15" s="273" customFormat="1" ht="13" x14ac:dyDescent="0.25">
      <c r="G447" s="168">
        <f>SUM(G443:G446)</f>
        <v>0</v>
      </c>
      <c r="H447" s="168">
        <f>SUM(H443:H446)</f>
        <v>0</v>
      </c>
      <c r="I447" s="168">
        <f>SUM(I443:I446)</f>
        <v>0</v>
      </c>
    </row>
    <row r="448" spans="2:15" x14ac:dyDescent="0.25">
      <c r="G448" s="214"/>
      <c r="H448" s="214"/>
      <c r="I448" s="214"/>
      <c r="O448" s="166"/>
    </row>
    <row r="449" spans="2:15" ht="13" x14ac:dyDescent="0.25">
      <c r="B449" s="273" t="s">
        <v>139</v>
      </c>
      <c r="F449" s="810">
        <v>2022</v>
      </c>
      <c r="O449" s="166"/>
    </row>
    <row r="450" spans="2:15" x14ac:dyDescent="0.25">
      <c r="O450" s="166"/>
    </row>
    <row r="451" spans="2:15" ht="78" customHeight="1" x14ac:dyDescent="0.25">
      <c r="B451" s="1078" t="s">
        <v>140</v>
      </c>
      <c r="C451" s="1079"/>
      <c r="D451" s="1079"/>
      <c r="E451" s="1080"/>
      <c r="F451" s="274"/>
      <c r="G451" s="165" t="str">
        <f>"Nog af te bouwen regulatoir saldo einde "&amp;F449-1</f>
        <v>Nog af te bouwen regulatoir saldo einde 2021</v>
      </c>
      <c r="H451" s="165" t="str">
        <f>"50% van het oorspronkelijk regulatoir saldo door te rekenen volgens de tariefmethodologie in het boekjaar "&amp;F449</f>
        <v>50% van het oorspronkelijk regulatoir saldo door te rekenen volgens de tariefmethodologie in het boekjaar 2022</v>
      </c>
      <c r="I451" s="165" t="str">
        <f>"Nog af te bouwen regulatoir saldo einde "&amp;F449</f>
        <v>Nog af te bouwen regulatoir saldo einde 2022</v>
      </c>
      <c r="J451" s="206"/>
      <c r="O451" s="166"/>
    </row>
    <row r="452" spans="2:15" ht="13" x14ac:dyDescent="0.25">
      <c r="B452" s="1075">
        <v>2017</v>
      </c>
      <c r="C452" s="1076"/>
      <c r="D452" s="1076">
        <v>2016</v>
      </c>
      <c r="E452" s="1077"/>
      <c r="F452" s="275"/>
      <c r="G452" s="521">
        <f>+I443</f>
        <v>0</v>
      </c>
      <c r="H452" s="521">
        <f>-G443*0.5</f>
        <v>0</v>
      </c>
      <c r="I452" s="521">
        <f t="shared" ref="I452:I455" si="61">+G452+H452</f>
        <v>0</v>
      </c>
      <c r="J452" s="206"/>
      <c r="O452" s="166"/>
    </row>
    <row r="453" spans="2:15" ht="13" x14ac:dyDescent="0.25">
      <c r="B453" s="1075">
        <v>2018</v>
      </c>
      <c r="C453" s="1076"/>
      <c r="D453" s="1076"/>
      <c r="E453" s="1077"/>
      <c r="F453" s="275"/>
      <c r="G453" s="521">
        <f t="shared" ref="G453:G455" si="62">+I444</f>
        <v>0</v>
      </c>
      <c r="H453" s="521">
        <f t="shared" ref="H453:H455" si="63">-G444*0.5</f>
        <v>0</v>
      </c>
      <c r="I453" s="521">
        <f t="shared" si="61"/>
        <v>0</v>
      </c>
      <c r="J453" s="206"/>
      <c r="O453" s="166"/>
    </row>
    <row r="454" spans="2:15" ht="13" x14ac:dyDescent="0.25">
      <c r="B454" s="1075">
        <v>2019</v>
      </c>
      <c r="C454" s="1076"/>
      <c r="D454" s="1076"/>
      <c r="E454" s="1077"/>
      <c r="F454" s="275"/>
      <c r="G454" s="521">
        <f t="shared" si="62"/>
        <v>0</v>
      </c>
      <c r="H454" s="521">
        <f t="shared" si="63"/>
        <v>0</v>
      </c>
      <c r="I454" s="521">
        <f t="shared" si="61"/>
        <v>0</v>
      </c>
      <c r="J454" s="206"/>
      <c r="O454" s="166"/>
    </row>
    <row r="455" spans="2:15" ht="13" x14ac:dyDescent="0.25">
      <c r="B455" s="1075">
        <v>2020</v>
      </c>
      <c r="C455" s="1076"/>
      <c r="D455" s="1076"/>
      <c r="E455" s="1077"/>
      <c r="F455" s="275"/>
      <c r="G455" s="521">
        <f t="shared" si="62"/>
        <v>0</v>
      </c>
      <c r="H455" s="521">
        <f t="shared" si="63"/>
        <v>0</v>
      </c>
      <c r="I455" s="521">
        <f t="shared" si="61"/>
        <v>0</v>
      </c>
      <c r="J455" s="206"/>
      <c r="O455" s="166"/>
    </row>
    <row r="456" spans="2:15" s="273" customFormat="1" ht="13" x14ac:dyDescent="0.25">
      <c r="G456" s="168">
        <f>SUM(G452:G455)</f>
        <v>0</v>
      </c>
      <c r="H456" s="168">
        <f>SUM(H452:H455)</f>
        <v>0</v>
      </c>
      <c r="I456" s="168">
        <f>SUM(I452:I455)</f>
        <v>0</v>
      </c>
    </row>
    <row r="457" spans="2:15" ht="13" x14ac:dyDescent="0.25">
      <c r="B457" s="273" t="s">
        <v>169</v>
      </c>
      <c r="O457" s="166"/>
    </row>
    <row r="458" spans="2:15" ht="13" x14ac:dyDescent="0.25">
      <c r="B458" s="273" t="s">
        <v>141</v>
      </c>
      <c r="C458" s="216"/>
      <c r="D458" s="216"/>
      <c r="E458" s="216"/>
      <c r="O458" s="166"/>
    </row>
    <row r="459" spans="2:15" ht="13" x14ac:dyDescent="0.25">
      <c r="B459" s="273"/>
      <c r="C459" s="216"/>
      <c r="D459" s="216"/>
      <c r="E459" s="216"/>
      <c r="O459" s="166"/>
    </row>
    <row r="460" spans="2:15" ht="13" x14ac:dyDescent="0.25">
      <c r="B460" s="275">
        <f>F440</f>
        <v>2021</v>
      </c>
      <c r="C460" s="279">
        <f>+H447</f>
        <v>0</v>
      </c>
      <c r="D460" s="216"/>
      <c r="E460" s="216"/>
      <c r="O460" s="166"/>
    </row>
    <row r="461" spans="2:15" ht="13" x14ac:dyDescent="0.25">
      <c r="B461" s="275">
        <v>2022</v>
      </c>
      <c r="C461" s="279">
        <f>+H456</f>
        <v>0</v>
      </c>
      <c r="D461" s="216"/>
      <c r="E461" s="216"/>
      <c r="O461" s="166"/>
    </row>
    <row r="462" spans="2:15" ht="13" x14ac:dyDescent="0.25">
      <c r="B462" s="336">
        <v>2023</v>
      </c>
      <c r="C462" s="337">
        <v>0</v>
      </c>
      <c r="D462" s="216"/>
      <c r="E462" s="216"/>
      <c r="O462" s="166"/>
    </row>
    <row r="463" spans="2:15" ht="13" x14ac:dyDescent="0.25">
      <c r="B463" s="336">
        <v>2024</v>
      </c>
      <c r="C463" s="337">
        <v>0</v>
      </c>
      <c r="D463" s="216"/>
      <c r="E463" s="216"/>
      <c r="O463" s="166"/>
    </row>
    <row r="464" spans="2:15" x14ac:dyDescent="0.25">
      <c r="O464" s="166"/>
    </row>
    <row r="465" spans="2:16" x14ac:dyDescent="0.25">
      <c r="O465" s="166"/>
    </row>
    <row r="466" spans="2:16" ht="13" x14ac:dyDescent="0.25">
      <c r="B466" s="321" t="s">
        <v>67</v>
      </c>
      <c r="C466" s="322"/>
      <c r="D466" s="322"/>
      <c r="E466" s="322"/>
      <c r="F466" s="323"/>
      <c r="G466" s="323"/>
      <c r="H466" s="323"/>
      <c r="I466" s="323"/>
      <c r="J466" s="323"/>
      <c r="K466" s="323"/>
      <c r="L466" s="323"/>
      <c r="M466" s="323"/>
      <c r="N466" s="323"/>
      <c r="O466" s="324"/>
      <c r="P466" s="323"/>
    </row>
    <row r="467" spans="2:16" x14ac:dyDescent="0.25">
      <c r="O467" s="206"/>
    </row>
    <row r="468" spans="2:16" ht="13" x14ac:dyDescent="0.25">
      <c r="B468" s="273" t="s">
        <v>139</v>
      </c>
      <c r="F468" s="810">
        <v>2018</v>
      </c>
      <c r="O468" s="206"/>
    </row>
    <row r="469" spans="2:16" x14ac:dyDescent="0.25">
      <c r="O469" s="166"/>
    </row>
    <row r="470" spans="2:16" ht="102" customHeight="1" x14ac:dyDescent="0.25">
      <c r="B470" s="1078" t="s">
        <v>140</v>
      </c>
      <c r="C470" s="1079"/>
      <c r="D470" s="1079"/>
      <c r="E470" s="1080"/>
      <c r="F470" s="274"/>
      <c r="G470" s="165" t="str">
        <f>"Nog af te bouwen regulatoir saldo einde "&amp;F468-1</f>
        <v>Nog af te bouwen regulatoir saldo einde 2017</v>
      </c>
      <c r="H470" s="165" t="str">
        <f>"Afbouw oudste openstaande regulatoir saldo vanaf boekjaar "&amp;F468-2&amp;" en vroeger, door aanwending van compensatie met regulatoir saldo ontstaan over boekjaar "&amp;F468-1</f>
        <v>Afbouw oudste openstaande regulatoir saldo vanaf boekjaar 2016 en vroeger, door aanwending van compensatie met regulatoir saldo ontstaan over boekjaar 2017</v>
      </c>
      <c r="I470" s="165" t="str">
        <f>"Nog af te bouwen regulatoir saldo na compensatie einde "&amp;F468-1</f>
        <v>Nog af te bouwen regulatoir saldo na compensatie einde 2017</v>
      </c>
      <c r="J470" s="165" t="str">
        <f>"Aanwending van 50% van het geaccumuleerd regulatoir saldo door te rekenen volgens de tariefmethodologie in het boekjaar "&amp;F468</f>
        <v>Aanwending van 50% van het geaccumuleerd regulatoir saldo door te rekenen volgens de tariefmethodologie in het boekjaar 2018</v>
      </c>
      <c r="K470" s="165" t="str">
        <f>"Nog af te bouwen regulatoir saldo einde "&amp;F468</f>
        <v>Nog af te bouwen regulatoir saldo einde 2018</v>
      </c>
      <c r="L470" s="220"/>
      <c r="M470" s="220"/>
      <c r="N470" s="220"/>
      <c r="O470" s="166"/>
    </row>
    <row r="471" spans="2:16" ht="13" x14ac:dyDescent="0.25">
      <c r="B471" s="1075">
        <v>2017</v>
      </c>
      <c r="C471" s="1076"/>
      <c r="D471" s="1076"/>
      <c r="E471" s="1077"/>
      <c r="F471" s="275"/>
      <c r="G471" s="521">
        <f>+G167</f>
        <v>0</v>
      </c>
      <c r="H471" s="521">
        <v>0</v>
      </c>
      <c r="I471" s="521">
        <f>+G471+H471</f>
        <v>0</v>
      </c>
      <c r="J471" s="821">
        <f>-I471*0.5</f>
        <v>0</v>
      </c>
      <c r="K471" s="851">
        <f>+J471+G471</f>
        <v>0</v>
      </c>
      <c r="L471" s="812"/>
      <c r="M471" s="812"/>
      <c r="N471" s="812"/>
      <c r="O471" s="166"/>
    </row>
    <row r="472" spans="2:16" x14ac:dyDescent="0.25">
      <c r="O472" s="166"/>
    </row>
    <row r="473" spans="2:16" ht="13" x14ac:dyDescent="0.25">
      <c r="B473" s="273" t="s">
        <v>139</v>
      </c>
      <c r="F473" s="810">
        <v>2019</v>
      </c>
      <c r="O473" s="206"/>
    </row>
    <row r="474" spans="2:16" x14ac:dyDescent="0.25">
      <c r="O474" s="206"/>
    </row>
    <row r="475" spans="2:16" ht="102" customHeight="1" x14ac:dyDescent="0.25">
      <c r="B475" s="1078" t="s">
        <v>140</v>
      </c>
      <c r="C475" s="1079"/>
      <c r="D475" s="1079"/>
      <c r="E475" s="1080"/>
      <c r="F475" s="274"/>
      <c r="G475" s="165" t="str">
        <f>"Nog af te bouwen regulatoir saldo einde "&amp;F473-1</f>
        <v>Nog af te bouwen regulatoir saldo einde 2018</v>
      </c>
      <c r="H475" s="165" t="str">
        <f>"Afbouw oudste openstaande regulatoir saldo vanaf boekjaar "&amp;F473-2&amp;" en vroeger, door aanwending van compensatie met regulatoir saldo ontstaan over boekjaar "&amp;F473-1</f>
        <v>Afbouw oudste openstaande regulatoir saldo vanaf boekjaar 2017 en vroeger, door aanwending van compensatie met regulatoir saldo ontstaan over boekjaar 2018</v>
      </c>
      <c r="I475" s="165" t="str">
        <f>"Nog af te bouwen regulatoir saldo na compensatie einde "&amp;F473-1</f>
        <v>Nog af te bouwen regulatoir saldo na compensatie einde 2018</v>
      </c>
      <c r="J475" s="213" t="str">
        <f>"Aanwending van 50% van het geaccumuleerd regulatoir saldo door te rekenen volgens de tariefmethodologie in het boekjaar "&amp;F473</f>
        <v>Aanwending van 50% van het geaccumuleerd regulatoir saldo door te rekenen volgens de tariefmethodologie in het boekjaar 2019</v>
      </c>
      <c r="K475" s="213" t="str">
        <f>"Aanwending van 50% van het geaccumuleerd regulatoir saldo door te rekenen volgens de tariefmethodologie in het boekjaar "&amp;F473</f>
        <v>Aanwending van 50% van het geaccumuleerd regulatoir saldo door te rekenen volgens de tariefmethodologie in het boekjaar 2019</v>
      </c>
      <c r="L475" s="165" t="str">
        <f>"Totale afbouw over "&amp;F473</f>
        <v>Totale afbouw over 2019</v>
      </c>
      <c r="M475" s="165" t="str">
        <f>"Nog af te bouwen regulatoir saldo einde "&amp;F473</f>
        <v>Nog af te bouwen regulatoir saldo einde 2019</v>
      </c>
      <c r="N475" s="206"/>
      <c r="O475" s="166"/>
    </row>
    <row r="476" spans="2:16" ht="13" x14ac:dyDescent="0.25">
      <c r="B476" s="1075">
        <v>2017</v>
      </c>
      <c r="C476" s="1076"/>
      <c r="D476" s="1076"/>
      <c r="E476" s="1077"/>
      <c r="F476" s="275"/>
      <c r="G476" s="521">
        <f>K471</f>
        <v>0</v>
      </c>
      <c r="H476" s="521">
        <f>IF(SIGN(G477*K471)&lt;0,IF(G476&lt;&gt;0,-SIGN(G476)*MIN(ABS(G477),ABS(G476)),0),0)</f>
        <v>0</v>
      </c>
      <c r="I476" s="521">
        <f>+G476+H476</f>
        <v>0</v>
      </c>
      <c r="J476" s="852"/>
      <c r="K476" s="821">
        <f>-MIN(ABS(I476),ABS(J478))*SIGN(I476)</f>
        <v>0</v>
      </c>
      <c r="L476" s="813">
        <f>+K476+H476</f>
        <v>0</v>
      </c>
      <c r="M476" s="521">
        <f>+I476+K476</f>
        <v>0</v>
      </c>
      <c r="N476" s="206"/>
      <c r="O476" s="166"/>
    </row>
    <row r="477" spans="2:16" ht="13" x14ac:dyDescent="0.25">
      <c r="B477" s="1075">
        <v>2018</v>
      </c>
      <c r="C477" s="1076"/>
      <c r="D477" s="1076"/>
      <c r="E477" s="1077"/>
      <c r="F477" s="275"/>
      <c r="G477" s="521">
        <f>+H168</f>
        <v>0</v>
      </c>
      <c r="H477" s="813">
        <f>IF(SIGN(G477*K471)&lt;0,-H476,0)</f>
        <v>0</v>
      </c>
      <c r="I477" s="521">
        <f>+G477+H477</f>
        <v>0</v>
      </c>
      <c r="J477" s="852"/>
      <c r="K477" s="821">
        <f>-MIN(ABS(I477),ABS(J478-K476))*SIGN(I477)</f>
        <v>0</v>
      </c>
      <c r="L477" s="813">
        <f>+K477+H477</f>
        <v>0</v>
      </c>
      <c r="M477" s="521">
        <f>+I477+K477</f>
        <v>0</v>
      </c>
      <c r="N477" s="206"/>
      <c r="O477" s="166"/>
    </row>
    <row r="478" spans="2:16" s="273" customFormat="1" ht="13" x14ac:dyDescent="0.3">
      <c r="G478" s="168">
        <f>SUM(G476:G477)</f>
        <v>0</v>
      </c>
      <c r="H478" s="168">
        <f>SUM(H476:H477)</f>
        <v>0</v>
      </c>
      <c r="I478" s="168">
        <f>SUM(I476:I477)</f>
        <v>0</v>
      </c>
      <c r="J478" s="286">
        <f>-I478*0.5</f>
        <v>0</v>
      </c>
      <c r="K478" s="286">
        <f>SUM(K476:K477)</f>
        <v>0</v>
      </c>
      <c r="L478" s="528"/>
      <c r="M478" s="168">
        <f>SUM(M476:M477)</f>
        <v>0</v>
      </c>
    </row>
    <row r="479" spans="2:16" x14ac:dyDescent="0.25">
      <c r="O479" s="166"/>
    </row>
    <row r="480" spans="2:16" ht="13" x14ac:dyDescent="0.25">
      <c r="B480" s="273" t="s">
        <v>139</v>
      </c>
      <c r="F480" s="810">
        <v>2020</v>
      </c>
      <c r="O480" s="166"/>
    </row>
    <row r="481" spans="2:15" x14ac:dyDescent="0.25">
      <c r="O481" s="166"/>
    </row>
    <row r="482" spans="2:15" ht="102" customHeight="1" x14ac:dyDescent="0.25">
      <c r="B482" s="1078" t="s">
        <v>140</v>
      </c>
      <c r="C482" s="1079"/>
      <c r="D482" s="1079"/>
      <c r="E482" s="1080"/>
      <c r="F482" s="274"/>
      <c r="G482" s="165" t="str">
        <f>"Nog af te bouwen regulatoir saldo einde "&amp;F480-1</f>
        <v>Nog af te bouwen regulatoir saldo einde 2019</v>
      </c>
      <c r="H482" s="165" t="str">
        <f>"Afbouw oudste openstaande regulatoir saldo vanaf boekjaar "&amp;F480-2&amp;" en vroeger, door aanwending van compensatie met regulatoir saldo ontstaan over boekjaar "&amp;F480-1</f>
        <v>Afbouw oudste openstaande regulatoir saldo vanaf boekjaar 2018 en vroeger, door aanwending van compensatie met regulatoir saldo ontstaan over boekjaar 2019</v>
      </c>
      <c r="I482" s="165" t="str">
        <f>"Nog af te bouwen regulatoir saldo na compensatie einde "&amp;F480-1</f>
        <v>Nog af te bouwen regulatoir saldo na compensatie einde 2019</v>
      </c>
      <c r="J482" s="213" t="str">
        <f>"Aanwending van 50% van het geaccumuleerd regulatoir saldo door te rekenen volgens de tariefmethodologie in het boekjaar "&amp;F480</f>
        <v>Aanwending van 50% van het geaccumuleerd regulatoir saldo door te rekenen volgens de tariefmethodologie in het boekjaar 2020</v>
      </c>
      <c r="K482" s="213" t="str">
        <f>"Aanwending van 50% van het geaccumuleerd regulatoir saldo door te rekenen volgens de tariefmethodologie in het boekjaar "&amp;F480</f>
        <v>Aanwending van 50% van het geaccumuleerd regulatoir saldo door te rekenen volgens de tariefmethodologie in het boekjaar 2020</v>
      </c>
      <c r="L482" s="165" t="str">
        <f>"Totale afbouw over "&amp;F480</f>
        <v>Totale afbouw over 2020</v>
      </c>
      <c r="M482" s="165" t="str">
        <f>"Nog af te bouwen regulatoir saldo einde "&amp;F480</f>
        <v>Nog af te bouwen regulatoir saldo einde 2020</v>
      </c>
      <c r="N482" s="206"/>
      <c r="O482" s="166"/>
    </row>
    <row r="483" spans="2:15" ht="13" x14ac:dyDescent="0.25">
      <c r="B483" s="1075">
        <v>2017</v>
      </c>
      <c r="C483" s="1076"/>
      <c r="D483" s="1076"/>
      <c r="E483" s="1077"/>
      <c r="F483" s="275"/>
      <c r="G483" s="521">
        <f>+M476</f>
        <v>0</v>
      </c>
      <c r="H483" s="813">
        <f>IF(SIGN(G485*M478)&lt;0,IF(G483&lt;&gt;0,-SIGN(G483)*MIN(ABS(G485),ABS(G483)),0),0)</f>
        <v>0</v>
      </c>
      <c r="I483" s="521">
        <f>+G483+H483</f>
        <v>0</v>
      </c>
      <c r="J483" s="852"/>
      <c r="K483" s="821">
        <f>-MIN(ABS(I483),ABS(J486))*SIGN(I483)</f>
        <v>0</v>
      </c>
      <c r="L483" s="813">
        <f>+K483+H483</f>
        <v>0</v>
      </c>
      <c r="M483" s="521">
        <f>+I483+K483</f>
        <v>0</v>
      </c>
      <c r="N483" s="206"/>
      <c r="O483" s="166"/>
    </row>
    <row r="484" spans="2:15" ht="13" x14ac:dyDescent="0.25">
      <c r="B484" s="1075">
        <v>2018</v>
      </c>
      <c r="C484" s="1076"/>
      <c r="D484" s="1076">
        <v>2016</v>
      </c>
      <c r="E484" s="1077"/>
      <c r="F484" s="275"/>
      <c r="G484" s="521">
        <f>+M477</f>
        <v>0</v>
      </c>
      <c r="H484" s="813">
        <f>IF(SIGN(G485*M478)&lt;0,IF(G484&lt;&gt;0,-SIGN(G484)*MIN(ABS(G485-H483),ABS(G484)),0),0)</f>
        <v>0</v>
      </c>
      <c r="I484" s="521">
        <f>+G484+H484</f>
        <v>0</v>
      </c>
      <c r="J484" s="852"/>
      <c r="K484" s="821">
        <f>-MIN(ABS(I484),ABS(J486-K483))*SIGN(I484)</f>
        <v>0</v>
      </c>
      <c r="L484" s="813">
        <f>+K484+H484</f>
        <v>0</v>
      </c>
      <c r="M484" s="521">
        <f>+I484+K484</f>
        <v>0</v>
      </c>
      <c r="N484" s="206"/>
      <c r="O484" s="166"/>
    </row>
    <row r="485" spans="2:15" ht="13" x14ac:dyDescent="0.25">
      <c r="B485" s="1075">
        <v>2019</v>
      </c>
      <c r="C485" s="1076"/>
      <c r="D485" s="1076"/>
      <c r="E485" s="1077"/>
      <c r="F485" s="275"/>
      <c r="G485" s="521">
        <f>I169</f>
        <v>0</v>
      </c>
      <c r="H485" s="813">
        <f>IF(SIGN(G485*M478)&lt;0,-SUM(H483:H484),0)</f>
        <v>0</v>
      </c>
      <c r="I485" s="521">
        <f>+G485+H485</f>
        <v>0</v>
      </c>
      <c r="J485" s="852"/>
      <c r="K485" s="821">
        <f>-MIN(ABS(I485),ABS(J486-K483-K484))*SIGN(I485)</f>
        <v>0</v>
      </c>
      <c r="L485" s="813">
        <f>+K485+H485</f>
        <v>0</v>
      </c>
      <c r="M485" s="521">
        <f>+I485+K485</f>
        <v>0</v>
      </c>
      <c r="N485" s="206"/>
      <c r="O485" s="166"/>
    </row>
    <row r="486" spans="2:15" s="273" customFormat="1" ht="13" x14ac:dyDescent="0.3">
      <c r="G486" s="168">
        <f>SUM(G483:G485)</f>
        <v>0</v>
      </c>
      <c r="H486" s="168">
        <f>SUM(H483:H485)</f>
        <v>0</v>
      </c>
      <c r="I486" s="168">
        <f>SUM(I483:I485)</f>
        <v>0</v>
      </c>
      <c r="J486" s="286">
        <f>-I486*0.5</f>
        <v>0</v>
      </c>
      <c r="K486" s="286">
        <f>SUM(K483:K485)</f>
        <v>0</v>
      </c>
      <c r="L486" s="528"/>
      <c r="M486" s="168">
        <f>SUM(M483:M485)</f>
        <v>0</v>
      </c>
    </row>
    <row r="487" spans="2:15" x14ac:dyDescent="0.25">
      <c r="O487" s="166"/>
    </row>
    <row r="488" spans="2:15" ht="13" x14ac:dyDescent="0.25">
      <c r="B488" s="273" t="s">
        <v>139</v>
      </c>
      <c r="F488" s="810">
        <v>2021</v>
      </c>
      <c r="O488" s="166"/>
    </row>
    <row r="489" spans="2:15" x14ac:dyDescent="0.25">
      <c r="O489" s="166"/>
    </row>
    <row r="490" spans="2:15" ht="78" customHeight="1" x14ac:dyDescent="0.25">
      <c r="B490" s="1078" t="s">
        <v>140</v>
      </c>
      <c r="C490" s="1079"/>
      <c r="D490" s="1079"/>
      <c r="E490" s="1080"/>
      <c r="F490" s="274"/>
      <c r="G490" s="165" t="str">
        <f>"Nog af te bouwen regulatoir saldo einde "&amp;F488-1</f>
        <v>Nog af te bouwen regulatoir saldo einde 2020</v>
      </c>
      <c r="H490" s="165" t="str">
        <f>"50% van het oorspronkelijk regulatoir saldo door te rekenen volgens de tariefmethodologie in het boekjaar "&amp;F488</f>
        <v>50% van het oorspronkelijk regulatoir saldo door te rekenen volgens de tariefmethodologie in het boekjaar 2021</v>
      </c>
      <c r="I490" s="165" t="str">
        <f>"Nog af te bouwen regulatoir saldo einde "&amp;F488</f>
        <v>Nog af te bouwen regulatoir saldo einde 2021</v>
      </c>
      <c r="J490" s="206"/>
      <c r="O490" s="166"/>
    </row>
    <row r="491" spans="2:15" ht="13" x14ac:dyDescent="0.25">
      <c r="B491" s="1075">
        <v>2017</v>
      </c>
      <c r="C491" s="1076"/>
      <c r="D491" s="1076"/>
      <c r="E491" s="1077"/>
      <c r="F491" s="275"/>
      <c r="G491" s="521">
        <f>+M483</f>
        <v>0</v>
      </c>
      <c r="H491" s="521">
        <f>-G491*0.5</f>
        <v>0</v>
      </c>
      <c r="I491" s="521">
        <f>+G491+H491</f>
        <v>0</v>
      </c>
      <c r="J491" s="206"/>
      <c r="O491" s="166"/>
    </row>
    <row r="492" spans="2:15" ht="13" x14ac:dyDescent="0.25">
      <c r="B492" s="1075">
        <v>2018</v>
      </c>
      <c r="C492" s="1076"/>
      <c r="D492" s="1076"/>
      <c r="E492" s="1077"/>
      <c r="F492" s="275"/>
      <c r="G492" s="521">
        <f t="shared" ref="G492:G493" si="64">+M484</f>
        <v>0</v>
      </c>
      <c r="H492" s="521">
        <f t="shared" ref="H492:H494" si="65">-G492*0.5</f>
        <v>0</v>
      </c>
      <c r="I492" s="521">
        <f t="shared" ref="I492:I494" si="66">+G492+H492</f>
        <v>0</v>
      </c>
      <c r="J492" s="206"/>
      <c r="O492" s="166"/>
    </row>
    <row r="493" spans="2:15" ht="13" x14ac:dyDescent="0.25">
      <c r="B493" s="1075">
        <v>2019</v>
      </c>
      <c r="C493" s="1076"/>
      <c r="D493" s="1076">
        <v>2016</v>
      </c>
      <c r="E493" s="1077"/>
      <c r="F493" s="275"/>
      <c r="G493" s="521">
        <f t="shared" si="64"/>
        <v>0</v>
      </c>
      <c r="H493" s="521">
        <f t="shared" si="65"/>
        <v>0</v>
      </c>
      <c r="I493" s="521">
        <f t="shared" si="66"/>
        <v>0</v>
      </c>
      <c r="J493" s="206"/>
      <c r="O493" s="166"/>
    </row>
    <row r="494" spans="2:15" ht="13" x14ac:dyDescent="0.25">
      <c r="B494" s="1075">
        <v>2020</v>
      </c>
      <c r="C494" s="1076"/>
      <c r="D494" s="1076"/>
      <c r="E494" s="1077"/>
      <c r="F494" s="275"/>
      <c r="G494" s="521">
        <f>J170</f>
        <v>0</v>
      </c>
      <c r="H494" s="521">
        <f t="shared" si="65"/>
        <v>0</v>
      </c>
      <c r="I494" s="521">
        <f t="shared" si="66"/>
        <v>0</v>
      </c>
      <c r="J494" s="206"/>
      <c r="O494" s="166"/>
    </row>
    <row r="495" spans="2:15" s="273" customFormat="1" ht="13" x14ac:dyDescent="0.25">
      <c r="G495" s="168">
        <f>SUM(G491:G494)</f>
        <v>0</v>
      </c>
      <c r="H495" s="168">
        <f>SUM(H491:H494)</f>
        <v>0</v>
      </c>
      <c r="I495" s="168">
        <f>SUM(I491:I494)</f>
        <v>0</v>
      </c>
    </row>
    <row r="496" spans="2:15" x14ac:dyDescent="0.25">
      <c r="G496" s="214"/>
      <c r="H496" s="214"/>
      <c r="I496" s="214"/>
      <c r="O496" s="166"/>
    </row>
    <row r="497" spans="2:15" ht="13" x14ac:dyDescent="0.25">
      <c r="B497" s="273" t="s">
        <v>139</v>
      </c>
      <c r="F497" s="810">
        <v>2022</v>
      </c>
      <c r="O497" s="166"/>
    </row>
    <row r="498" spans="2:15" x14ac:dyDescent="0.25">
      <c r="O498" s="166"/>
    </row>
    <row r="499" spans="2:15" ht="78" customHeight="1" x14ac:dyDescent="0.25">
      <c r="B499" s="1078" t="s">
        <v>140</v>
      </c>
      <c r="C499" s="1079"/>
      <c r="D499" s="1079"/>
      <c r="E499" s="1080"/>
      <c r="F499" s="274"/>
      <c r="G499" s="165" t="str">
        <f>"Nog af te bouwen regulatoir saldo einde "&amp;F497-1</f>
        <v>Nog af te bouwen regulatoir saldo einde 2021</v>
      </c>
      <c r="H499" s="165" t="str">
        <f>"50% van het oorspronkelijk regulatoir saldo door te rekenen volgens de tariefmethodologie in het boekjaar "&amp;F497</f>
        <v>50% van het oorspronkelijk regulatoir saldo door te rekenen volgens de tariefmethodologie in het boekjaar 2022</v>
      </c>
      <c r="I499" s="165" t="str">
        <f>"Nog af te bouwen regulatoir saldo einde "&amp;F497</f>
        <v>Nog af te bouwen regulatoir saldo einde 2022</v>
      </c>
      <c r="J499" s="206"/>
      <c r="O499" s="166"/>
    </row>
    <row r="500" spans="2:15" ht="13" x14ac:dyDescent="0.25">
      <c r="B500" s="1075">
        <v>2017</v>
      </c>
      <c r="C500" s="1076"/>
      <c r="D500" s="1076">
        <v>2016</v>
      </c>
      <c r="E500" s="1077"/>
      <c r="F500" s="275"/>
      <c r="G500" s="521">
        <f>+I491</f>
        <v>0</v>
      </c>
      <c r="H500" s="521">
        <f>-G491*0.5</f>
        <v>0</v>
      </c>
      <c r="I500" s="521">
        <f t="shared" ref="I500:I504" si="67">+G500+H500</f>
        <v>0</v>
      </c>
      <c r="J500" s="206"/>
      <c r="O500" s="166"/>
    </row>
    <row r="501" spans="2:15" ht="13" x14ac:dyDescent="0.25">
      <c r="B501" s="1075">
        <v>2018</v>
      </c>
      <c r="C501" s="1076"/>
      <c r="D501" s="1076"/>
      <c r="E501" s="1077"/>
      <c r="F501" s="275"/>
      <c r="G501" s="521">
        <f t="shared" ref="G501:G503" si="68">+I492</f>
        <v>0</v>
      </c>
      <c r="H501" s="521">
        <f t="shared" ref="H501:H503" si="69">-G492*0.5</f>
        <v>0</v>
      </c>
      <c r="I501" s="521">
        <f t="shared" si="67"/>
        <v>0</v>
      </c>
      <c r="J501" s="206"/>
      <c r="O501" s="166"/>
    </row>
    <row r="502" spans="2:15" ht="13" x14ac:dyDescent="0.25">
      <c r="B502" s="1075">
        <v>2019</v>
      </c>
      <c r="C502" s="1076"/>
      <c r="D502" s="1076"/>
      <c r="E502" s="1077"/>
      <c r="F502" s="275"/>
      <c r="G502" s="521">
        <f t="shared" si="68"/>
        <v>0</v>
      </c>
      <c r="H502" s="521">
        <f t="shared" si="69"/>
        <v>0</v>
      </c>
      <c r="I502" s="521">
        <f t="shared" si="67"/>
        <v>0</v>
      </c>
      <c r="J502" s="206"/>
      <c r="O502" s="166"/>
    </row>
    <row r="503" spans="2:15" ht="13" x14ac:dyDescent="0.25">
      <c r="B503" s="1075">
        <v>2020</v>
      </c>
      <c r="C503" s="1076"/>
      <c r="D503" s="1076"/>
      <c r="E503" s="1077"/>
      <c r="F503" s="275"/>
      <c r="G503" s="521">
        <f t="shared" si="68"/>
        <v>0</v>
      </c>
      <c r="H503" s="521">
        <f t="shared" si="69"/>
        <v>0</v>
      </c>
      <c r="I503" s="521">
        <f t="shared" si="67"/>
        <v>0</v>
      </c>
      <c r="J503" s="206"/>
      <c r="O503" s="166"/>
    </row>
    <row r="504" spans="2:15" ht="13" x14ac:dyDescent="0.25">
      <c r="B504" s="1075">
        <v>2021</v>
      </c>
      <c r="C504" s="1076"/>
      <c r="D504" s="1076"/>
      <c r="E504" s="1077"/>
      <c r="F504" s="275"/>
      <c r="G504" s="521">
        <f>K171</f>
        <v>0</v>
      </c>
      <c r="H504" s="521">
        <f t="shared" ref="H504" si="70">-G504*0.5</f>
        <v>0</v>
      </c>
      <c r="I504" s="521">
        <f t="shared" si="67"/>
        <v>0</v>
      </c>
      <c r="J504" s="206"/>
      <c r="O504" s="166"/>
    </row>
    <row r="505" spans="2:15" s="273" customFormat="1" ht="13" x14ac:dyDescent="0.25">
      <c r="G505" s="168">
        <f>SUM(G500:G504)</f>
        <v>0</v>
      </c>
      <c r="H505" s="168">
        <f>SUM(H500:H504)</f>
        <v>0</v>
      </c>
      <c r="I505" s="168">
        <f>SUM(I500:I504)</f>
        <v>0</v>
      </c>
    </row>
    <row r="506" spans="2:15" x14ac:dyDescent="0.25">
      <c r="O506" s="166"/>
    </row>
    <row r="507" spans="2:15" ht="13" x14ac:dyDescent="0.25">
      <c r="B507" s="273" t="s">
        <v>139</v>
      </c>
      <c r="F507" s="810">
        <v>2023</v>
      </c>
      <c r="O507" s="166"/>
    </row>
    <row r="508" spans="2:15" x14ac:dyDescent="0.25">
      <c r="O508" s="166"/>
    </row>
    <row r="509" spans="2:15" ht="78" customHeight="1" x14ac:dyDescent="0.25">
      <c r="B509" s="1078" t="s">
        <v>140</v>
      </c>
      <c r="C509" s="1079"/>
      <c r="D509" s="1079"/>
      <c r="E509" s="1080"/>
      <c r="F509" s="274"/>
      <c r="G509" s="165" t="str">
        <f>"Nog af te bouwen regulatoir saldo einde "&amp;F507-1</f>
        <v>Nog af te bouwen regulatoir saldo einde 2022</v>
      </c>
      <c r="H509" s="165" t="str">
        <f>"50% van het oorspronkelijk regulatoir saldo door te rekenen volgens de tariefmethodologie in het boekjaar "&amp;F507</f>
        <v>50% van het oorspronkelijk regulatoir saldo door te rekenen volgens de tariefmethodologie in het boekjaar 2023</v>
      </c>
      <c r="I509" s="165" t="str">
        <f>"Nog af te bouwen regulatoir saldo einde "&amp;F507</f>
        <v>Nog af te bouwen regulatoir saldo einde 2023</v>
      </c>
      <c r="J509" s="206"/>
      <c r="O509" s="166"/>
    </row>
    <row r="510" spans="2:15" ht="13" x14ac:dyDescent="0.25">
      <c r="B510" s="1075">
        <v>2021</v>
      </c>
      <c r="C510" s="1076"/>
      <c r="D510" s="1076"/>
      <c r="E510" s="1077"/>
      <c r="F510" s="275"/>
      <c r="G510" s="521">
        <f>+I504</f>
        <v>0</v>
      </c>
      <c r="H510" s="521">
        <f>-G504*0.5</f>
        <v>0</v>
      </c>
      <c r="I510" s="521">
        <f t="shared" ref="I510:I511" si="71">+G510+H510</f>
        <v>0</v>
      </c>
      <c r="J510" s="206"/>
      <c r="O510" s="166"/>
    </row>
    <row r="511" spans="2:15" ht="13" x14ac:dyDescent="0.25">
      <c r="B511" s="1075">
        <v>2022</v>
      </c>
      <c r="C511" s="1076"/>
      <c r="D511" s="1076"/>
      <c r="E511" s="1077"/>
      <c r="F511" s="275"/>
      <c r="G511" s="521">
        <f>L172</f>
        <v>0</v>
      </c>
      <c r="H511" s="521">
        <f t="shared" ref="H511" si="72">-G511*0.5</f>
        <v>0</v>
      </c>
      <c r="I511" s="521">
        <f t="shared" si="71"/>
        <v>0</v>
      </c>
      <c r="J511" s="206"/>
      <c r="O511" s="166"/>
    </row>
    <row r="512" spans="2:15" s="273" customFormat="1" ht="13" x14ac:dyDescent="0.25">
      <c r="G512" s="168">
        <f>SUM(G510:G511)</f>
        <v>0</v>
      </c>
      <c r="H512" s="168">
        <f>SUM(H510:H511)</f>
        <v>0</v>
      </c>
      <c r="I512" s="168">
        <f>SUM(I510:I511)</f>
        <v>0</v>
      </c>
    </row>
    <row r="513" spans="2:15" x14ac:dyDescent="0.25">
      <c r="O513" s="166"/>
    </row>
    <row r="514" spans="2:15" ht="13" x14ac:dyDescent="0.25">
      <c r="B514" s="273" t="s">
        <v>139</v>
      </c>
      <c r="F514" s="810">
        <v>2024</v>
      </c>
      <c r="O514" s="166"/>
    </row>
    <row r="515" spans="2:15" x14ac:dyDescent="0.25">
      <c r="O515" s="166"/>
    </row>
    <row r="516" spans="2:15" ht="78" customHeight="1" x14ac:dyDescent="0.25">
      <c r="B516" s="1078" t="s">
        <v>140</v>
      </c>
      <c r="C516" s="1079"/>
      <c r="D516" s="1079"/>
      <c r="E516" s="1080"/>
      <c r="F516" s="274"/>
      <c r="G516" s="165" t="str">
        <f>"Nog af te bouwen regulatoir saldo einde "&amp;F514-1</f>
        <v>Nog af te bouwen regulatoir saldo einde 2023</v>
      </c>
      <c r="H516" s="165" t="str">
        <f>"50% van het oorspronkelijk regulatoir saldo door te rekenen volgens de tariefmethodologie in het boekjaar "&amp;F514</f>
        <v>50% van het oorspronkelijk regulatoir saldo door te rekenen volgens de tariefmethodologie in het boekjaar 2024</v>
      </c>
      <c r="I516" s="165" t="str">
        <f>"Nog af te bouwen regulatoir saldo einde "&amp;F514</f>
        <v>Nog af te bouwen regulatoir saldo einde 2024</v>
      </c>
      <c r="J516" s="206"/>
      <c r="O516" s="166"/>
    </row>
    <row r="517" spans="2:15" ht="13" x14ac:dyDescent="0.25">
      <c r="B517" s="1075">
        <v>2022</v>
      </c>
      <c r="C517" s="1076"/>
      <c r="D517" s="1076"/>
      <c r="E517" s="1077"/>
      <c r="F517" s="275"/>
      <c r="G517" s="521">
        <f>+I511</f>
        <v>0</v>
      </c>
      <c r="H517" s="521">
        <f>-G511*0.5</f>
        <v>0</v>
      </c>
      <c r="I517" s="521">
        <f t="shared" ref="I517:I518" si="73">+G517+H517</f>
        <v>0</v>
      </c>
      <c r="J517" s="206"/>
      <c r="O517" s="166"/>
    </row>
    <row r="518" spans="2:15" ht="13" x14ac:dyDescent="0.25">
      <c r="B518" s="1075">
        <v>2023</v>
      </c>
      <c r="C518" s="1076"/>
      <c r="D518" s="1076"/>
      <c r="E518" s="1077"/>
      <c r="F518" s="275"/>
      <c r="G518" s="521">
        <f>+M173</f>
        <v>0</v>
      </c>
      <c r="H518" s="521">
        <f t="shared" ref="H518" si="74">-G518*0.5</f>
        <v>0</v>
      </c>
      <c r="I518" s="521">
        <f t="shared" si="73"/>
        <v>0</v>
      </c>
      <c r="J518" s="206"/>
      <c r="O518" s="166"/>
    </row>
    <row r="519" spans="2:15" s="273" customFormat="1" ht="13" x14ac:dyDescent="0.25">
      <c r="G519" s="168">
        <f>SUM(G517:G518)</f>
        <v>0</v>
      </c>
      <c r="H519" s="168">
        <f>SUM(H517:H518)</f>
        <v>0</v>
      </c>
      <c r="I519" s="168">
        <f>SUM(I517:I518)</f>
        <v>0</v>
      </c>
    </row>
    <row r="520" spans="2:15" ht="13" x14ac:dyDescent="0.25">
      <c r="B520" s="273" t="s">
        <v>67</v>
      </c>
      <c r="O520" s="166"/>
    </row>
    <row r="521" spans="2:15" ht="13" x14ac:dyDescent="0.25">
      <c r="B521" s="273" t="s">
        <v>141</v>
      </c>
      <c r="C521" s="216"/>
      <c r="D521" s="216"/>
      <c r="E521" s="216"/>
      <c r="O521" s="166"/>
    </row>
    <row r="522" spans="2:15" ht="13" x14ac:dyDescent="0.25">
      <c r="B522" s="273"/>
      <c r="C522" s="216"/>
      <c r="D522" s="216"/>
      <c r="E522" s="216"/>
      <c r="O522" s="166"/>
    </row>
    <row r="523" spans="2:15" ht="13" x14ac:dyDescent="0.25">
      <c r="B523" s="275">
        <f>F488</f>
        <v>2021</v>
      </c>
      <c r="C523" s="279">
        <f>+H495</f>
        <v>0</v>
      </c>
      <c r="D523" s="216"/>
      <c r="E523" s="216"/>
      <c r="O523" s="166"/>
    </row>
    <row r="524" spans="2:15" ht="13" x14ac:dyDescent="0.25">
      <c r="B524" s="275">
        <v>2022</v>
      </c>
      <c r="C524" s="279">
        <f>+H505</f>
        <v>0</v>
      </c>
      <c r="D524" s="216"/>
      <c r="E524" s="216"/>
      <c r="O524" s="166"/>
    </row>
    <row r="525" spans="2:15" ht="13" x14ac:dyDescent="0.25">
      <c r="B525" s="275">
        <v>2023</v>
      </c>
      <c r="C525" s="279">
        <f>+H512</f>
        <v>0</v>
      </c>
      <c r="D525" s="216"/>
      <c r="E525" s="216"/>
      <c r="O525" s="166"/>
    </row>
    <row r="526" spans="2:15" ht="13" x14ac:dyDescent="0.25">
      <c r="B526" s="275">
        <v>2024</v>
      </c>
      <c r="C526" s="279">
        <f>+H519</f>
        <v>0</v>
      </c>
      <c r="D526" s="216"/>
      <c r="E526" s="216"/>
      <c r="O526" s="166"/>
    </row>
    <row r="527" spans="2:15" x14ac:dyDescent="0.25">
      <c r="O527" s="166"/>
    </row>
    <row r="528" spans="2:15" x14ac:dyDescent="0.25">
      <c r="O528" s="166"/>
    </row>
    <row r="529" spans="2:16" ht="13" x14ac:dyDescent="0.25">
      <c r="B529" s="321" t="s">
        <v>96</v>
      </c>
      <c r="C529" s="322"/>
      <c r="D529" s="322"/>
      <c r="E529" s="322"/>
      <c r="F529" s="323"/>
      <c r="G529" s="323"/>
      <c r="H529" s="323"/>
      <c r="I529" s="323"/>
      <c r="J529" s="323"/>
      <c r="K529" s="323"/>
      <c r="L529" s="323"/>
      <c r="M529" s="323"/>
      <c r="N529" s="323"/>
      <c r="O529" s="324"/>
      <c r="P529" s="323"/>
    </row>
    <row r="530" spans="2:16" x14ac:dyDescent="0.25">
      <c r="O530" s="206"/>
    </row>
    <row r="531" spans="2:16" ht="13" x14ac:dyDescent="0.25">
      <c r="B531" s="273" t="s">
        <v>139</v>
      </c>
      <c r="F531" s="810">
        <v>2018</v>
      </c>
      <c r="O531" s="206"/>
    </row>
    <row r="532" spans="2:16" x14ac:dyDescent="0.25">
      <c r="O532" s="166"/>
    </row>
    <row r="533" spans="2:16" ht="102" customHeight="1" x14ac:dyDescent="0.25">
      <c r="B533" s="1078" t="s">
        <v>140</v>
      </c>
      <c r="C533" s="1079"/>
      <c r="D533" s="1079"/>
      <c r="E533" s="1080"/>
      <c r="F533" s="274"/>
      <c r="G533" s="165" t="str">
        <f>"Nog af te bouwen regulatoir saldo einde "&amp;F531-1</f>
        <v>Nog af te bouwen regulatoir saldo einde 2017</v>
      </c>
      <c r="H533" s="165" t="str">
        <f>"Afbouw oudste openstaande regulatoir saldo vanaf boekjaar "&amp;F531-2&amp;" en vroeger, door aanwending van compensatie met regulatoir saldo ontstaan over boekjaar "&amp;F531-1</f>
        <v>Afbouw oudste openstaande regulatoir saldo vanaf boekjaar 2016 en vroeger, door aanwending van compensatie met regulatoir saldo ontstaan over boekjaar 2017</v>
      </c>
      <c r="I533" s="165" t="str">
        <f>"Nog af te bouwen regulatoir saldo na compensatie einde "&amp;F531-1</f>
        <v>Nog af te bouwen regulatoir saldo na compensatie einde 2017</v>
      </c>
      <c r="J533" s="165" t="str">
        <f>"Aanwending van 50% van het geaccumuleerd regulatoir saldo door te rekenen volgens de tariefmethodologie in het boekjaar "&amp;F531</f>
        <v>Aanwending van 50% van het geaccumuleerd regulatoir saldo door te rekenen volgens de tariefmethodologie in het boekjaar 2018</v>
      </c>
      <c r="K533" s="165" t="str">
        <f>"Nog af te bouwen regulatoir saldo einde "&amp;F531</f>
        <v>Nog af te bouwen regulatoir saldo einde 2018</v>
      </c>
      <c r="L533" s="220"/>
      <c r="M533" s="220"/>
      <c r="N533" s="220"/>
      <c r="O533" s="166"/>
    </row>
    <row r="534" spans="2:16" ht="13" x14ac:dyDescent="0.25">
      <c r="B534" s="1075">
        <v>2017</v>
      </c>
      <c r="C534" s="1076"/>
      <c r="D534" s="1076"/>
      <c r="E534" s="1077"/>
      <c r="F534" s="275"/>
      <c r="G534" s="521">
        <f>+G176</f>
        <v>0</v>
      </c>
      <c r="H534" s="521">
        <v>0</v>
      </c>
      <c r="I534" s="521">
        <f>+G534+H534</f>
        <v>0</v>
      </c>
      <c r="J534" s="821">
        <f>-I534*0.5</f>
        <v>0</v>
      </c>
      <c r="K534" s="851">
        <f>+J534+G534</f>
        <v>0</v>
      </c>
      <c r="L534" s="812"/>
      <c r="M534" s="812"/>
      <c r="N534" s="812"/>
      <c r="O534" s="166"/>
    </row>
    <row r="535" spans="2:16" x14ac:dyDescent="0.25">
      <c r="O535" s="166"/>
    </row>
    <row r="536" spans="2:16" ht="13" x14ac:dyDescent="0.25">
      <c r="B536" s="273" t="s">
        <v>139</v>
      </c>
      <c r="F536" s="810">
        <v>2019</v>
      </c>
      <c r="O536" s="206"/>
    </row>
    <row r="537" spans="2:16" x14ac:dyDescent="0.25">
      <c r="O537" s="206"/>
    </row>
    <row r="538" spans="2:16" ht="102" customHeight="1" x14ac:dyDescent="0.25">
      <c r="B538" s="1078" t="s">
        <v>140</v>
      </c>
      <c r="C538" s="1079"/>
      <c r="D538" s="1079"/>
      <c r="E538" s="1080"/>
      <c r="F538" s="274"/>
      <c r="G538" s="165" t="str">
        <f>"Nog af te bouwen regulatoir saldo einde "&amp;F536-1</f>
        <v>Nog af te bouwen regulatoir saldo einde 2018</v>
      </c>
      <c r="H538" s="165" t="str">
        <f>"Afbouw oudste openstaande regulatoir saldo vanaf boekjaar "&amp;F536-2&amp;" en vroeger, door aanwending van compensatie met regulatoir saldo ontstaan over boekjaar "&amp;F536-1</f>
        <v>Afbouw oudste openstaande regulatoir saldo vanaf boekjaar 2017 en vroeger, door aanwending van compensatie met regulatoir saldo ontstaan over boekjaar 2018</v>
      </c>
      <c r="I538" s="165" t="str">
        <f>"Nog af te bouwen regulatoir saldo na compensatie einde "&amp;F536-1</f>
        <v>Nog af te bouwen regulatoir saldo na compensatie einde 2018</v>
      </c>
      <c r="J538" s="213" t="str">
        <f>"Aanwending van 50% van het geaccumuleerd regulatoir saldo door te rekenen volgens de tariefmethodologie in het boekjaar "&amp;F536</f>
        <v>Aanwending van 50% van het geaccumuleerd regulatoir saldo door te rekenen volgens de tariefmethodologie in het boekjaar 2019</v>
      </c>
      <c r="K538" s="213" t="str">
        <f>"Aanwending van 50% van het geaccumuleerd regulatoir saldo door te rekenen volgens de tariefmethodologie in het boekjaar "&amp;F536</f>
        <v>Aanwending van 50% van het geaccumuleerd regulatoir saldo door te rekenen volgens de tariefmethodologie in het boekjaar 2019</v>
      </c>
      <c r="L538" s="165" t="str">
        <f>"Totale afbouw over "&amp;F536</f>
        <v>Totale afbouw over 2019</v>
      </c>
      <c r="M538" s="165" t="str">
        <f>"Nog af te bouwen regulatoir saldo einde "&amp;F536</f>
        <v>Nog af te bouwen regulatoir saldo einde 2019</v>
      </c>
      <c r="N538" s="206"/>
      <c r="O538" s="166"/>
    </row>
    <row r="539" spans="2:16" ht="13" x14ac:dyDescent="0.25">
      <c r="B539" s="1075">
        <v>2017</v>
      </c>
      <c r="C539" s="1076"/>
      <c r="D539" s="1076"/>
      <c r="E539" s="1077"/>
      <c r="F539" s="275"/>
      <c r="G539" s="521">
        <f>K534</f>
        <v>0</v>
      </c>
      <c r="H539" s="521">
        <f>IF(SIGN(G540*K534)&lt;0,IF(G539&lt;&gt;0,-SIGN(G539)*MIN(ABS(G540),ABS(G539)),0),0)</f>
        <v>0</v>
      </c>
      <c r="I539" s="521">
        <f>+G539+H539</f>
        <v>0</v>
      </c>
      <c r="J539" s="852"/>
      <c r="K539" s="821">
        <f>-MIN(ABS(I539),ABS(J541))*SIGN(I539)</f>
        <v>0</v>
      </c>
      <c r="L539" s="813">
        <f>+K539+H539</f>
        <v>0</v>
      </c>
      <c r="M539" s="521">
        <f>+I539+K539</f>
        <v>0</v>
      </c>
      <c r="N539" s="206"/>
      <c r="O539" s="166"/>
    </row>
    <row r="540" spans="2:16" ht="13" x14ac:dyDescent="0.25">
      <c r="B540" s="1075">
        <v>2018</v>
      </c>
      <c r="C540" s="1076"/>
      <c r="D540" s="1076"/>
      <c r="E540" s="1077"/>
      <c r="F540" s="275"/>
      <c r="G540" s="521">
        <f>+H177</f>
        <v>0</v>
      </c>
      <c r="H540" s="813">
        <f>IF(SIGN(G540*K534)&lt;0,-H539,0)</f>
        <v>0</v>
      </c>
      <c r="I540" s="521">
        <f>+G540+H540</f>
        <v>0</v>
      </c>
      <c r="J540" s="852"/>
      <c r="K540" s="821">
        <f>-MIN(ABS(I540),ABS(J541-K539))*SIGN(I540)</f>
        <v>0</v>
      </c>
      <c r="L540" s="813">
        <f>+K540+H540</f>
        <v>0</v>
      </c>
      <c r="M540" s="521">
        <f>+I540+K540</f>
        <v>0</v>
      </c>
      <c r="N540" s="206"/>
      <c r="O540" s="166"/>
    </row>
    <row r="541" spans="2:16" s="273" customFormat="1" ht="13" x14ac:dyDescent="0.3">
      <c r="G541" s="168">
        <f>SUM(G539:G540)</f>
        <v>0</v>
      </c>
      <c r="H541" s="168">
        <f>SUM(H539:H540)</f>
        <v>0</v>
      </c>
      <c r="I541" s="168">
        <f>SUM(I539:I540)</f>
        <v>0</v>
      </c>
      <c r="J541" s="286">
        <f>-I541*0.5</f>
        <v>0</v>
      </c>
      <c r="K541" s="286">
        <f>SUM(K539:K540)</f>
        <v>0</v>
      </c>
      <c r="L541" s="528"/>
      <c r="M541" s="168">
        <f>SUM(M539:M540)</f>
        <v>0</v>
      </c>
    </row>
    <row r="542" spans="2:16" x14ac:dyDescent="0.25">
      <c r="O542" s="166"/>
    </row>
    <row r="543" spans="2:16" ht="13" x14ac:dyDescent="0.25">
      <c r="B543" s="273" t="s">
        <v>139</v>
      </c>
      <c r="F543" s="810">
        <v>2020</v>
      </c>
      <c r="O543" s="166"/>
    </row>
    <row r="544" spans="2:16" x14ac:dyDescent="0.25">
      <c r="O544" s="166"/>
    </row>
    <row r="545" spans="2:15" ht="102" customHeight="1" x14ac:dyDescent="0.25">
      <c r="B545" s="1078" t="s">
        <v>140</v>
      </c>
      <c r="C545" s="1079"/>
      <c r="D545" s="1079"/>
      <c r="E545" s="1080"/>
      <c r="F545" s="274"/>
      <c r="G545" s="165" t="str">
        <f>"Nog af te bouwen regulatoir saldo einde "&amp;F543-1</f>
        <v>Nog af te bouwen regulatoir saldo einde 2019</v>
      </c>
      <c r="H545" s="165" t="str">
        <f>"Afbouw oudste openstaande regulatoir saldo vanaf boekjaar "&amp;F543-2&amp;" en vroeger, door aanwending van compensatie met regulatoir saldo ontstaan over boekjaar "&amp;F543-1</f>
        <v>Afbouw oudste openstaande regulatoir saldo vanaf boekjaar 2018 en vroeger, door aanwending van compensatie met regulatoir saldo ontstaan over boekjaar 2019</v>
      </c>
      <c r="I545" s="165" t="str">
        <f>"Nog af te bouwen regulatoir saldo na compensatie einde "&amp;F543-1</f>
        <v>Nog af te bouwen regulatoir saldo na compensatie einde 2019</v>
      </c>
      <c r="J545" s="213" t="str">
        <f>"Aanwending van 50% van het geaccumuleerd regulatoir saldo door te rekenen volgens de tariefmethodologie in het boekjaar "&amp;F543</f>
        <v>Aanwending van 50% van het geaccumuleerd regulatoir saldo door te rekenen volgens de tariefmethodologie in het boekjaar 2020</v>
      </c>
      <c r="K545" s="213" t="str">
        <f>"Aanwending van 50% van het geaccumuleerd regulatoir saldo door te rekenen volgens de tariefmethodologie in het boekjaar "&amp;F543</f>
        <v>Aanwending van 50% van het geaccumuleerd regulatoir saldo door te rekenen volgens de tariefmethodologie in het boekjaar 2020</v>
      </c>
      <c r="L545" s="165" t="str">
        <f>"Totale afbouw over "&amp;F543</f>
        <v>Totale afbouw over 2020</v>
      </c>
      <c r="M545" s="165" t="str">
        <f>"Nog af te bouwen regulatoir saldo einde "&amp;F543</f>
        <v>Nog af te bouwen regulatoir saldo einde 2020</v>
      </c>
      <c r="N545" s="206"/>
      <c r="O545" s="166"/>
    </row>
    <row r="546" spans="2:15" ht="13" x14ac:dyDescent="0.25">
      <c r="B546" s="1075">
        <v>2017</v>
      </c>
      <c r="C546" s="1076"/>
      <c r="D546" s="1076"/>
      <c r="E546" s="1077"/>
      <c r="F546" s="275"/>
      <c r="G546" s="521">
        <f>+M539</f>
        <v>0</v>
      </c>
      <c r="H546" s="813">
        <f>IF(SIGN(G548*M541)&lt;0,IF(G546&lt;&gt;0,-SIGN(G546)*MIN(ABS(G548),ABS(G546)),0),0)</f>
        <v>0</v>
      </c>
      <c r="I546" s="521">
        <f>+G546+H546</f>
        <v>0</v>
      </c>
      <c r="J546" s="852"/>
      <c r="K546" s="821">
        <f>-MIN(ABS(I546),ABS(J549))*SIGN(I546)</f>
        <v>0</v>
      </c>
      <c r="L546" s="813">
        <f>+K546+H546</f>
        <v>0</v>
      </c>
      <c r="M546" s="521">
        <f>+I546+K546</f>
        <v>0</v>
      </c>
      <c r="N546" s="206"/>
      <c r="O546" s="166"/>
    </row>
    <row r="547" spans="2:15" ht="13" x14ac:dyDescent="0.25">
      <c r="B547" s="1075">
        <v>2018</v>
      </c>
      <c r="C547" s="1076"/>
      <c r="D547" s="1076">
        <v>2016</v>
      </c>
      <c r="E547" s="1077"/>
      <c r="F547" s="275"/>
      <c r="G547" s="521">
        <f>+M540</f>
        <v>0</v>
      </c>
      <c r="H547" s="813">
        <f>IF(SIGN(G548*M541)&lt;0,IF(G547&lt;&gt;0,-SIGN(G547)*MIN(ABS(G548-H546),ABS(G547)),0),0)</f>
        <v>0</v>
      </c>
      <c r="I547" s="521">
        <f>+G547+H547</f>
        <v>0</v>
      </c>
      <c r="J547" s="852"/>
      <c r="K547" s="821">
        <f>-MIN(ABS(I547),ABS(J549-K546))*SIGN(I547)</f>
        <v>0</v>
      </c>
      <c r="L547" s="813">
        <f>+K547+H547</f>
        <v>0</v>
      </c>
      <c r="M547" s="521">
        <f>+I547+K547</f>
        <v>0</v>
      </c>
      <c r="N547" s="206"/>
      <c r="O547" s="166"/>
    </row>
    <row r="548" spans="2:15" ht="13" x14ac:dyDescent="0.25">
      <c r="B548" s="1075">
        <v>2019</v>
      </c>
      <c r="C548" s="1076"/>
      <c r="D548" s="1076"/>
      <c r="E548" s="1077"/>
      <c r="F548" s="275"/>
      <c r="G548" s="521">
        <f>I178</f>
        <v>0</v>
      </c>
      <c r="H548" s="813">
        <f>IF(SIGN(G548*M541)&lt;0,-SUM(H546:H547),0)</f>
        <v>0</v>
      </c>
      <c r="I548" s="521">
        <f>+G548+H548</f>
        <v>0</v>
      </c>
      <c r="J548" s="852"/>
      <c r="K548" s="821">
        <f>-MIN(ABS(I548),ABS(J549-K546-K547))*SIGN(I548)</f>
        <v>0</v>
      </c>
      <c r="L548" s="813">
        <f>+K548+H548</f>
        <v>0</v>
      </c>
      <c r="M548" s="521">
        <f>+I548+K548</f>
        <v>0</v>
      </c>
      <c r="N548" s="206"/>
      <c r="O548" s="166"/>
    </row>
    <row r="549" spans="2:15" s="273" customFormat="1" ht="13" x14ac:dyDescent="0.3">
      <c r="G549" s="168">
        <f>SUM(G546:G548)</f>
        <v>0</v>
      </c>
      <c r="H549" s="168">
        <f>SUM(H546:H548)</f>
        <v>0</v>
      </c>
      <c r="I549" s="168">
        <f>SUM(I546:I548)</f>
        <v>0</v>
      </c>
      <c r="J549" s="286">
        <f>-I549*0.5</f>
        <v>0</v>
      </c>
      <c r="K549" s="286">
        <f>SUM(K546:K548)</f>
        <v>0</v>
      </c>
      <c r="L549" s="528"/>
      <c r="M549" s="168">
        <f>SUM(M546:M548)</f>
        <v>0</v>
      </c>
    </row>
    <row r="550" spans="2:15" x14ac:dyDescent="0.25">
      <c r="O550" s="166"/>
    </row>
    <row r="551" spans="2:15" ht="13" x14ac:dyDescent="0.25">
      <c r="B551" s="273" t="s">
        <v>139</v>
      </c>
      <c r="F551" s="810">
        <v>2021</v>
      </c>
      <c r="O551" s="166"/>
    </row>
    <row r="552" spans="2:15" x14ac:dyDescent="0.25">
      <c r="O552" s="166"/>
    </row>
    <row r="553" spans="2:15" ht="78" customHeight="1" x14ac:dyDescent="0.25">
      <c r="B553" s="1078" t="s">
        <v>140</v>
      </c>
      <c r="C553" s="1079"/>
      <c r="D553" s="1079"/>
      <c r="E553" s="1080"/>
      <c r="F553" s="274"/>
      <c r="G553" s="165" t="str">
        <f>"Nog af te bouwen regulatoir saldo einde "&amp;F551-1</f>
        <v>Nog af te bouwen regulatoir saldo einde 2020</v>
      </c>
      <c r="H553" s="165" t="str">
        <f>"50% van het oorspronkelijk regulatoir saldo door te rekenen volgens de tariefmethodologie in het boekjaar "&amp;F551</f>
        <v>50% van het oorspronkelijk regulatoir saldo door te rekenen volgens de tariefmethodologie in het boekjaar 2021</v>
      </c>
      <c r="I553" s="165" t="str">
        <f>"Nog af te bouwen regulatoir saldo einde "&amp;F551</f>
        <v>Nog af te bouwen regulatoir saldo einde 2021</v>
      </c>
      <c r="J553" s="206"/>
      <c r="O553" s="166"/>
    </row>
    <row r="554" spans="2:15" ht="13" x14ac:dyDescent="0.25">
      <c r="B554" s="1075">
        <v>2017</v>
      </c>
      <c r="C554" s="1076"/>
      <c r="D554" s="1076"/>
      <c r="E554" s="1077"/>
      <c r="F554" s="275"/>
      <c r="G554" s="521">
        <f>+M546</f>
        <v>0</v>
      </c>
      <c r="H554" s="521">
        <f>-G554*0.5</f>
        <v>0</v>
      </c>
      <c r="I554" s="521">
        <f>+G554+H554</f>
        <v>0</v>
      </c>
      <c r="J554" s="206"/>
      <c r="O554" s="166"/>
    </row>
    <row r="555" spans="2:15" ht="13" x14ac:dyDescent="0.25">
      <c r="B555" s="1075">
        <v>2018</v>
      </c>
      <c r="C555" s="1076"/>
      <c r="D555" s="1076"/>
      <c r="E555" s="1077"/>
      <c r="F555" s="275"/>
      <c r="G555" s="521">
        <f t="shared" ref="G555:G556" si="75">+M547</f>
        <v>0</v>
      </c>
      <c r="H555" s="521">
        <f t="shared" ref="H555:H557" si="76">-G555*0.5</f>
        <v>0</v>
      </c>
      <c r="I555" s="521">
        <f t="shared" ref="I555:I557" si="77">+G555+H555</f>
        <v>0</v>
      </c>
      <c r="J555" s="206"/>
      <c r="O555" s="166"/>
    </row>
    <row r="556" spans="2:15" ht="13" x14ac:dyDescent="0.25">
      <c r="B556" s="1075">
        <v>2019</v>
      </c>
      <c r="C556" s="1076"/>
      <c r="D556" s="1076">
        <v>2016</v>
      </c>
      <c r="E556" s="1077"/>
      <c r="F556" s="275"/>
      <c r="G556" s="521">
        <f t="shared" si="75"/>
        <v>0</v>
      </c>
      <c r="H556" s="521">
        <f t="shared" si="76"/>
        <v>0</v>
      </c>
      <c r="I556" s="521">
        <f t="shared" si="77"/>
        <v>0</v>
      </c>
      <c r="J556" s="206"/>
      <c r="O556" s="166"/>
    </row>
    <row r="557" spans="2:15" ht="13" x14ac:dyDescent="0.25">
      <c r="B557" s="1075">
        <v>2020</v>
      </c>
      <c r="C557" s="1076"/>
      <c r="D557" s="1076"/>
      <c r="E557" s="1077"/>
      <c r="F557" s="275"/>
      <c r="G557" s="521">
        <f>J179</f>
        <v>0</v>
      </c>
      <c r="H557" s="521">
        <f t="shared" si="76"/>
        <v>0</v>
      </c>
      <c r="I557" s="521">
        <f t="shared" si="77"/>
        <v>0</v>
      </c>
      <c r="J557" s="206"/>
      <c r="O557" s="166"/>
    </row>
    <row r="558" spans="2:15" s="273" customFormat="1" ht="13" x14ac:dyDescent="0.25">
      <c r="G558" s="168">
        <f>SUM(G554:G557)</f>
        <v>0</v>
      </c>
      <c r="H558" s="168">
        <f>SUM(H554:H557)</f>
        <v>0</v>
      </c>
      <c r="I558" s="168">
        <f>SUM(I554:I557)</f>
        <v>0</v>
      </c>
    </row>
    <row r="559" spans="2:15" x14ac:dyDescent="0.25">
      <c r="G559" s="214"/>
      <c r="H559" s="214"/>
      <c r="I559" s="214"/>
      <c r="O559" s="166"/>
    </row>
    <row r="560" spans="2:15" ht="13" x14ac:dyDescent="0.25">
      <c r="B560" s="273" t="s">
        <v>139</v>
      </c>
      <c r="F560" s="810">
        <v>2022</v>
      </c>
      <c r="O560" s="166"/>
    </row>
    <row r="561" spans="2:15" x14ac:dyDescent="0.25">
      <c r="O561" s="166"/>
    </row>
    <row r="562" spans="2:15" ht="78" customHeight="1" x14ac:dyDescent="0.25">
      <c r="B562" s="1078" t="s">
        <v>140</v>
      </c>
      <c r="C562" s="1079"/>
      <c r="D562" s="1079"/>
      <c r="E562" s="1080"/>
      <c r="F562" s="274"/>
      <c r="G562" s="165" t="str">
        <f>"Nog af te bouwen regulatoir saldo einde "&amp;F560-1</f>
        <v>Nog af te bouwen regulatoir saldo einde 2021</v>
      </c>
      <c r="H562" s="165" t="str">
        <f>"50% van het oorspronkelijk regulatoir saldo door te rekenen volgens de tariefmethodologie in het boekjaar "&amp;F560</f>
        <v>50% van het oorspronkelijk regulatoir saldo door te rekenen volgens de tariefmethodologie in het boekjaar 2022</v>
      </c>
      <c r="I562" s="165" t="str">
        <f>"Nog af te bouwen regulatoir saldo einde "&amp;F560</f>
        <v>Nog af te bouwen regulatoir saldo einde 2022</v>
      </c>
      <c r="J562" s="206"/>
      <c r="O562" s="166"/>
    </row>
    <row r="563" spans="2:15" ht="13" x14ac:dyDescent="0.25">
      <c r="B563" s="1075">
        <v>2017</v>
      </c>
      <c r="C563" s="1076"/>
      <c r="D563" s="1076">
        <v>2016</v>
      </c>
      <c r="E563" s="1077"/>
      <c r="F563" s="275"/>
      <c r="G563" s="521">
        <f>+I554</f>
        <v>0</v>
      </c>
      <c r="H563" s="521">
        <f>-G554*0.5</f>
        <v>0</v>
      </c>
      <c r="I563" s="521">
        <f t="shared" ref="I563:I567" si="78">+G563+H563</f>
        <v>0</v>
      </c>
      <c r="J563" s="206"/>
      <c r="O563" s="166"/>
    </row>
    <row r="564" spans="2:15" ht="13" x14ac:dyDescent="0.25">
      <c r="B564" s="1075">
        <v>2018</v>
      </c>
      <c r="C564" s="1076"/>
      <c r="D564" s="1076"/>
      <c r="E564" s="1077"/>
      <c r="F564" s="275"/>
      <c r="G564" s="521">
        <f t="shared" ref="G564:G566" si="79">+I555</f>
        <v>0</v>
      </c>
      <c r="H564" s="521">
        <f t="shared" ref="H564:H566" si="80">-G555*0.5</f>
        <v>0</v>
      </c>
      <c r="I564" s="521">
        <f t="shared" si="78"/>
        <v>0</v>
      </c>
      <c r="J564" s="206"/>
      <c r="O564" s="166"/>
    </row>
    <row r="565" spans="2:15" ht="13" x14ac:dyDescent="0.25">
      <c r="B565" s="1075">
        <v>2019</v>
      </c>
      <c r="C565" s="1076"/>
      <c r="D565" s="1076"/>
      <c r="E565" s="1077"/>
      <c r="F565" s="275"/>
      <c r="G565" s="521">
        <f t="shared" si="79"/>
        <v>0</v>
      </c>
      <c r="H565" s="521">
        <f t="shared" si="80"/>
        <v>0</v>
      </c>
      <c r="I565" s="521">
        <f t="shared" si="78"/>
        <v>0</v>
      </c>
      <c r="J565" s="206"/>
      <c r="O565" s="166"/>
    </row>
    <row r="566" spans="2:15" ht="13" x14ac:dyDescent="0.25">
      <c r="B566" s="1075">
        <v>2020</v>
      </c>
      <c r="C566" s="1076"/>
      <c r="D566" s="1076"/>
      <c r="E566" s="1077"/>
      <c r="F566" s="275"/>
      <c r="G566" s="521">
        <f t="shared" si="79"/>
        <v>0</v>
      </c>
      <c r="H566" s="521">
        <f t="shared" si="80"/>
        <v>0</v>
      </c>
      <c r="I566" s="521">
        <f t="shared" si="78"/>
        <v>0</v>
      </c>
      <c r="J566" s="206"/>
      <c r="O566" s="166"/>
    </row>
    <row r="567" spans="2:15" ht="13" x14ac:dyDescent="0.25">
      <c r="B567" s="1075">
        <v>2021</v>
      </c>
      <c r="C567" s="1076"/>
      <c r="D567" s="1076"/>
      <c r="E567" s="1077"/>
      <c r="F567" s="275"/>
      <c r="G567" s="521">
        <f>K180</f>
        <v>0</v>
      </c>
      <c r="H567" s="521">
        <f t="shared" ref="H567" si="81">-G567*0.5</f>
        <v>0</v>
      </c>
      <c r="I567" s="521">
        <f t="shared" si="78"/>
        <v>0</v>
      </c>
      <c r="J567" s="206"/>
      <c r="O567" s="166"/>
    </row>
    <row r="568" spans="2:15" s="273" customFormat="1" ht="13" x14ac:dyDescent="0.25">
      <c r="G568" s="168">
        <f>SUM(G563:G567)</f>
        <v>0</v>
      </c>
      <c r="H568" s="168">
        <f>SUM(H563:H567)</f>
        <v>0</v>
      </c>
      <c r="I568" s="168">
        <f>SUM(I563:I567)</f>
        <v>0</v>
      </c>
    </row>
    <row r="569" spans="2:15" x14ac:dyDescent="0.25">
      <c r="O569" s="166"/>
    </row>
    <row r="570" spans="2:15" ht="13" x14ac:dyDescent="0.25">
      <c r="B570" s="273" t="s">
        <v>139</v>
      </c>
      <c r="F570" s="810">
        <v>2023</v>
      </c>
      <c r="O570" s="166"/>
    </row>
    <row r="571" spans="2:15" x14ac:dyDescent="0.25">
      <c r="O571" s="166"/>
    </row>
    <row r="572" spans="2:15" ht="78" customHeight="1" x14ac:dyDescent="0.25">
      <c r="B572" s="1078" t="s">
        <v>140</v>
      </c>
      <c r="C572" s="1079"/>
      <c r="D572" s="1079"/>
      <c r="E572" s="1080"/>
      <c r="F572" s="274"/>
      <c r="G572" s="165" t="str">
        <f>"Nog af te bouwen regulatoir saldo einde "&amp;F570-1</f>
        <v>Nog af te bouwen regulatoir saldo einde 2022</v>
      </c>
      <c r="H572" s="165" t="str">
        <f>"50% van het oorspronkelijk regulatoir saldo door te rekenen volgens de tariefmethodologie in het boekjaar "&amp;F570</f>
        <v>50% van het oorspronkelijk regulatoir saldo door te rekenen volgens de tariefmethodologie in het boekjaar 2023</v>
      </c>
      <c r="I572" s="165" t="str">
        <f>"Nog af te bouwen regulatoir saldo einde "&amp;F570</f>
        <v>Nog af te bouwen regulatoir saldo einde 2023</v>
      </c>
      <c r="J572" s="206"/>
      <c r="O572" s="166"/>
    </row>
    <row r="573" spans="2:15" ht="13" x14ac:dyDescent="0.25">
      <c r="B573" s="1075">
        <v>2021</v>
      </c>
      <c r="C573" s="1076"/>
      <c r="D573" s="1076"/>
      <c r="E573" s="1077"/>
      <c r="F573" s="275"/>
      <c r="G573" s="521">
        <f>+I567</f>
        <v>0</v>
      </c>
      <c r="H573" s="521">
        <f>-G567*0.5</f>
        <v>0</v>
      </c>
      <c r="I573" s="521">
        <f t="shared" ref="I573" si="82">+G573+H573</f>
        <v>0</v>
      </c>
      <c r="J573" s="206"/>
      <c r="O573" s="166"/>
    </row>
    <row r="574" spans="2:15" s="273" customFormat="1" ht="13" x14ac:dyDescent="0.25">
      <c r="G574" s="168">
        <f>SUM(G573:G573)</f>
        <v>0</v>
      </c>
      <c r="H574" s="168">
        <f>SUM(H573:H573)</f>
        <v>0</v>
      </c>
      <c r="I574" s="168">
        <f>SUM(I573:I573)</f>
        <v>0</v>
      </c>
    </row>
    <row r="575" spans="2:15" x14ac:dyDescent="0.25">
      <c r="O575" s="166"/>
    </row>
    <row r="576" spans="2:15" ht="13" x14ac:dyDescent="0.25">
      <c r="B576" s="273" t="s">
        <v>96</v>
      </c>
      <c r="C576" s="216"/>
      <c r="D576" s="216"/>
      <c r="E576" s="216"/>
      <c r="O576" s="166"/>
    </row>
    <row r="577" spans="2:16" ht="13" x14ac:dyDescent="0.25">
      <c r="B577" s="273" t="s">
        <v>141</v>
      </c>
      <c r="C577" s="216"/>
      <c r="D577" s="216"/>
      <c r="E577" s="216"/>
      <c r="O577" s="166"/>
    </row>
    <row r="578" spans="2:16" ht="13" x14ac:dyDescent="0.25">
      <c r="B578" s="273"/>
      <c r="C578" s="216"/>
      <c r="D578" s="216"/>
      <c r="E578" s="216"/>
      <c r="O578" s="166"/>
    </row>
    <row r="579" spans="2:16" ht="13" x14ac:dyDescent="0.25">
      <c r="B579" s="275">
        <f>F551</f>
        <v>2021</v>
      </c>
      <c r="C579" s="279">
        <f>+H558</f>
        <v>0</v>
      </c>
      <c r="D579" s="216"/>
      <c r="E579" s="216"/>
      <c r="O579" s="166"/>
    </row>
    <row r="580" spans="2:16" ht="13" x14ac:dyDescent="0.25">
      <c r="B580" s="275">
        <v>2022</v>
      </c>
      <c r="C580" s="279">
        <f>+H568</f>
        <v>0</v>
      </c>
      <c r="D580" s="216"/>
      <c r="E580" s="216"/>
      <c r="O580" s="166"/>
    </row>
    <row r="581" spans="2:16" ht="13" x14ac:dyDescent="0.25">
      <c r="B581" s="275">
        <v>2023</v>
      </c>
      <c r="C581" s="279">
        <f>+H574</f>
        <v>0</v>
      </c>
      <c r="D581" s="216"/>
      <c r="E581" s="216"/>
      <c r="O581" s="166"/>
    </row>
    <row r="582" spans="2:16" ht="13" x14ac:dyDescent="0.25">
      <c r="B582" s="336">
        <v>2024</v>
      </c>
      <c r="C582" s="337">
        <v>0</v>
      </c>
      <c r="D582" s="216"/>
      <c r="E582" s="216"/>
      <c r="O582" s="166"/>
    </row>
    <row r="583" spans="2:16" x14ac:dyDescent="0.25">
      <c r="O583" s="166"/>
    </row>
    <row r="584" spans="2:16" x14ac:dyDescent="0.25">
      <c r="O584" s="166"/>
    </row>
    <row r="585" spans="2:16" ht="13" x14ac:dyDescent="0.25">
      <c r="B585" s="321" t="s">
        <v>357</v>
      </c>
      <c r="C585" s="322"/>
      <c r="D585" s="322"/>
      <c r="E585" s="322"/>
      <c r="F585" s="323"/>
      <c r="G585" s="323"/>
      <c r="H585" s="323"/>
      <c r="I585" s="323"/>
      <c r="J585" s="323"/>
      <c r="K585" s="323"/>
      <c r="L585" s="323"/>
      <c r="M585" s="323"/>
      <c r="N585" s="323"/>
      <c r="O585" s="324"/>
      <c r="P585" s="323"/>
    </row>
    <row r="586" spans="2:16" x14ac:dyDescent="0.25">
      <c r="O586" s="206"/>
    </row>
    <row r="587" spans="2:16" ht="13" x14ac:dyDescent="0.25">
      <c r="B587" s="273" t="s">
        <v>139</v>
      </c>
      <c r="F587" s="810">
        <v>2018</v>
      </c>
      <c r="O587" s="206"/>
    </row>
    <row r="588" spans="2:16" x14ac:dyDescent="0.25">
      <c r="O588" s="166"/>
    </row>
    <row r="589" spans="2:16" ht="102" customHeight="1" x14ac:dyDescent="0.25">
      <c r="B589" s="1078" t="s">
        <v>140</v>
      </c>
      <c r="C589" s="1079"/>
      <c r="D589" s="1079"/>
      <c r="E589" s="1080"/>
      <c r="F589" s="274"/>
      <c r="G589" s="165" t="str">
        <f>"Nog af te bouwen regulatoir saldo einde "&amp;F587-1</f>
        <v>Nog af te bouwen regulatoir saldo einde 2017</v>
      </c>
      <c r="H589" s="165" t="str">
        <f>"Afbouw oudste openstaande regulatoir saldo vanaf boekjaar "&amp;F587-2&amp;" en vroeger, door aanwending van compensatie met regulatoir saldo ontstaan over boekjaar "&amp;F587-1</f>
        <v>Afbouw oudste openstaande regulatoir saldo vanaf boekjaar 2016 en vroeger, door aanwending van compensatie met regulatoir saldo ontstaan over boekjaar 2017</v>
      </c>
      <c r="I589" s="165" t="str">
        <f>"Nog af te bouwen regulatoir saldo na compensatie einde "&amp;F587-1</f>
        <v>Nog af te bouwen regulatoir saldo na compensatie einde 2017</v>
      </c>
      <c r="J589" s="165" t="str">
        <f>"Aanwending van 50% van het geaccumuleerd regulatoir saldo door te rekenen volgens de tariefmethodologie in het boekjaar "&amp;F587</f>
        <v>Aanwending van 50% van het geaccumuleerd regulatoir saldo door te rekenen volgens de tariefmethodologie in het boekjaar 2018</v>
      </c>
      <c r="K589" s="165" t="str">
        <f>"Nog af te bouwen regulatoir saldo einde "&amp;F587</f>
        <v>Nog af te bouwen regulatoir saldo einde 2018</v>
      </c>
      <c r="L589" s="220"/>
      <c r="M589" s="220"/>
      <c r="N589" s="220"/>
      <c r="O589" s="166"/>
    </row>
    <row r="590" spans="2:16" ht="13" x14ac:dyDescent="0.25">
      <c r="B590" s="1075">
        <v>2017</v>
      </c>
      <c r="C590" s="1076"/>
      <c r="D590" s="1076"/>
      <c r="E590" s="1077"/>
      <c r="F590" s="275"/>
      <c r="G590" s="521">
        <f>+G185</f>
        <v>0</v>
      </c>
      <c r="H590" s="521">
        <v>0</v>
      </c>
      <c r="I590" s="521">
        <f>+G590+H590</f>
        <v>0</v>
      </c>
      <c r="J590" s="821">
        <f>-I590*0.5</f>
        <v>0</v>
      </c>
      <c r="K590" s="851">
        <f>+J590+G590</f>
        <v>0</v>
      </c>
      <c r="L590" s="812"/>
      <c r="M590" s="812"/>
      <c r="N590" s="812"/>
      <c r="O590" s="166"/>
    </row>
    <row r="591" spans="2:16" x14ac:dyDescent="0.25">
      <c r="O591" s="166"/>
    </row>
    <row r="592" spans="2:16" ht="13" x14ac:dyDescent="0.25">
      <c r="B592" s="273" t="s">
        <v>139</v>
      </c>
      <c r="F592" s="810">
        <v>2019</v>
      </c>
      <c r="O592" s="206"/>
    </row>
    <row r="593" spans="2:15" x14ac:dyDescent="0.25">
      <c r="O593" s="206"/>
    </row>
    <row r="594" spans="2:15" ht="102" customHeight="1" x14ac:dyDescent="0.25">
      <c r="B594" s="1078" t="s">
        <v>140</v>
      </c>
      <c r="C594" s="1079"/>
      <c r="D594" s="1079"/>
      <c r="E594" s="1080"/>
      <c r="F594" s="274"/>
      <c r="G594" s="165" t="str">
        <f>"Nog af te bouwen regulatoir saldo einde "&amp;F592-1</f>
        <v>Nog af te bouwen regulatoir saldo einde 2018</v>
      </c>
      <c r="H594" s="165" t="str">
        <f>"Afbouw oudste openstaande regulatoir saldo vanaf boekjaar "&amp;F592-2&amp;" en vroeger, door aanwending van compensatie met regulatoir saldo ontstaan over boekjaar "&amp;F592-1</f>
        <v>Afbouw oudste openstaande regulatoir saldo vanaf boekjaar 2017 en vroeger, door aanwending van compensatie met regulatoir saldo ontstaan over boekjaar 2018</v>
      </c>
      <c r="I594" s="165" t="str">
        <f>"Nog af te bouwen regulatoir saldo na compensatie einde "&amp;F592-1</f>
        <v>Nog af te bouwen regulatoir saldo na compensatie einde 2018</v>
      </c>
      <c r="J594" s="213" t="str">
        <f>"Aanwending van 50% van het geaccumuleerd regulatoir saldo door te rekenen volgens de tariefmethodologie in het boekjaar "&amp;F592</f>
        <v>Aanwending van 50% van het geaccumuleerd regulatoir saldo door te rekenen volgens de tariefmethodologie in het boekjaar 2019</v>
      </c>
      <c r="K594" s="213" t="str">
        <f>"Aanwending van 50% van het geaccumuleerd regulatoir saldo door te rekenen volgens de tariefmethodologie in het boekjaar "&amp;F592</f>
        <v>Aanwending van 50% van het geaccumuleerd regulatoir saldo door te rekenen volgens de tariefmethodologie in het boekjaar 2019</v>
      </c>
      <c r="L594" s="165" t="str">
        <f>"Totale afbouw over "&amp;F592</f>
        <v>Totale afbouw over 2019</v>
      </c>
      <c r="M594" s="165" t="str">
        <f>"Nog af te bouwen regulatoir saldo einde "&amp;F592</f>
        <v>Nog af te bouwen regulatoir saldo einde 2019</v>
      </c>
      <c r="N594" s="206"/>
      <c r="O594" s="166"/>
    </row>
    <row r="595" spans="2:15" ht="13" x14ac:dyDescent="0.25">
      <c r="B595" s="1075">
        <v>2017</v>
      </c>
      <c r="C595" s="1076"/>
      <c r="D595" s="1076"/>
      <c r="E595" s="1077"/>
      <c r="F595" s="275"/>
      <c r="G595" s="521">
        <f>K590</f>
        <v>0</v>
      </c>
      <c r="H595" s="521">
        <f>IF(SIGN(G596*K590)&lt;0,IF(G595&lt;&gt;0,-SIGN(G595)*MIN(ABS(G596),ABS(G595)),0),0)</f>
        <v>0</v>
      </c>
      <c r="I595" s="521">
        <f>+G595+H595</f>
        <v>0</v>
      </c>
      <c r="J595" s="852"/>
      <c r="K595" s="821">
        <f>-MIN(ABS(I595),ABS(J597))*SIGN(I595)</f>
        <v>0</v>
      </c>
      <c r="L595" s="813">
        <f>+K595+H595</f>
        <v>0</v>
      </c>
      <c r="M595" s="521">
        <f>+I595+K595</f>
        <v>0</v>
      </c>
      <c r="N595" s="206"/>
      <c r="O595" s="166"/>
    </row>
    <row r="596" spans="2:15" ht="13" x14ac:dyDescent="0.25">
      <c r="B596" s="1075">
        <v>2018</v>
      </c>
      <c r="C596" s="1076"/>
      <c r="D596" s="1076"/>
      <c r="E596" s="1077"/>
      <c r="F596" s="275"/>
      <c r="G596" s="521">
        <f>+H186</f>
        <v>0</v>
      </c>
      <c r="H596" s="813">
        <f>IF(SIGN(G596*K590)&lt;0,-H595,0)</f>
        <v>0</v>
      </c>
      <c r="I596" s="521">
        <f>+G596+H596</f>
        <v>0</v>
      </c>
      <c r="J596" s="852"/>
      <c r="K596" s="821">
        <f>-MIN(ABS(I596),ABS(J597-K595))*SIGN(I596)</f>
        <v>0</v>
      </c>
      <c r="L596" s="813">
        <f>+K596+H596</f>
        <v>0</v>
      </c>
      <c r="M596" s="521">
        <f>+I596+K596</f>
        <v>0</v>
      </c>
      <c r="N596" s="206"/>
      <c r="O596" s="166"/>
    </row>
    <row r="597" spans="2:15" s="273" customFormat="1" ht="13" x14ac:dyDescent="0.3">
      <c r="G597" s="168">
        <f>SUM(G595:G596)</f>
        <v>0</v>
      </c>
      <c r="H597" s="168">
        <f>SUM(H595:H596)</f>
        <v>0</v>
      </c>
      <c r="I597" s="168">
        <f>SUM(I595:I596)</f>
        <v>0</v>
      </c>
      <c r="J597" s="286">
        <f>-I597*0.5</f>
        <v>0</v>
      </c>
      <c r="K597" s="286">
        <f>SUM(K595:K596)</f>
        <v>0</v>
      </c>
      <c r="L597" s="528"/>
      <c r="M597" s="168">
        <f>SUM(M595:M596)</f>
        <v>0</v>
      </c>
    </row>
    <row r="598" spans="2:15" x14ac:dyDescent="0.25">
      <c r="O598" s="166"/>
    </row>
    <row r="599" spans="2:15" ht="13" x14ac:dyDescent="0.25">
      <c r="B599" s="273" t="s">
        <v>139</v>
      </c>
      <c r="F599" s="810">
        <v>2020</v>
      </c>
      <c r="O599" s="166"/>
    </row>
    <row r="600" spans="2:15" x14ac:dyDescent="0.25">
      <c r="O600" s="166"/>
    </row>
    <row r="601" spans="2:15" ht="102" customHeight="1" x14ac:dyDescent="0.25">
      <c r="B601" s="1078" t="s">
        <v>140</v>
      </c>
      <c r="C601" s="1079"/>
      <c r="D601" s="1079"/>
      <c r="E601" s="1080"/>
      <c r="F601" s="274"/>
      <c r="G601" s="165" t="str">
        <f>"Nog af te bouwen regulatoir saldo einde "&amp;F599-1</f>
        <v>Nog af te bouwen regulatoir saldo einde 2019</v>
      </c>
      <c r="H601" s="165" t="str">
        <f>"Afbouw oudste openstaande regulatoir saldo vanaf boekjaar "&amp;F599-2&amp;" en vroeger, door aanwending van compensatie met regulatoir saldo ontstaan over boekjaar "&amp;F599-1</f>
        <v>Afbouw oudste openstaande regulatoir saldo vanaf boekjaar 2018 en vroeger, door aanwending van compensatie met regulatoir saldo ontstaan over boekjaar 2019</v>
      </c>
      <c r="I601" s="165" t="str">
        <f>"Nog af te bouwen regulatoir saldo na compensatie einde "&amp;F599-1</f>
        <v>Nog af te bouwen regulatoir saldo na compensatie einde 2019</v>
      </c>
      <c r="J601" s="213" t="str">
        <f>"Aanwending van 50% van het geaccumuleerd regulatoir saldo door te rekenen volgens de tariefmethodologie in het boekjaar "&amp;F599</f>
        <v>Aanwending van 50% van het geaccumuleerd regulatoir saldo door te rekenen volgens de tariefmethodologie in het boekjaar 2020</v>
      </c>
      <c r="K601" s="213" t="str">
        <f>"Aanwending van 50% van het geaccumuleerd regulatoir saldo door te rekenen volgens de tariefmethodologie in het boekjaar "&amp;F599</f>
        <v>Aanwending van 50% van het geaccumuleerd regulatoir saldo door te rekenen volgens de tariefmethodologie in het boekjaar 2020</v>
      </c>
      <c r="L601" s="165" t="str">
        <f>"Totale afbouw over "&amp;F599</f>
        <v>Totale afbouw over 2020</v>
      </c>
      <c r="M601" s="165" t="str">
        <f>"Nog af te bouwen regulatoir saldo einde "&amp;F599</f>
        <v>Nog af te bouwen regulatoir saldo einde 2020</v>
      </c>
      <c r="N601" s="206"/>
      <c r="O601" s="166"/>
    </row>
    <row r="602" spans="2:15" ht="13" x14ac:dyDescent="0.25">
      <c r="B602" s="1075">
        <v>2017</v>
      </c>
      <c r="C602" s="1076"/>
      <c r="D602" s="1076"/>
      <c r="E602" s="1077"/>
      <c r="F602" s="275"/>
      <c r="G602" s="521">
        <f>+M595</f>
        <v>0</v>
      </c>
      <c r="H602" s="813">
        <f>IF(SIGN(G604*M597)&lt;0,IF(G602&lt;&gt;0,-SIGN(G602)*MIN(ABS(G604),ABS(G602)),0),0)</f>
        <v>0</v>
      </c>
      <c r="I602" s="521">
        <f>+G602+H602</f>
        <v>0</v>
      </c>
      <c r="J602" s="852"/>
      <c r="K602" s="821">
        <f>-MIN(ABS(I602),ABS(J605))*SIGN(I602)</f>
        <v>0</v>
      </c>
      <c r="L602" s="813">
        <f>+K602+H602</f>
        <v>0</v>
      </c>
      <c r="M602" s="521">
        <f>+I602+K602</f>
        <v>0</v>
      </c>
      <c r="N602" s="206"/>
      <c r="O602" s="166"/>
    </row>
    <row r="603" spans="2:15" ht="13" x14ac:dyDescent="0.25">
      <c r="B603" s="1075">
        <v>2018</v>
      </c>
      <c r="C603" s="1076"/>
      <c r="D603" s="1076">
        <v>2016</v>
      </c>
      <c r="E603" s="1077"/>
      <c r="F603" s="275"/>
      <c r="G603" s="521">
        <f>+M596</f>
        <v>0</v>
      </c>
      <c r="H603" s="813">
        <f>IF(SIGN(G604*M597)&lt;0,IF(G603&lt;&gt;0,-SIGN(G603)*MIN(ABS(G604-H602),ABS(G603)),0),0)</f>
        <v>0</v>
      </c>
      <c r="I603" s="521">
        <f>+G603+H603</f>
        <v>0</v>
      </c>
      <c r="J603" s="852"/>
      <c r="K603" s="821">
        <f>-MIN(ABS(I603),ABS(J605-K602))*SIGN(I603)</f>
        <v>0</v>
      </c>
      <c r="L603" s="813">
        <f>+K603+H603</f>
        <v>0</v>
      </c>
      <c r="M603" s="521">
        <f>+I603+K603</f>
        <v>0</v>
      </c>
      <c r="N603" s="206"/>
      <c r="O603" s="166"/>
    </row>
    <row r="604" spans="2:15" ht="13" x14ac:dyDescent="0.25">
      <c r="B604" s="1075">
        <v>2019</v>
      </c>
      <c r="C604" s="1076"/>
      <c r="D604" s="1076"/>
      <c r="E604" s="1077"/>
      <c r="F604" s="275"/>
      <c r="G604" s="521">
        <f>I187</f>
        <v>0</v>
      </c>
      <c r="H604" s="813">
        <f>IF(SIGN(G604*M597)&lt;0,-SUM(H602:H603),0)</f>
        <v>0</v>
      </c>
      <c r="I604" s="521">
        <f>+G604+H604</f>
        <v>0</v>
      </c>
      <c r="J604" s="852"/>
      <c r="K604" s="821">
        <f>-MIN(ABS(I604),ABS(J605-K602-K603))*SIGN(I604)</f>
        <v>0</v>
      </c>
      <c r="L604" s="813">
        <f>+K604+H604</f>
        <v>0</v>
      </c>
      <c r="M604" s="521">
        <f>+I604+K604</f>
        <v>0</v>
      </c>
      <c r="N604" s="206"/>
      <c r="O604" s="166"/>
    </row>
    <row r="605" spans="2:15" s="273" customFormat="1" ht="13" x14ac:dyDescent="0.3">
      <c r="G605" s="168">
        <f>SUM(G602:G604)</f>
        <v>0</v>
      </c>
      <c r="H605" s="168">
        <f>SUM(H602:H604)</f>
        <v>0</v>
      </c>
      <c r="I605" s="168">
        <f>SUM(I602:I604)</f>
        <v>0</v>
      </c>
      <c r="J605" s="286">
        <f>-I605*0.5</f>
        <v>0</v>
      </c>
      <c r="K605" s="286">
        <f>SUM(K602:K604)</f>
        <v>0</v>
      </c>
      <c r="L605" s="528"/>
      <c r="M605" s="168">
        <f>SUM(M602:M604)</f>
        <v>0</v>
      </c>
    </row>
    <row r="606" spans="2:15" x14ac:dyDescent="0.25">
      <c r="O606" s="166"/>
    </row>
    <row r="607" spans="2:15" ht="13" x14ac:dyDescent="0.25">
      <c r="B607" s="273" t="s">
        <v>139</v>
      </c>
      <c r="F607" s="810">
        <v>2021</v>
      </c>
      <c r="O607" s="166"/>
    </row>
    <row r="608" spans="2:15" x14ac:dyDescent="0.25">
      <c r="O608" s="166"/>
    </row>
    <row r="609" spans="2:15" ht="78" customHeight="1" x14ac:dyDescent="0.25">
      <c r="B609" s="1078" t="s">
        <v>140</v>
      </c>
      <c r="C609" s="1079"/>
      <c r="D609" s="1079"/>
      <c r="E609" s="1080"/>
      <c r="F609" s="274"/>
      <c r="G609" s="165" t="str">
        <f>"Nog af te bouwen regulatoir saldo einde "&amp;F607-1</f>
        <v>Nog af te bouwen regulatoir saldo einde 2020</v>
      </c>
      <c r="H609" s="165" t="str">
        <f>"50% van het oorspronkelijk regulatoir saldo door te rekenen volgens de tariefmethodologie in het boekjaar "&amp;F607</f>
        <v>50% van het oorspronkelijk regulatoir saldo door te rekenen volgens de tariefmethodologie in het boekjaar 2021</v>
      </c>
      <c r="I609" s="165" t="str">
        <f>"Nog af te bouwen regulatoir saldo einde "&amp;F607</f>
        <v>Nog af te bouwen regulatoir saldo einde 2021</v>
      </c>
      <c r="J609" s="206"/>
      <c r="O609" s="166"/>
    </row>
    <row r="610" spans="2:15" ht="13" x14ac:dyDescent="0.25">
      <c r="B610" s="1075">
        <v>2017</v>
      </c>
      <c r="C610" s="1076"/>
      <c r="D610" s="1076"/>
      <c r="E610" s="1077"/>
      <c r="F610" s="275"/>
      <c r="G610" s="521">
        <f>+M602</f>
        <v>0</v>
      </c>
      <c r="H610" s="521">
        <f>-G610*0.5</f>
        <v>0</v>
      </c>
      <c r="I610" s="521">
        <f>+G610+H610</f>
        <v>0</v>
      </c>
      <c r="J610" s="206"/>
      <c r="O610" s="166"/>
    </row>
    <row r="611" spans="2:15" ht="13" x14ac:dyDescent="0.25">
      <c r="B611" s="1075">
        <v>2018</v>
      </c>
      <c r="C611" s="1076"/>
      <c r="D611" s="1076"/>
      <c r="E611" s="1077"/>
      <c r="F611" s="275"/>
      <c r="G611" s="521">
        <f t="shared" ref="G611:G612" si="83">+M603</f>
        <v>0</v>
      </c>
      <c r="H611" s="521">
        <f t="shared" ref="H611:H613" si="84">-G611*0.5</f>
        <v>0</v>
      </c>
      <c r="I611" s="521">
        <f t="shared" ref="I611:I613" si="85">+G611+H611</f>
        <v>0</v>
      </c>
      <c r="J611" s="206"/>
      <c r="O611" s="166"/>
    </row>
    <row r="612" spans="2:15" ht="13" x14ac:dyDescent="0.25">
      <c r="B612" s="1075">
        <v>2019</v>
      </c>
      <c r="C612" s="1076"/>
      <c r="D612" s="1076">
        <v>2016</v>
      </c>
      <c r="E612" s="1077"/>
      <c r="F612" s="275"/>
      <c r="G612" s="521">
        <f t="shared" si="83"/>
        <v>0</v>
      </c>
      <c r="H612" s="521">
        <f t="shared" si="84"/>
        <v>0</v>
      </c>
      <c r="I612" s="521">
        <f t="shared" si="85"/>
        <v>0</v>
      </c>
      <c r="J612" s="206"/>
      <c r="O612" s="166"/>
    </row>
    <row r="613" spans="2:15" ht="13" x14ac:dyDescent="0.25">
      <c r="B613" s="1075">
        <v>2020</v>
      </c>
      <c r="C613" s="1076"/>
      <c r="D613" s="1076"/>
      <c r="E613" s="1077"/>
      <c r="F613" s="275"/>
      <c r="G613" s="521">
        <f>J188</f>
        <v>0</v>
      </c>
      <c r="H613" s="521">
        <f t="shared" si="84"/>
        <v>0</v>
      </c>
      <c r="I613" s="521">
        <f t="shared" si="85"/>
        <v>0</v>
      </c>
      <c r="J613" s="206"/>
      <c r="O613" s="166"/>
    </row>
    <row r="614" spans="2:15" s="273" customFormat="1" ht="13" x14ac:dyDescent="0.25">
      <c r="G614" s="168">
        <f>SUM(G610:G613)</f>
        <v>0</v>
      </c>
      <c r="H614" s="168">
        <f>SUM(H610:H613)</f>
        <v>0</v>
      </c>
      <c r="I614" s="168">
        <f>SUM(I610:I613)</f>
        <v>0</v>
      </c>
    </row>
    <row r="615" spans="2:15" x14ac:dyDescent="0.25">
      <c r="G615" s="214"/>
      <c r="H615" s="214"/>
      <c r="I615" s="214"/>
      <c r="O615" s="166"/>
    </row>
    <row r="616" spans="2:15" ht="13" x14ac:dyDescent="0.25">
      <c r="B616" s="273" t="s">
        <v>139</v>
      </c>
      <c r="F616" s="810">
        <v>2022</v>
      </c>
      <c r="O616" s="166"/>
    </row>
    <row r="617" spans="2:15" x14ac:dyDescent="0.25">
      <c r="O617" s="166"/>
    </row>
    <row r="618" spans="2:15" ht="78" customHeight="1" x14ac:dyDescent="0.25">
      <c r="B618" s="1078" t="s">
        <v>140</v>
      </c>
      <c r="C618" s="1079"/>
      <c r="D618" s="1079"/>
      <c r="E618" s="1080"/>
      <c r="F618" s="274"/>
      <c r="G618" s="165" t="str">
        <f>"Nog af te bouwen regulatoir saldo einde "&amp;F616-1</f>
        <v>Nog af te bouwen regulatoir saldo einde 2021</v>
      </c>
      <c r="H618" s="165" t="str">
        <f>"50% van het oorspronkelijk regulatoir saldo door te rekenen volgens de tariefmethodologie in het boekjaar "&amp;F616</f>
        <v>50% van het oorspronkelijk regulatoir saldo door te rekenen volgens de tariefmethodologie in het boekjaar 2022</v>
      </c>
      <c r="I618" s="165" t="str">
        <f>"Nog af te bouwen regulatoir saldo einde "&amp;F616</f>
        <v>Nog af te bouwen regulatoir saldo einde 2022</v>
      </c>
      <c r="J618" s="206"/>
      <c r="O618" s="166"/>
    </row>
    <row r="619" spans="2:15" ht="13" x14ac:dyDescent="0.25">
      <c r="B619" s="1075">
        <v>2017</v>
      </c>
      <c r="C619" s="1076"/>
      <c r="D619" s="1076">
        <v>2016</v>
      </c>
      <c r="E619" s="1077"/>
      <c r="F619" s="275"/>
      <c r="G619" s="521">
        <f>+I610</f>
        <v>0</v>
      </c>
      <c r="H619" s="521">
        <f>-G610*0.5</f>
        <v>0</v>
      </c>
      <c r="I619" s="521">
        <f t="shared" ref="I619:I623" si="86">+G619+H619</f>
        <v>0</v>
      </c>
      <c r="J619" s="206"/>
      <c r="O619" s="166"/>
    </row>
    <row r="620" spans="2:15" ht="13" x14ac:dyDescent="0.25">
      <c r="B620" s="1075">
        <v>2018</v>
      </c>
      <c r="C620" s="1076"/>
      <c r="D620" s="1076"/>
      <c r="E620" s="1077"/>
      <c r="F620" s="275"/>
      <c r="G620" s="521">
        <f t="shared" ref="G620:G622" si="87">+I611</f>
        <v>0</v>
      </c>
      <c r="H620" s="521">
        <f t="shared" ref="H620:H622" si="88">-G611*0.5</f>
        <v>0</v>
      </c>
      <c r="I620" s="521">
        <f t="shared" si="86"/>
        <v>0</v>
      </c>
      <c r="J620" s="206"/>
      <c r="O620" s="166"/>
    </row>
    <row r="621" spans="2:15" ht="13" x14ac:dyDescent="0.25">
      <c r="B621" s="1075">
        <v>2019</v>
      </c>
      <c r="C621" s="1076"/>
      <c r="D621" s="1076"/>
      <c r="E621" s="1077"/>
      <c r="F621" s="275"/>
      <c r="G621" s="521">
        <f t="shared" si="87"/>
        <v>0</v>
      </c>
      <c r="H621" s="521">
        <f t="shared" si="88"/>
        <v>0</v>
      </c>
      <c r="I621" s="521">
        <f t="shared" si="86"/>
        <v>0</v>
      </c>
      <c r="J621" s="206"/>
      <c r="O621" s="166"/>
    </row>
    <row r="622" spans="2:15" ht="13" x14ac:dyDescent="0.25">
      <c r="B622" s="1075">
        <v>2020</v>
      </c>
      <c r="C622" s="1076"/>
      <c r="D622" s="1076"/>
      <c r="E622" s="1077"/>
      <c r="F622" s="275"/>
      <c r="G622" s="521">
        <f t="shared" si="87"/>
        <v>0</v>
      </c>
      <c r="H622" s="521">
        <f t="shared" si="88"/>
        <v>0</v>
      </c>
      <c r="I622" s="521">
        <f t="shared" si="86"/>
        <v>0</v>
      </c>
      <c r="J622" s="206"/>
      <c r="O622" s="166"/>
    </row>
    <row r="623" spans="2:15" ht="13" x14ac:dyDescent="0.25">
      <c r="B623" s="1075">
        <v>2021</v>
      </c>
      <c r="C623" s="1076"/>
      <c r="D623" s="1076"/>
      <c r="E623" s="1077"/>
      <c r="F623" s="275"/>
      <c r="G623" s="521">
        <f>K189</f>
        <v>0</v>
      </c>
      <c r="H623" s="521">
        <f t="shared" ref="H623" si="89">-G623*0.5</f>
        <v>0</v>
      </c>
      <c r="I623" s="521">
        <f t="shared" si="86"/>
        <v>0</v>
      </c>
      <c r="J623" s="206"/>
      <c r="O623" s="166"/>
    </row>
    <row r="624" spans="2:15" s="273" customFormat="1" ht="13" x14ac:dyDescent="0.25">
      <c r="G624" s="168">
        <f>SUM(G619:G623)</f>
        <v>0</v>
      </c>
      <c r="H624" s="168">
        <f>SUM(H619:H623)</f>
        <v>0</v>
      </c>
      <c r="I624" s="168">
        <f>SUM(I619:I623)</f>
        <v>0</v>
      </c>
    </row>
    <row r="625" spans="2:15" x14ac:dyDescent="0.25">
      <c r="O625" s="166"/>
    </row>
    <row r="626" spans="2:15" ht="13" x14ac:dyDescent="0.25">
      <c r="B626" s="273" t="s">
        <v>139</v>
      </c>
      <c r="F626" s="810">
        <v>2023</v>
      </c>
      <c r="O626" s="166"/>
    </row>
    <row r="627" spans="2:15" x14ac:dyDescent="0.25">
      <c r="O627" s="166"/>
    </row>
    <row r="628" spans="2:15" ht="78" customHeight="1" x14ac:dyDescent="0.25">
      <c r="B628" s="1078" t="s">
        <v>140</v>
      </c>
      <c r="C628" s="1079"/>
      <c r="D628" s="1079"/>
      <c r="E628" s="1080"/>
      <c r="F628" s="274"/>
      <c r="G628" s="165" t="str">
        <f>"Nog af te bouwen regulatoir saldo einde "&amp;F626-1</f>
        <v>Nog af te bouwen regulatoir saldo einde 2022</v>
      </c>
      <c r="H628" s="165" t="str">
        <f>"50% van het oorspronkelijk regulatoir saldo door te rekenen volgens de tariefmethodologie in het boekjaar "&amp;F626</f>
        <v>50% van het oorspronkelijk regulatoir saldo door te rekenen volgens de tariefmethodologie in het boekjaar 2023</v>
      </c>
      <c r="I628" s="165" t="str">
        <f>"Nog af te bouwen regulatoir saldo einde "&amp;F626</f>
        <v>Nog af te bouwen regulatoir saldo einde 2023</v>
      </c>
      <c r="J628" s="206"/>
      <c r="O628" s="166"/>
    </row>
    <row r="629" spans="2:15" ht="13" x14ac:dyDescent="0.25">
      <c r="B629" s="1075">
        <v>2021</v>
      </c>
      <c r="C629" s="1076"/>
      <c r="D629" s="1076"/>
      <c r="E629" s="1077"/>
      <c r="F629" s="275"/>
      <c r="G629" s="521">
        <f>+I623</f>
        <v>0</v>
      </c>
      <c r="H629" s="521">
        <f>-G623*0.5</f>
        <v>0</v>
      </c>
      <c r="I629" s="521">
        <f t="shared" ref="I629:I630" si="90">+G629+H629</f>
        <v>0</v>
      </c>
      <c r="J629" s="206"/>
      <c r="O629" s="166"/>
    </row>
    <row r="630" spans="2:15" ht="13" x14ac:dyDescent="0.25">
      <c r="B630" s="1075">
        <v>2022</v>
      </c>
      <c r="C630" s="1076"/>
      <c r="D630" s="1076"/>
      <c r="E630" s="1077"/>
      <c r="F630" s="275"/>
      <c r="G630" s="521">
        <f>L190</f>
        <v>0</v>
      </c>
      <c r="H630" s="521">
        <f t="shared" ref="H630" si="91">-G630*0.5</f>
        <v>0</v>
      </c>
      <c r="I630" s="521">
        <f t="shared" si="90"/>
        <v>0</v>
      </c>
      <c r="J630" s="206"/>
      <c r="O630" s="166"/>
    </row>
    <row r="631" spans="2:15" s="273" customFormat="1" ht="13" x14ac:dyDescent="0.25">
      <c r="G631" s="168">
        <f>SUM(G629:G630)</f>
        <v>0</v>
      </c>
      <c r="H631" s="168">
        <f>SUM(H629:H630)</f>
        <v>0</v>
      </c>
      <c r="I631" s="168">
        <f>SUM(I629:I630)</f>
        <v>0</v>
      </c>
    </row>
    <row r="632" spans="2:15" x14ac:dyDescent="0.25">
      <c r="O632" s="166"/>
    </row>
    <row r="633" spans="2:15" ht="13" x14ac:dyDescent="0.25">
      <c r="B633" s="273" t="s">
        <v>139</v>
      </c>
      <c r="F633" s="810">
        <v>2024</v>
      </c>
      <c r="O633" s="166"/>
    </row>
    <row r="634" spans="2:15" x14ac:dyDescent="0.25">
      <c r="O634" s="166"/>
    </row>
    <row r="635" spans="2:15" ht="78" customHeight="1" x14ac:dyDescent="0.25">
      <c r="B635" s="1078" t="s">
        <v>140</v>
      </c>
      <c r="C635" s="1079"/>
      <c r="D635" s="1079"/>
      <c r="E635" s="1080"/>
      <c r="F635" s="274"/>
      <c r="G635" s="165" t="str">
        <f>"Nog af te bouwen regulatoir saldo einde "&amp;F633-1</f>
        <v>Nog af te bouwen regulatoir saldo einde 2023</v>
      </c>
      <c r="H635" s="165" t="str">
        <f>"50% van het oorspronkelijk regulatoir saldo door te rekenen volgens de tariefmethodologie in het boekjaar "&amp;F633</f>
        <v>50% van het oorspronkelijk regulatoir saldo door te rekenen volgens de tariefmethodologie in het boekjaar 2024</v>
      </c>
      <c r="I635" s="165" t="str">
        <f>"Nog af te bouwen regulatoir saldo einde "&amp;F633</f>
        <v>Nog af te bouwen regulatoir saldo einde 2024</v>
      </c>
      <c r="J635" s="206"/>
      <c r="O635" s="166"/>
    </row>
    <row r="636" spans="2:15" ht="13" x14ac:dyDescent="0.25">
      <c r="B636" s="1075">
        <v>2022</v>
      </c>
      <c r="C636" s="1076"/>
      <c r="D636" s="1076"/>
      <c r="E636" s="1077"/>
      <c r="F636" s="275"/>
      <c r="G636" s="521">
        <f>+I630</f>
        <v>0</v>
      </c>
      <c r="H636" s="521">
        <f>-G630*0.5</f>
        <v>0</v>
      </c>
      <c r="I636" s="521">
        <f t="shared" ref="I636:I637" si="92">+G636+H636</f>
        <v>0</v>
      </c>
      <c r="J636" s="206"/>
      <c r="O636" s="166"/>
    </row>
    <row r="637" spans="2:15" ht="13" x14ac:dyDescent="0.25">
      <c r="B637" s="1075">
        <v>2023</v>
      </c>
      <c r="C637" s="1076"/>
      <c r="D637" s="1076"/>
      <c r="E637" s="1077"/>
      <c r="F637" s="275"/>
      <c r="G637" s="521">
        <f>+M191</f>
        <v>0</v>
      </c>
      <c r="H637" s="521">
        <f t="shared" ref="H637" si="93">-G637*0.5</f>
        <v>0</v>
      </c>
      <c r="I637" s="521">
        <f t="shared" si="92"/>
        <v>0</v>
      </c>
      <c r="J637" s="206"/>
      <c r="O637" s="166"/>
    </row>
    <row r="638" spans="2:15" s="273" customFormat="1" ht="13" x14ac:dyDescent="0.25">
      <c r="G638" s="168">
        <f>SUM(G636:G637)</f>
        <v>0</v>
      </c>
      <c r="H638" s="168">
        <f>SUM(H636:H637)</f>
        <v>0</v>
      </c>
      <c r="I638" s="168">
        <f>SUM(I636:I637)</f>
        <v>0</v>
      </c>
    </row>
    <row r="639" spans="2:15" ht="13" x14ac:dyDescent="0.25">
      <c r="B639" s="273" t="s">
        <v>357</v>
      </c>
      <c r="O639" s="166"/>
    </row>
    <row r="640" spans="2:15" ht="13" x14ac:dyDescent="0.25">
      <c r="B640" s="273" t="s">
        <v>141</v>
      </c>
      <c r="C640" s="216"/>
      <c r="D640" s="216"/>
      <c r="E640" s="216"/>
      <c r="O640" s="166"/>
    </row>
    <row r="641" spans="2:15" ht="13" x14ac:dyDescent="0.25">
      <c r="B641" s="273"/>
      <c r="C641" s="216"/>
      <c r="D641" s="216"/>
      <c r="E641" s="216"/>
      <c r="O641" s="166"/>
    </row>
    <row r="642" spans="2:15" ht="13" x14ac:dyDescent="0.25">
      <c r="B642" s="275">
        <f>F607</f>
        <v>2021</v>
      </c>
      <c r="C642" s="279">
        <f>+H614</f>
        <v>0</v>
      </c>
      <c r="D642" s="216"/>
      <c r="E642" s="216"/>
      <c r="O642" s="166"/>
    </row>
    <row r="643" spans="2:15" ht="13" x14ac:dyDescent="0.25">
      <c r="B643" s="275">
        <v>2022</v>
      </c>
      <c r="C643" s="279">
        <f>+H624</f>
        <v>0</v>
      </c>
      <c r="D643" s="216"/>
      <c r="E643" s="216"/>
      <c r="O643" s="166"/>
    </row>
    <row r="644" spans="2:15" ht="13" x14ac:dyDescent="0.25">
      <c r="B644" s="275">
        <v>2023</v>
      </c>
      <c r="C644" s="279">
        <f>+H631</f>
        <v>0</v>
      </c>
      <c r="D644" s="216"/>
      <c r="E644" s="216"/>
      <c r="O644" s="166"/>
    </row>
    <row r="645" spans="2:15" ht="13" x14ac:dyDescent="0.25">
      <c r="B645" s="275">
        <v>2024</v>
      </c>
      <c r="C645" s="279">
        <f>+H638</f>
        <v>0</v>
      </c>
      <c r="D645" s="216"/>
      <c r="E645" s="216"/>
      <c r="O645" s="166"/>
    </row>
    <row r="646" spans="2:15" x14ac:dyDescent="0.25">
      <c r="O646" s="166"/>
    </row>
    <row r="647" spans="2:15" x14ac:dyDescent="0.25">
      <c r="O647" s="166"/>
    </row>
  </sheetData>
  <sheetProtection algorithmName="SHA-512" hashValue="CS314D0bH5AqcK/SP8UXhvC6Me9NlMNq2SDkKoftVm46Rk02uR6ZXQG6q70rmEjikwQY6PcNnEOkIxhpjSCJHg==" saltValue="rx9ac01UArz5FouyaxbM/A==" spinCount="100000" sheet="1" objects="1" scenarios="1"/>
  <mergeCells count="356">
    <mergeCell ref="B256:E256"/>
    <mergeCell ref="B257:E257"/>
    <mergeCell ref="B262:E262"/>
    <mergeCell ref="B263:E263"/>
    <mergeCell ref="B264:E264"/>
    <mergeCell ref="B269:E269"/>
    <mergeCell ref="B247:E247"/>
    <mergeCell ref="B252:E252"/>
    <mergeCell ref="B253:E253"/>
    <mergeCell ref="B254:E254"/>
    <mergeCell ref="B40:E40"/>
    <mergeCell ref="B41:E41"/>
    <mergeCell ref="B42:E42"/>
    <mergeCell ref="B43:E43"/>
    <mergeCell ref="B44:E44"/>
    <mergeCell ref="B45:E45"/>
    <mergeCell ref="B46:E46"/>
    <mergeCell ref="B47:E47"/>
    <mergeCell ref="B48:E48"/>
    <mergeCell ref="B636:E636"/>
    <mergeCell ref="B637:E637"/>
    <mergeCell ref="B635:E635"/>
    <mergeCell ref="B557:E557"/>
    <mergeCell ref="B564:E564"/>
    <mergeCell ref="B565:E565"/>
    <mergeCell ref="B566:E566"/>
    <mergeCell ref="B567:E567"/>
    <mergeCell ref="B573:E573"/>
    <mergeCell ref="B629:E629"/>
    <mergeCell ref="B630:E630"/>
    <mergeCell ref="B619:E619"/>
    <mergeCell ref="B620:E620"/>
    <mergeCell ref="B621:E621"/>
    <mergeCell ref="B622:E622"/>
    <mergeCell ref="B623:E623"/>
    <mergeCell ref="B628:E628"/>
    <mergeCell ref="B609:E609"/>
    <mergeCell ref="B610:E610"/>
    <mergeCell ref="B611:E611"/>
    <mergeCell ref="B612:E612"/>
    <mergeCell ref="B613:E613"/>
    <mergeCell ref="B618:E618"/>
    <mergeCell ref="B595:E595"/>
    <mergeCell ref="B547:E547"/>
    <mergeCell ref="B556:E556"/>
    <mergeCell ref="B509:E509"/>
    <mergeCell ref="B510:E510"/>
    <mergeCell ref="B511:E511"/>
    <mergeCell ref="B516:E516"/>
    <mergeCell ref="B517:E517"/>
    <mergeCell ref="B518:E518"/>
    <mergeCell ref="B533:E533"/>
    <mergeCell ref="B534:E534"/>
    <mergeCell ref="B538:E538"/>
    <mergeCell ref="B539:E539"/>
    <mergeCell ref="B540:E540"/>
    <mergeCell ref="B545:E545"/>
    <mergeCell ref="B546:E546"/>
    <mergeCell ref="B451:E451"/>
    <mergeCell ref="B452:E452"/>
    <mergeCell ref="B453:E453"/>
    <mergeCell ref="B454:E454"/>
    <mergeCell ref="B455:E455"/>
    <mergeCell ref="B501:E501"/>
    <mergeCell ref="B502:E502"/>
    <mergeCell ref="B503:E503"/>
    <mergeCell ref="B504:E504"/>
    <mergeCell ref="B485:E485"/>
    <mergeCell ref="B490:E490"/>
    <mergeCell ref="B491:E491"/>
    <mergeCell ref="B492:E492"/>
    <mergeCell ref="B493:E493"/>
    <mergeCell ref="B494:E494"/>
    <mergeCell ref="B499:E499"/>
    <mergeCell ref="B500:E500"/>
    <mergeCell ref="B476:E476"/>
    <mergeCell ref="B477:E477"/>
    <mergeCell ref="B475:E475"/>
    <mergeCell ref="B482:E482"/>
    <mergeCell ref="B483:E483"/>
    <mergeCell ref="B484:E484"/>
    <mergeCell ref="B470:E470"/>
    <mergeCell ref="B404:E404"/>
    <mergeCell ref="B405:E405"/>
    <mergeCell ref="B406:E406"/>
    <mergeCell ref="B407:E407"/>
    <mergeCell ref="B389:E389"/>
    <mergeCell ref="B394:E394"/>
    <mergeCell ref="B444:E444"/>
    <mergeCell ref="B445:E445"/>
    <mergeCell ref="B446:E446"/>
    <mergeCell ref="B435:E435"/>
    <mergeCell ref="B442:E442"/>
    <mergeCell ref="B443:E443"/>
    <mergeCell ref="B422:E422"/>
    <mergeCell ref="B423:E423"/>
    <mergeCell ref="B428:E428"/>
    <mergeCell ref="B429:E429"/>
    <mergeCell ref="B436:E436"/>
    <mergeCell ref="B437:E437"/>
    <mergeCell ref="B427:E427"/>
    <mergeCell ref="B434:E434"/>
    <mergeCell ref="B341:E341"/>
    <mergeCell ref="B342:E342"/>
    <mergeCell ref="B343:E343"/>
    <mergeCell ref="B344:E344"/>
    <mergeCell ref="B349:E349"/>
    <mergeCell ref="B350:E350"/>
    <mergeCell ref="B379:E379"/>
    <mergeCell ref="B380:E380"/>
    <mergeCell ref="B381:E381"/>
    <mergeCell ref="B374:E374"/>
    <mergeCell ref="B375:E375"/>
    <mergeCell ref="B351:E351"/>
    <mergeCell ref="B356:E356"/>
    <mergeCell ref="B357:E357"/>
    <mergeCell ref="B358:E358"/>
    <mergeCell ref="B386:E386"/>
    <mergeCell ref="B387:E387"/>
    <mergeCell ref="B388:E388"/>
    <mergeCell ref="B403:E403"/>
    <mergeCell ref="B596:E596"/>
    <mergeCell ref="B601:E601"/>
    <mergeCell ref="B602:E602"/>
    <mergeCell ref="B603:E603"/>
    <mergeCell ref="B604:E604"/>
    <mergeCell ref="B589:E589"/>
    <mergeCell ref="B590:E590"/>
    <mergeCell ref="B594:E594"/>
    <mergeCell ref="B572:E572"/>
    <mergeCell ref="B562:E562"/>
    <mergeCell ref="B563:E563"/>
    <mergeCell ref="B548:E548"/>
    <mergeCell ref="B553:E553"/>
    <mergeCell ref="B554:E554"/>
    <mergeCell ref="B555:E555"/>
    <mergeCell ref="B395:E395"/>
    <mergeCell ref="B396:E396"/>
    <mergeCell ref="B397:E397"/>
    <mergeCell ref="B398:E398"/>
    <mergeCell ref="B471:E471"/>
    <mergeCell ref="B270:E270"/>
    <mergeCell ref="B271:E271"/>
    <mergeCell ref="B310:E310"/>
    <mergeCell ref="B311:E311"/>
    <mergeCell ref="B315:E315"/>
    <mergeCell ref="B316:E316"/>
    <mergeCell ref="B331:E331"/>
    <mergeCell ref="B332:E332"/>
    <mergeCell ref="B333:E333"/>
    <mergeCell ref="B287:E287"/>
    <mergeCell ref="B288:E288"/>
    <mergeCell ref="B293:E293"/>
    <mergeCell ref="B294:E294"/>
    <mergeCell ref="B295:E295"/>
    <mergeCell ref="B334:E334"/>
    <mergeCell ref="B339:E339"/>
    <mergeCell ref="B340:E340"/>
    <mergeCell ref="B317:E317"/>
    <mergeCell ref="B322:E322"/>
    <mergeCell ref="B323:E323"/>
    <mergeCell ref="B324:E324"/>
    <mergeCell ref="B325:E325"/>
    <mergeCell ref="B330:E330"/>
    <mergeCell ref="B243:E243"/>
    <mergeCell ref="B244:E244"/>
    <mergeCell ref="B245:E245"/>
    <mergeCell ref="B246:E246"/>
    <mergeCell ref="B255:E255"/>
    <mergeCell ref="B237:E237"/>
    <mergeCell ref="B238:E238"/>
    <mergeCell ref="B224:E224"/>
    <mergeCell ref="B228:E228"/>
    <mergeCell ref="B229:E229"/>
    <mergeCell ref="B230:E230"/>
    <mergeCell ref="B235:E235"/>
    <mergeCell ref="B236:E236"/>
    <mergeCell ref="B213:E213"/>
    <mergeCell ref="B214:E214"/>
    <mergeCell ref="B216:E216"/>
    <mergeCell ref="B223:E223"/>
    <mergeCell ref="B204:E204"/>
    <mergeCell ref="B209:E209"/>
    <mergeCell ref="B211:E211"/>
    <mergeCell ref="B212:E212"/>
    <mergeCell ref="B200:E200"/>
    <mergeCell ref="B201:E201"/>
    <mergeCell ref="B202:E202"/>
    <mergeCell ref="B203:E203"/>
    <mergeCell ref="B195:E195"/>
    <mergeCell ref="B196:E196"/>
    <mergeCell ref="B197:E197"/>
    <mergeCell ref="B198:E198"/>
    <mergeCell ref="B199:E199"/>
    <mergeCell ref="B188:E188"/>
    <mergeCell ref="B189:E189"/>
    <mergeCell ref="B190:E190"/>
    <mergeCell ref="B191:E191"/>
    <mergeCell ref="B192:E192"/>
    <mergeCell ref="B184:E184"/>
    <mergeCell ref="B185:E185"/>
    <mergeCell ref="B186:E186"/>
    <mergeCell ref="B187:E187"/>
    <mergeCell ref="B172:E172"/>
    <mergeCell ref="B173:E173"/>
    <mergeCell ref="B174:E174"/>
    <mergeCell ref="B183:E183"/>
    <mergeCell ref="B177:E177"/>
    <mergeCell ref="B178:E178"/>
    <mergeCell ref="B179:E179"/>
    <mergeCell ref="B180:E180"/>
    <mergeCell ref="B181:E181"/>
    <mergeCell ref="B182:E182"/>
    <mergeCell ref="B175:E175"/>
    <mergeCell ref="B176:E176"/>
    <mergeCell ref="B148:E148"/>
    <mergeCell ref="B166:E166"/>
    <mergeCell ref="B167:E167"/>
    <mergeCell ref="B168:E168"/>
    <mergeCell ref="B169:E169"/>
    <mergeCell ref="B170:E170"/>
    <mergeCell ref="B171:E171"/>
    <mergeCell ref="B162:E162"/>
    <mergeCell ref="B163:E163"/>
    <mergeCell ref="B164:E164"/>
    <mergeCell ref="B165:E165"/>
    <mergeCell ref="B157:E157"/>
    <mergeCell ref="B158:E158"/>
    <mergeCell ref="B159:E159"/>
    <mergeCell ref="B160:E160"/>
    <mergeCell ref="B161:E161"/>
    <mergeCell ref="B149:E149"/>
    <mergeCell ref="B150:E150"/>
    <mergeCell ref="B151:E151"/>
    <mergeCell ref="B152:E152"/>
    <mergeCell ref="B153:E153"/>
    <mergeCell ref="B154:E154"/>
    <mergeCell ref="B155:E155"/>
    <mergeCell ref="B156:E156"/>
    <mergeCell ref="B143:E143"/>
    <mergeCell ref="B144:E144"/>
    <mergeCell ref="B145:E145"/>
    <mergeCell ref="B146:E146"/>
    <mergeCell ref="B147:E147"/>
    <mergeCell ref="B139:E139"/>
    <mergeCell ref="B140:E140"/>
    <mergeCell ref="B141:E141"/>
    <mergeCell ref="B142:E142"/>
    <mergeCell ref="B133:E133"/>
    <mergeCell ref="B134:E134"/>
    <mergeCell ref="B135:E135"/>
    <mergeCell ref="B136:E136"/>
    <mergeCell ref="B137:E137"/>
    <mergeCell ref="B138:E138"/>
    <mergeCell ref="B115:E115"/>
    <mergeCell ref="B119:E119"/>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10:E110"/>
    <mergeCell ref="B111:E111"/>
    <mergeCell ref="B112:E112"/>
    <mergeCell ref="B113:E113"/>
    <mergeCell ref="B114:E114"/>
    <mergeCell ref="B104:E104"/>
    <mergeCell ref="B106:E106"/>
    <mergeCell ref="B107:E107"/>
    <mergeCell ref="B108:E108"/>
    <mergeCell ref="B109:E109"/>
    <mergeCell ref="B98:E98"/>
    <mergeCell ref="B99:E99"/>
    <mergeCell ref="B100:E100"/>
    <mergeCell ref="B101:E101"/>
    <mergeCell ref="B102:E102"/>
    <mergeCell ref="B94:E94"/>
    <mergeCell ref="B95:E95"/>
    <mergeCell ref="B96:E96"/>
    <mergeCell ref="B97:E97"/>
    <mergeCell ref="B82:E82"/>
    <mergeCell ref="B83:E83"/>
    <mergeCell ref="B84:E84"/>
    <mergeCell ref="B93:E93"/>
    <mergeCell ref="B87:E87"/>
    <mergeCell ref="B88:E88"/>
    <mergeCell ref="B89:E89"/>
    <mergeCell ref="B90:E90"/>
    <mergeCell ref="B91:E91"/>
    <mergeCell ref="B92:E92"/>
    <mergeCell ref="B85:E85"/>
    <mergeCell ref="B86:E86"/>
    <mergeCell ref="B58:E58"/>
    <mergeCell ref="B76:E76"/>
    <mergeCell ref="B77:E77"/>
    <mergeCell ref="B78:E78"/>
    <mergeCell ref="B79:E79"/>
    <mergeCell ref="B80:E80"/>
    <mergeCell ref="B81:E81"/>
    <mergeCell ref="B72:E72"/>
    <mergeCell ref="B73:E73"/>
    <mergeCell ref="B74:E74"/>
    <mergeCell ref="B75:E75"/>
    <mergeCell ref="B67:E67"/>
    <mergeCell ref="B68:E68"/>
    <mergeCell ref="B69:E69"/>
    <mergeCell ref="B70:E70"/>
    <mergeCell ref="B71:E71"/>
    <mergeCell ref="B59:E59"/>
    <mergeCell ref="B60:E60"/>
    <mergeCell ref="B61:E61"/>
    <mergeCell ref="B62:E62"/>
    <mergeCell ref="B63:E63"/>
    <mergeCell ref="B64:E64"/>
    <mergeCell ref="B65:E65"/>
    <mergeCell ref="B66:E66"/>
    <mergeCell ref="B53:E53"/>
    <mergeCell ref="B54:E54"/>
    <mergeCell ref="B55:E55"/>
    <mergeCell ref="B56:E56"/>
    <mergeCell ref="B57:E57"/>
    <mergeCell ref="B49:E49"/>
    <mergeCell ref="B50:E50"/>
    <mergeCell ref="B51:E51"/>
    <mergeCell ref="B52:E52"/>
    <mergeCell ref="B34:E34"/>
    <mergeCell ref="B35:E35"/>
    <mergeCell ref="B36:E36"/>
    <mergeCell ref="B37:E37"/>
    <mergeCell ref="B38:E38"/>
    <mergeCell ref="B39:E39"/>
    <mergeCell ref="B24:E24"/>
    <mergeCell ref="B25:E25"/>
    <mergeCell ref="B29:E29"/>
    <mergeCell ref="B31:E31"/>
    <mergeCell ref="B32:E32"/>
    <mergeCell ref="B33:E33"/>
    <mergeCell ref="B19:E19"/>
    <mergeCell ref="B20:E20"/>
    <mergeCell ref="B18:E18"/>
    <mergeCell ref="B21:E21"/>
    <mergeCell ref="B22:E22"/>
    <mergeCell ref="A1:J1"/>
    <mergeCell ref="B4:E4"/>
    <mergeCell ref="B7:E7"/>
    <mergeCell ref="B13:E13"/>
    <mergeCell ref="B15:E15"/>
    <mergeCell ref="B17:E17"/>
    <mergeCell ref="B16:E16"/>
  </mergeCells>
  <conditionalFormatting sqref="L15:N15 L17:N17 L38:L39 M39 L56:L57 M57 L127:L129 M128:M129 N129 L145:L147 M146:M147 N147 B212:G212 B264:I264 B267:F267 B269:I272 B280:C280 B351:I351 B354:F354 B356:I359 B367:C367">
    <cfRule type="expression" dxfId="22" priority="5">
      <formula>$B$7="elektriciteit"</formula>
    </cfRule>
  </conditionalFormatting>
  <conditionalFormatting sqref="B16:N16 P16 P18 B18:N18 B21:N21 P21 B40:N48 P40:P48 B58:N66 P58:P66 B85:N93 P85:P93 B130:N138 P130:P138 B148:N156 P148:P156 B175:N183 P175:P183 B283:C283 B285:F285 B287:I289 B291:F291 B293:I296 B298:F298 B300:C303 B370:D370 B372:F372 B374:K375 B377:F377 B379:M382 B386:M390 B384:F384 B392:F392 B394:I399 B401:F401 B403:I408 B410:F410 B412:C415 B529:E529 B531:F531 B533:K534 B536:F536 B538:M541 B545:M549 B543:F543 B551:F551 B553:I558 B560:F560 B562:I568 B570:F570 B572:I574 B577:F577 B579:C582">
    <cfRule type="expression" dxfId="21" priority="4">
      <formula>$B$7="gas"</formula>
    </cfRule>
  </conditionalFormatting>
  <conditionalFormatting sqref="B297:F297">
    <cfRule type="expression" dxfId="20" priority="3">
      <formula>$B$7="gas"</formula>
    </cfRule>
  </conditionalFormatting>
  <conditionalFormatting sqref="B409:F409">
    <cfRule type="expression" dxfId="19" priority="2">
      <formula>$B$7="gas"</formula>
    </cfRule>
  </conditionalFormatting>
  <conditionalFormatting sqref="B576:F576">
    <cfRule type="expression" dxfId="18"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15"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pageSetUpPr fitToPage="1"/>
  </sheetPr>
  <dimension ref="A1:AG112"/>
  <sheetViews>
    <sheetView zoomScale="80" zoomScaleNormal="80" zoomScaleSheetLayoutView="80" workbookViewId="0">
      <selection activeCell="B110" sqref="B110"/>
    </sheetView>
  </sheetViews>
  <sheetFormatPr defaultColWidth="11.453125" defaultRowHeight="12.5" x14ac:dyDescent="0.25"/>
  <cols>
    <col min="1" max="1" width="25.453125" style="177" customWidth="1"/>
    <col min="2" max="2" width="14.26953125" style="177" customWidth="1"/>
    <col min="3" max="12" width="20.7265625" style="177" customWidth="1"/>
    <col min="13" max="13" width="5.1796875" style="177" customWidth="1"/>
    <col min="14" max="14" width="20.7265625" style="177" customWidth="1"/>
    <col min="15" max="15" width="28.7265625" style="177" bestFit="1" customWidth="1"/>
    <col min="16" max="16" width="14" style="177" customWidth="1"/>
    <col min="17" max="17" width="29.1796875" style="177" customWidth="1"/>
    <col min="18" max="18" width="12.26953125" style="177" bestFit="1" customWidth="1"/>
    <col min="19" max="16384" width="11.453125" style="177"/>
  </cols>
  <sheetData>
    <row r="1" spans="1:31" ht="21.75" customHeight="1" thickBot="1" x14ac:dyDescent="0.3">
      <c r="A1" s="1109" t="s">
        <v>111</v>
      </c>
      <c r="B1" s="1110"/>
      <c r="C1" s="1110"/>
      <c r="D1" s="1110"/>
      <c r="E1" s="1110"/>
      <c r="F1" s="1110"/>
      <c r="G1" s="1110"/>
      <c r="H1" s="1110"/>
      <c r="I1" s="1110"/>
      <c r="J1" s="1110"/>
      <c r="K1" s="1110"/>
      <c r="L1" s="1111"/>
      <c r="M1" s="212"/>
      <c r="N1" s="166"/>
      <c r="O1" s="221"/>
    </row>
    <row r="2" spans="1:31" x14ac:dyDescent="0.25">
      <c r="A2" s="225"/>
      <c r="B2" s="225"/>
      <c r="C2" s="225"/>
      <c r="D2" s="225"/>
      <c r="E2" s="225"/>
      <c r="F2" s="225"/>
      <c r="G2" s="225"/>
      <c r="H2" s="225"/>
      <c r="I2" s="225"/>
      <c r="J2" s="225"/>
      <c r="K2" s="225"/>
      <c r="L2" s="225"/>
      <c r="M2" s="212"/>
      <c r="N2" s="166"/>
      <c r="O2" s="225"/>
    </row>
    <row r="3" spans="1:31" ht="13" thickBot="1" x14ac:dyDescent="0.3">
      <c r="A3" s="225"/>
      <c r="B3" s="225"/>
      <c r="C3" s="225"/>
      <c r="D3" s="225"/>
      <c r="E3" s="225"/>
      <c r="F3" s="225"/>
      <c r="G3" s="225"/>
      <c r="H3" s="225"/>
      <c r="I3" s="225"/>
      <c r="J3" s="225"/>
      <c r="K3" s="225"/>
      <c r="L3" s="225"/>
      <c r="M3" s="212"/>
      <c r="N3" s="166"/>
      <c r="O3" s="225"/>
    </row>
    <row r="4" spans="1:31" s="178" customFormat="1" ht="20.149999999999999" customHeight="1" thickBot="1" x14ac:dyDescent="0.3">
      <c r="A4" s="1064" t="s">
        <v>315</v>
      </c>
      <c r="B4" s="1065"/>
      <c r="C4" s="1065"/>
      <c r="D4" s="1065"/>
      <c r="E4" s="1065"/>
      <c r="F4" s="1065"/>
      <c r="G4" s="1065"/>
      <c r="H4" s="1065"/>
      <c r="I4" s="1065"/>
      <c r="J4" s="1065"/>
      <c r="K4" s="1065"/>
      <c r="L4" s="1065"/>
      <c r="M4" s="1065"/>
      <c r="N4" s="1066"/>
      <c r="O4" s="177"/>
      <c r="P4" s="177"/>
      <c r="Q4" s="177"/>
      <c r="R4" s="177"/>
      <c r="S4" s="177"/>
      <c r="T4" s="177"/>
      <c r="U4" s="177"/>
      <c r="V4" s="177"/>
      <c r="W4" s="177"/>
      <c r="X4" s="177"/>
      <c r="Y4" s="177"/>
      <c r="Z4" s="177"/>
      <c r="AA4" s="177"/>
      <c r="AB4" s="177"/>
      <c r="AC4" s="177"/>
      <c r="AD4" s="177"/>
      <c r="AE4" s="177"/>
    </row>
    <row r="5" spans="1:31" ht="13" thickBot="1" x14ac:dyDescent="0.3"/>
    <row r="6" spans="1:31" s="178" customFormat="1" ht="17" thickBot="1" x14ac:dyDescent="0.3">
      <c r="A6" s="177"/>
      <c r="B6" s="177"/>
      <c r="C6" s="1070" t="s">
        <v>31</v>
      </c>
      <c r="D6" s="1071"/>
      <c r="E6" s="1071"/>
      <c r="F6" s="1071"/>
      <c r="G6" s="1071"/>
      <c r="H6" s="1071"/>
      <c r="I6" s="1071"/>
      <c r="J6" s="1072"/>
      <c r="K6" s="177"/>
      <c r="L6" s="177"/>
      <c r="M6" s="177"/>
      <c r="N6" s="177"/>
      <c r="O6" s="177"/>
      <c r="P6" s="177"/>
      <c r="Q6" s="177"/>
      <c r="R6" s="177"/>
      <c r="S6" s="177"/>
      <c r="T6" s="177"/>
      <c r="U6" s="177"/>
      <c r="V6" s="177"/>
      <c r="W6" s="177"/>
      <c r="X6" s="177"/>
      <c r="Y6" s="177"/>
      <c r="Z6" s="177"/>
      <c r="AA6" s="177"/>
      <c r="AB6" s="177"/>
      <c r="AC6" s="177"/>
      <c r="AD6" s="177"/>
      <c r="AE6" s="177"/>
    </row>
    <row r="7" spans="1:31" s="178" customFormat="1" ht="13.5" thickBot="1" x14ac:dyDescent="0.3">
      <c r="A7" s="177"/>
      <c r="B7" s="177"/>
      <c r="C7" s="329">
        <v>2017</v>
      </c>
      <c r="D7" s="330">
        <f>+C7+1</f>
        <v>2018</v>
      </c>
      <c r="E7" s="330">
        <f>+D7+1</f>
        <v>2019</v>
      </c>
      <c r="F7" s="330">
        <f t="shared" ref="F7:J7" si="0">+E7+1</f>
        <v>2020</v>
      </c>
      <c r="G7" s="330">
        <f t="shared" si="0"/>
        <v>2021</v>
      </c>
      <c r="H7" s="330">
        <f t="shared" si="0"/>
        <v>2022</v>
      </c>
      <c r="I7" s="330">
        <f t="shared" si="0"/>
        <v>2023</v>
      </c>
      <c r="J7" s="330">
        <f t="shared" si="0"/>
        <v>2024</v>
      </c>
      <c r="K7" s="177"/>
      <c r="L7" s="177"/>
      <c r="M7" s="177"/>
      <c r="N7" s="177"/>
      <c r="O7" s="177"/>
      <c r="P7" s="177"/>
      <c r="Q7" s="177"/>
      <c r="R7" s="177"/>
      <c r="S7" s="177"/>
      <c r="T7" s="177"/>
      <c r="U7" s="177"/>
      <c r="V7" s="177"/>
      <c r="W7" s="177"/>
      <c r="X7" s="177"/>
      <c r="Y7" s="177"/>
      <c r="Z7" s="177"/>
      <c r="AA7" s="177"/>
      <c r="AB7" s="177"/>
      <c r="AC7" s="177"/>
      <c r="AD7" s="177"/>
      <c r="AE7" s="177"/>
    </row>
    <row r="8" spans="1:31" s="178" customFormat="1" x14ac:dyDescent="0.25">
      <c r="A8" s="177"/>
      <c r="B8" s="177"/>
      <c r="C8" s="800">
        <v>0</v>
      </c>
      <c r="D8" s="800">
        <v>0</v>
      </c>
      <c r="E8" s="800">
        <v>0</v>
      </c>
      <c r="F8" s="800">
        <v>0</v>
      </c>
      <c r="G8" s="800">
        <v>0</v>
      </c>
      <c r="H8" s="800">
        <v>0</v>
      </c>
      <c r="I8" s="800">
        <v>0</v>
      </c>
      <c r="J8" s="800">
        <v>0</v>
      </c>
      <c r="K8" s="177"/>
      <c r="L8" s="177"/>
      <c r="M8" s="177"/>
      <c r="N8" s="177"/>
      <c r="O8" s="177"/>
      <c r="P8" s="177"/>
      <c r="Q8" s="177"/>
      <c r="R8" s="177"/>
      <c r="S8" s="177"/>
      <c r="T8" s="177"/>
      <c r="U8" s="177"/>
      <c r="V8" s="177"/>
      <c r="W8" s="177"/>
      <c r="X8" s="177"/>
      <c r="Y8" s="177"/>
      <c r="Z8" s="177"/>
      <c r="AA8" s="177"/>
      <c r="AB8" s="177"/>
      <c r="AC8" s="177"/>
      <c r="AD8" s="177"/>
      <c r="AE8" s="177"/>
    </row>
    <row r="9" spans="1:31" ht="13" x14ac:dyDescent="0.25">
      <c r="C9" s="233" t="s">
        <v>128</v>
      </c>
      <c r="J9" s="234"/>
    </row>
    <row r="10" spans="1:31" ht="13" x14ac:dyDescent="0.25">
      <c r="C10" s="233" t="s">
        <v>69</v>
      </c>
      <c r="I10" s="769" t="str">
        <f>+'T9 - Overzicht'!C19&amp;":"</f>
        <v>2022:</v>
      </c>
      <c r="J10" s="770">
        <f>+IF('T9 - Overzicht'!C6="ex-ante",0,IF('T9 - Overzicht'!C6="ex-post",'T9 - Overzicht'!C26,"FOUT"))</f>
        <v>0</v>
      </c>
    </row>
    <row r="11" spans="1:31" x14ac:dyDescent="0.25">
      <c r="C11" s="236"/>
    </row>
    <row r="12" spans="1:31" ht="13" thickBot="1" x14ac:dyDescent="0.3">
      <c r="C12" s="236"/>
    </row>
    <row r="13" spans="1:31" ht="20.25" customHeight="1" thickBot="1" x14ac:dyDescent="0.3">
      <c r="A13" s="1064" t="s">
        <v>18</v>
      </c>
      <c r="B13" s="1065"/>
      <c r="C13" s="1065"/>
      <c r="D13" s="1065"/>
      <c r="E13" s="1065"/>
      <c r="F13" s="1065"/>
      <c r="G13" s="1065"/>
      <c r="H13" s="1065"/>
      <c r="I13" s="1065"/>
      <c r="J13" s="1065"/>
      <c r="K13" s="1065"/>
      <c r="L13" s="1065"/>
      <c r="M13" s="1065"/>
      <c r="N13" s="1066"/>
    </row>
    <row r="15" spans="1:31" ht="13" x14ac:dyDescent="0.25">
      <c r="C15" s="233" t="s">
        <v>68</v>
      </c>
    </row>
    <row r="16" spans="1:31" ht="13" x14ac:dyDescent="0.25">
      <c r="C16" s="233" t="s">
        <v>69</v>
      </c>
    </row>
    <row r="17" spans="1:31" ht="16.5" x14ac:dyDescent="0.25">
      <c r="C17" s="1057" t="s">
        <v>19</v>
      </c>
      <c r="D17" s="1058"/>
      <c r="E17" s="1058"/>
      <c r="F17" s="1058"/>
      <c r="G17" s="1058"/>
      <c r="H17" s="1058"/>
      <c r="I17" s="1058"/>
      <c r="J17" s="1059"/>
      <c r="L17" s="237" t="s">
        <v>20</v>
      </c>
    </row>
    <row r="18" spans="1:31" ht="13.5" thickBot="1" x14ac:dyDescent="0.3">
      <c r="A18" s="1060"/>
      <c r="B18" s="1060"/>
      <c r="C18" s="238">
        <f>C7</f>
        <v>2017</v>
      </c>
      <c r="D18" s="239">
        <f>D7</f>
        <v>2018</v>
      </c>
      <c r="E18" s="239">
        <f>E7</f>
        <v>2019</v>
      </c>
      <c r="F18" s="239">
        <f t="shared" ref="F18:I18" si="1">F7</f>
        <v>2020</v>
      </c>
      <c r="G18" s="239">
        <f t="shared" si="1"/>
        <v>2021</v>
      </c>
      <c r="H18" s="239">
        <f t="shared" si="1"/>
        <v>2022</v>
      </c>
      <c r="I18" s="239">
        <f t="shared" si="1"/>
        <v>2023</v>
      </c>
      <c r="J18" s="239">
        <f>J7</f>
        <v>2024</v>
      </c>
      <c r="L18" s="240"/>
    </row>
    <row r="19" spans="1:31" s="178" customFormat="1" ht="13" thickBot="1" x14ac:dyDescent="0.3">
      <c r="A19" s="1051" t="s">
        <v>21</v>
      </c>
      <c r="B19" s="241">
        <f>C7</f>
        <v>2017</v>
      </c>
      <c r="C19" s="845">
        <v>0</v>
      </c>
      <c r="D19" s="242"/>
      <c r="E19" s="242"/>
      <c r="F19" s="242"/>
      <c r="G19" s="242"/>
      <c r="H19" s="242"/>
      <c r="I19" s="242"/>
      <c r="J19" s="243"/>
      <c r="K19" s="244"/>
      <c r="L19" s="245">
        <f>SUM(C19:J19)</f>
        <v>0</v>
      </c>
      <c r="M19" s="177"/>
      <c r="N19" s="177"/>
      <c r="O19" s="177"/>
      <c r="P19" s="177"/>
      <c r="Q19" s="177"/>
      <c r="R19" s="177"/>
      <c r="S19" s="177"/>
      <c r="T19" s="177"/>
      <c r="U19" s="177"/>
      <c r="V19" s="177"/>
      <c r="W19" s="177"/>
      <c r="X19" s="177"/>
      <c r="Y19" s="177"/>
      <c r="Z19" s="177"/>
      <c r="AA19" s="177"/>
      <c r="AB19" s="177"/>
      <c r="AC19" s="177"/>
      <c r="AD19" s="177"/>
      <c r="AE19" s="177"/>
    </row>
    <row r="20" spans="1:31" s="178" customFormat="1" ht="13" thickBot="1" x14ac:dyDescent="0.3">
      <c r="A20" s="1125"/>
      <c r="B20" s="246">
        <f>D7</f>
        <v>2018</v>
      </c>
      <c r="C20" s="331">
        <f>+C$8-C19</f>
        <v>0</v>
      </c>
      <c r="D20" s="802">
        <v>0</v>
      </c>
      <c r="E20" s="248"/>
      <c r="F20" s="251"/>
      <c r="G20" s="251"/>
      <c r="H20" s="251"/>
      <c r="I20" s="251"/>
      <c r="J20" s="249"/>
      <c r="K20" s="244"/>
      <c r="L20" s="245">
        <f t="shared" ref="L20:L26" si="2">SUM(C20:J20)</f>
        <v>0</v>
      </c>
      <c r="M20" s="177"/>
      <c r="N20" s="177"/>
      <c r="O20" s="177"/>
      <c r="P20" s="177"/>
      <c r="Q20" s="177"/>
      <c r="R20" s="177"/>
      <c r="S20" s="177"/>
      <c r="T20" s="177"/>
      <c r="U20" s="177"/>
      <c r="V20" s="177"/>
      <c r="W20" s="177"/>
      <c r="X20" s="177"/>
      <c r="Y20" s="177"/>
      <c r="Z20" s="177"/>
      <c r="AA20" s="177"/>
      <c r="AB20" s="177"/>
      <c r="AC20" s="177"/>
      <c r="AD20" s="177"/>
      <c r="AE20" s="177"/>
    </row>
    <row r="21" spans="1:31" s="178" customFormat="1" ht="13" thickBot="1" x14ac:dyDescent="0.3">
      <c r="A21" s="1125"/>
      <c r="B21" s="246">
        <f>E7</f>
        <v>2019</v>
      </c>
      <c r="C21" s="250"/>
      <c r="D21" s="331">
        <f>+D$8-D20</f>
        <v>0</v>
      </c>
      <c r="E21" s="845">
        <v>0</v>
      </c>
      <c r="F21" s="251"/>
      <c r="G21" s="251"/>
      <c r="H21" s="251"/>
      <c r="I21" s="251"/>
      <c r="J21" s="249"/>
      <c r="K21" s="244"/>
      <c r="L21" s="245">
        <f t="shared" si="2"/>
        <v>0</v>
      </c>
      <c r="M21" s="177"/>
      <c r="N21" s="177"/>
      <c r="O21" s="177"/>
      <c r="P21" s="177"/>
      <c r="Q21" s="177"/>
      <c r="R21" s="177"/>
      <c r="S21" s="177"/>
      <c r="T21" s="177"/>
      <c r="U21" s="177"/>
      <c r="V21" s="177"/>
      <c r="W21" s="177"/>
      <c r="X21" s="177"/>
      <c r="Y21" s="177"/>
      <c r="Z21" s="177"/>
      <c r="AA21" s="177"/>
      <c r="AB21" s="177"/>
      <c r="AC21" s="177"/>
      <c r="AD21" s="177"/>
      <c r="AE21" s="177"/>
    </row>
    <row r="22" spans="1:31" s="178" customFormat="1" ht="13" thickBot="1" x14ac:dyDescent="0.3">
      <c r="A22" s="1125"/>
      <c r="B22" s="246">
        <f>+F7</f>
        <v>2020</v>
      </c>
      <c r="C22" s="250"/>
      <c r="D22" s="251"/>
      <c r="E22" s="331">
        <f>+E$8-E21</f>
        <v>0</v>
      </c>
      <c r="F22" s="845">
        <v>0</v>
      </c>
      <c r="G22" s="251"/>
      <c r="H22" s="251"/>
      <c r="I22" s="251"/>
      <c r="J22" s="249"/>
      <c r="K22" s="244"/>
      <c r="L22" s="245">
        <f t="shared" si="2"/>
        <v>0</v>
      </c>
      <c r="M22" s="177"/>
      <c r="N22" s="177"/>
      <c r="O22" s="177"/>
      <c r="P22" s="177"/>
      <c r="Q22" s="177"/>
      <c r="R22" s="177"/>
      <c r="S22" s="177"/>
      <c r="T22" s="177"/>
      <c r="U22" s="177"/>
      <c r="V22" s="177"/>
      <c r="W22" s="177"/>
      <c r="X22" s="177"/>
      <c r="Y22" s="177"/>
      <c r="Z22" s="177"/>
      <c r="AA22" s="177"/>
      <c r="AB22" s="177"/>
      <c r="AC22" s="177"/>
      <c r="AD22" s="177"/>
      <c r="AE22" s="177"/>
    </row>
    <row r="23" spans="1:31" s="178" customFormat="1" ht="13" thickBot="1" x14ac:dyDescent="0.3">
      <c r="A23" s="1125"/>
      <c r="B23" s="246">
        <f>+G7</f>
        <v>2021</v>
      </c>
      <c r="C23" s="250"/>
      <c r="D23" s="251"/>
      <c r="E23" s="251"/>
      <c r="F23" s="331">
        <f>+F$8-F22</f>
        <v>0</v>
      </c>
      <c r="G23" s="845">
        <v>0</v>
      </c>
      <c r="H23" s="251"/>
      <c r="I23" s="251"/>
      <c r="J23" s="249"/>
      <c r="K23" s="244"/>
      <c r="L23" s="245">
        <f t="shared" si="2"/>
        <v>0</v>
      </c>
      <c r="M23" s="177"/>
      <c r="N23" s="177"/>
      <c r="O23" s="177"/>
      <c r="P23" s="177"/>
      <c r="Q23" s="177"/>
      <c r="R23" s="177"/>
      <c r="S23" s="177"/>
      <c r="T23" s="177"/>
      <c r="U23" s="177"/>
      <c r="V23" s="177"/>
      <c r="W23" s="177"/>
      <c r="X23" s="177"/>
      <c r="Y23" s="177"/>
      <c r="Z23" s="177"/>
      <c r="AA23" s="177"/>
      <c r="AB23" s="177"/>
      <c r="AC23" s="177"/>
      <c r="AD23" s="177"/>
      <c r="AE23" s="177"/>
    </row>
    <row r="24" spans="1:31" s="178" customFormat="1" ht="13" thickBot="1" x14ac:dyDescent="0.3">
      <c r="A24" s="1125"/>
      <c r="B24" s="246">
        <f>+H7</f>
        <v>2022</v>
      </c>
      <c r="C24" s="250"/>
      <c r="D24" s="251"/>
      <c r="E24" s="251"/>
      <c r="F24" s="251"/>
      <c r="G24" s="331">
        <f>+G$8-G23</f>
        <v>0</v>
      </c>
      <c r="H24" s="845">
        <v>0</v>
      </c>
      <c r="I24" s="251"/>
      <c r="J24" s="249"/>
      <c r="K24" s="244"/>
      <c r="L24" s="245">
        <f t="shared" si="2"/>
        <v>0</v>
      </c>
      <c r="M24" s="177"/>
      <c r="N24" s="177"/>
      <c r="O24" s="177"/>
      <c r="P24" s="177"/>
      <c r="Q24" s="177"/>
      <c r="R24" s="177"/>
      <c r="S24" s="177"/>
      <c r="T24" s="177"/>
      <c r="U24" s="177"/>
      <c r="V24" s="177"/>
      <c r="W24" s="177"/>
      <c r="X24" s="177"/>
      <c r="Y24" s="177"/>
      <c r="Z24" s="177"/>
      <c r="AA24" s="177"/>
      <c r="AB24" s="177"/>
      <c r="AC24" s="177"/>
      <c r="AD24" s="177"/>
      <c r="AE24" s="177"/>
    </row>
    <row r="25" spans="1:31" s="178" customFormat="1" ht="13" thickBot="1" x14ac:dyDescent="0.3">
      <c r="A25" s="1125"/>
      <c r="B25" s="246">
        <f>+I7</f>
        <v>2023</v>
      </c>
      <c r="C25" s="250"/>
      <c r="D25" s="251"/>
      <c r="E25" s="251"/>
      <c r="F25" s="251"/>
      <c r="G25" s="251"/>
      <c r="H25" s="331">
        <f>+H$8-H24</f>
        <v>0</v>
      </c>
      <c r="I25" s="845">
        <v>0</v>
      </c>
      <c r="J25" s="249"/>
      <c r="K25" s="244"/>
      <c r="L25" s="245">
        <f t="shared" si="2"/>
        <v>0</v>
      </c>
      <c r="M25" s="177"/>
      <c r="N25" s="177"/>
      <c r="O25" s="177"/>
      <c r="P25" s="177"/>
      <c r="Q25" s="177"/>
      <c r="R25" s="177"/>
      <c r="S25" s="177"/>
      <c r="T25" s="177"/>
      <c r="U25" s="177"/>
      <c r="V25" s="177"/>
      <c r="W25" s="177"/>
      <c r="X25" s="177"/>
      <c r="Y25" s="177"/>
      <c r="Z25" s="177"/>
      <c r="AA25" s="177"/>
      <c r="AB25" s="177"/>
      <c r="AC25" s="177"/>
      <c r="AD25" s="177"/>
      <c r="AE25" s="177"/>
    </row>
    <row r="26" spans="1:31" s="178" customFormat="1" ht="13" thickBot="1" x14ac:dyDescent="0.3">
      <c r="A26" s="1125"/>
      <c r="B26" s="246">
        <f>J7</f>
        <v>2024</v>
      </c>
      <c r="C26" s="250"/>
      <c r="D26" s="248"/>
      <c r="E26" s="251"/>
      <c r="F26" s="251"/>
      <c r="G26" s="251"/>
      <c r="H26" s="251"/>
      <c r="I26" s="331">
        <f>+I$8-I25</f>
        <v>0</v>
      </c>
      <c r="J26" s="846">
        <v>0</v>
      </c>
      <c r="K26" s="244"/>
      <c r="L26" s="245">
        <f t="shared" si="2"/>
        <v>0</v>
      </c>
      <c r="M26" s="177"/>
      <c r="N26" s="177"/>
      <c r="O26" s="177"/>
      <c r="P26" s="177"/>
      <c r="Q26" s="177"/>
      <c r="R26" s="177"/>
      <c r="S26" s="177"/>
      <c r="T26" s="177"/>
      <c r="U26" s="177"/>
      <c r="V26" s="177"/>
      <c r="W26" s="177"/>
      <c r="X26" s="177"/>
      <c r="Y26" s="177"/>
      <c r="Z26" s="177"/>
      <c r="AA26" s="177"/>
      <c r="AB26" s="177"/>
      <c r="AC26" s="177"/>
      <c r="AD26" s="177"/>
      <c r="AE26" s="177"/>
    </row>
    <row r="27" spans="1:31" s="256" customFormat="1" ht="15.5" x14ac:dyDescent="0.25">
      <c r="A27" s="1126"/>
      <c r="B27" s="326" t="s">
        <v>22</v>
      </c>
      <c r="C27" s="252">
        <f>SUM(C19:C26)</f>
        <v>0</v>
      </c>
      <c r="D27" s="252">
        <f t="shared" ref="D27:J27" si="3">SUM(D19:D26)</f>
        <v>0</v>
      </c>
      <c r="E27" s="252">
        <f t="shared" si="3"/>
        <v>0</v>
      </c>
      <c r="F27" s="252">
        <f t="shared" si="3"/>
        <v>0</v>
      </c>
      <c r="G27" s="252">
        <f t="shared" si="3"/>
        <v>0</v>
      </c>
      <c r="H27" s="252">
        <f t="shared" si="3"/>
        <v>0</v>
      </c>
      <c r="I27" s="252">
        <f t="shared" si="3"/>
        <v>0</v>
      </c>
      <c r="J27" s="325">
        <f t="shared" si="3"/>
        <v>0</v>
      </c>
      <c r="K27" s="253"/>
      <c r="L27" s="254">
        <f>SUM(L19:L26)</f>
        <v>0</v>
      </c>
      <c r="M27" s="255"/>
      <c r="N27" s="255"/>
      <c r="O27" s="255"/>
      <c r="P27" s="255"/>
      <c r="Q27" s="255"/>
      <c r="R27" s="255"/>
      <c r="S27" s="255"/>
      <c r="T27" s="255"/>
      <c r="U27" s="255"/>
      <c r="V27" s="255"/>
      <c r="W27" s="255"/>
      <c r="X27" s="255"/>
      <c r="Y27" s="255"/>
      <c r="Z27" s="255"/>
      <c r="AA27" s="255"/>
      <c r="AB27" s="255"/>
      <c r="AC27" s="255"/>
      <c r="AD27" s="255"/>
      <c r="AE27" s="255"/>
    </row>
    <row r="28" spans="1:31" s="235" customFormat="1" ht="13" x14ac:dyDescent="0.25">
      <c r="A28" s="257" t="s">
        <v>34</v>
      </c>
      <c r="C28" s="258">
        <f>+C27+C42</f>
        <v>0</v>
      </c>
      <c r="D28" s="258">
        <f t="shared" ref="D28:J28" si="4">+D27+D42</f>
        <v>0</v>
      </c>
      <c r="E28" s="258">
        <f t="shared" si="4"/>
        <v>0</v>
      </c>
      <c r="F28" s="258">
        <f t="shared" si="4"/>
        <v>0</v>
      </c>
      <c r="G28" s="258">
        <f t="shared" si="4"/>
        <v>0</v>
      </c>
      <c r="H28" s="258">
        <f t="shared" si="4"/>
        <v>0</v>
      </c>
      <c r="I28" s="258">
        <f t="shared" si="4"/>
        <v>0</v>
      </c>
      <c r="J28" s="258">
        <f t="shared" si="4"/>
        <v>0</v>
      </c>
      <c r="K28" s="258"/>
      <c r="L28" s="258">
        <f>+L27+L42</f>
        <v>0</v>
      </c>
      <c r="M28" s="258"/>
    </row>
    <row r="29" spans="1:31" s="259" customFormat="1" ht="13" x14ac:dyDescent="0.25">
      <c r="A29" s="235"/>
      <c r="B29" s="235"/>
      <c r="C29" s="258"/>
      <c r="D29" s="258"/>
      <c r="E29" s="258"/>
      <c r="F29" s="258"/>
      <c r="G29" s="258"/>
      <c r="H29" s="258"/>
      <c r="I29" s="258"/>
      <c r="J29" s="258"/>
      <c r="K29" s="235"/>
      <c r="L29" s="235"/>
      <c r="M29" s="235"/>
      <c r="N29" s="235"/>
      <c r="O29" s="235"/>
      <c r="P29" s="235"/>
      <c r="Q29" s="235"/>
      <c r="R29" s="235"/>
      <c r="S29" s="235"/>
      <c r="T29" s="235"/>
      <c r="U29" s="235"/>
      <c r="V29" s="235"/>
      <c r="W29" s="235"/>
      <c r="X29" s="235"/>
      <c r="Y29" s="235"/>
      <c r="Z29" s="235"/>
      <c r="AA29" s="235"/>
      <c r="AB29" s="235"/>
      <c r="AC29" s="235"/>
      <c r="AD29" s="235"/>
      <c r="AE29" s="235"/>
    </row>
    <row r="30" spans="1:31" s="235" customFormat="1" ht="13" x14ac:dyDescent="0.25">
      <c r="C30" s="233" t="s">
        <v>129</v>
      </c>
      <c r="D30" s="258"/>
      <c r="E30" s="258"/>
      <c r="F30" s="258"/>
      <c r="G30" s="258"/>
      <c r="H30" s="258"/>
      <c r="I30" s="258"/>
      <c r="J30" s="258"/>
      <c r="K30" s="258"/>
      <c r="L30" s="258"/>
    </row>
    <row r="31" spans="1:31" ht="13" x14ac:dyDescent="0.25">
      <c r="C31" s="233" t="s">
        <v>130</v>
      </c>
    </row>
    <row r="32" spans="1:31" s="178" customFormat="1" ht="16.5" x14ac:dyDescent="0.25">
      <c r="A32" s="177"/>
      <c r="B32" s="177"/>
      <c r="C32" s="1048" t="s">
        <v>19</v>
      </c>
      <c r="D32" s="1049"/>
      <c r="E32" s="1049"/>
      <c r="F32" s="1049"/>
      <c r="G32" s="1049"/>
      <c r="H32" s="1049"/>
      <c r="I32" s="1049"/>
      <c r="J32" s="1050"/>
      <c r="K32" s="177"/>
      <c r="L32" s="237" t="s">
        <v>20</v>
      </c>
      <c r="M32" s="177"/>
      <c r="N32" s="237" t="s">
        <v>20</v>
      </c>
      <c r="O32" s="177"/>
      <c r="P32" s="177"/>
      <c r="Q32" s="177"/>
      <c r="R32" s="177"/>
      <c r="S32" s="177"/>
      <c r="T32" s="177"/>
      <c r="U32" s="177"/>
      <c r="V32" s="177"/>
      <c r="W32" s="177"/>
      <c r="X32" s="177"/>
      <c r="Y32" s="177"/>
      <c r="Z32" s="177"/>
      <c r="AA32" s="177"/>
      <c r="AB32" s="177"/>
      <c r="AC32" s="177"/>
      <c r="AD32" s="177"/>
      <c r="AE32" s="177"/>
    </row>
    <row r="33" spans="1:31" s="178" customFormat="1" x14ac:dyDescent="0.25">
      <c r="A33" s="177"/>
      <c r="B33" s="177"/>
      <c r="C33" s="239">
        <f>+C18</f>
        <v>2017</v>
      </c>
      <c r="D33" s="239">
        <f>+D18</f>
        <v>2018</v>
      </c>
      <c r="E33" s="239">
        <f>+E18</f>
        <v>2019</v>
      </c>
      <c r="F33" s="239">
        <f t="shared" ref="F33:I33" si="5">+F18</f>
        <v>2020</v>
      </c>
      <c r="G33" s="239">
        <f t="shared" si="5"/>
        <v>2021</v>
      </c>
      <c r="H33" s="239">
        <f t="shared" si="5"/>
        <v>2022</v>
      </c>
      <c r="I33" s="239">
        <f t="shared" si="5"/>
        <v>2023</v>
      </c>
      <c r="J33" s="239">
        <f>+J18</f>
        <v>2024</v>
      </c>
      <c r="K33" s="177"/>
      <c r="L33" s="240" t="s">
        <v>23</v>
      </c>
      <c r="M33" s="177"/>
      <c r="N33" s="240" t="s">
        <v>24</v>
      </c>
      <c r="O33" s="177"/>
      <c r="P33" s="177"/>
      <c r="Q33" s="177"/>
      <c r="R33" s="177"/>
      <c r="S33" s="177"/>
      <c r="T33" s="177"/>
      <c r="U33" s="177"/>
      <c r="V33" s="177"/>
      <c r="W33" s="177"/>
      <c r="X33" s="177"/>
      <c r="Y33" s="177"/>
      <c r="Z33" s="177"/>
      <c r="AA33" s="177"/>
      <c r="AB33" s="177"/>
      <c r="AC33" s="177"/>
      <c r="AD33" s="177"/>
      <c r="AE33" s="177"/>
    </row>
    <row r="34" spans="1:31" s="178" customFormat="1" ht="12.75" customHeight="1" x14ac:dyDescent="0.25">
      <c r="A34" s="1061" t="s">
        <v>93</v>
      </c>
      <c r="B34" s="260">
        <f>+B19</f>
        <v>2017</v>
      </c>
      <c r="C34" s="518"/>
      <c r="D34" s="261"/>
      <c r="E34" s="261"/>
      <c r="F34" s="261"/>
      <c r="G34" s="261"/>
      <c r="H34" s="261"/>
      <c r="I34" s="261"/>
      <c r="J34" s="265"/>
      <c r="K34" s="244"/>
      <c r="L34" s="245">
        <f>SUM(C34:J34)</f>
        <v>0</v>
      </c>
      <c r="M34" s="244"/>
      <c r="N34" s="263">
        <f>SUM(L19,L34)</f>
        <v>0</v>
      </c>
      <c r="O34" s="177"/>
      <c r="P34" s="177"/>
      <c r="Q34" s="177"/>
      <c r="R34" s="177"/>
      <c r="S34" s="177"/>
      <c r="T34" s="177"/>
      <c r="U34" s="177"/>
      <c r="V34" s="177"/>
      <c r="W34" s="177"/>
      <c r="X34" s="177"/>
      <c r="Y34" s="177"/>
      <c r="Z34" s="177"/>
      <c r="AA34" s="177"/>
      <c r="AB34" s="177"/>
      <c r="AC34" s="177"/>
      <c r="AD34" s="177"/>
      <c r="AE34" s="177"/>
    </row>
    <row r="35" spans="1:31" s="178" customFormat="1" ht="12.75" customHeight="1" x14ac:dyDescent="0.25">
      <c r="A35" s="1062"/>
      <c r="B35" s="264">
        <f>+B20</f>
        <v>2018</v>
      </c>
      <c r="C35" s="518"/>
      <c r="D35" s="261"/>
      <c r="E35" s="261"/>
      <c r="F35" s="261"/>
      <c r="G35" s="261"/>
      <c r="H35" s="261"/>
      <c r="I35" s="261"/>
      <c r="J35" s="265"/>
      <c r="K35" s="244"/>
      <c r="L35" s="245">
        <f t="shared" ref="L35:L41" si="6">SUM(C35:J35)</f>
        <v>0</v>
      </c>
      <c r="M35" s="244"/>
      <c r="N35" s="263">
        <f t="shared" ref="N35:N41" si="7">SUM(L20,L35)</f>
        <v>0</v>
      </c>
      <c r="O35" s="177"/>
      <c r="P35" s="177"/>
      <c r="Q35" s="177"/>
      <c r="R35" s="177"/>
      <c r="S35" s="177"/>
      <c r="T35" s="177"/>
      <c r="U35" s="177"/>
      <c r="V35" s="177"/>
      <c r="W35" s="177"/>
      <c r="X35" s="177"/>
      <c r="Y35" s="177"/>
      <c r="Z35" s="177"/>
      <c r="AA35" s="177"/>
      <c r="AB35" s="177"/>
      <c r="AC35" s="177"/>
      <c r="AD35" s="177"/>
      <c r="AE35" s="177"/>
    </row>
    <row r="36" spans="1:31" s="178" customFormat="1" ht="12.75" customHeight="1" x14ac:dyDescent="0.25">
      <c r="A36" s="1062" t="s">
        <v>25</v>
      </c>
      <c r="B36" s="264">
        <f>+B21</f>
        <v>2019</v>
      </c>
      <c r="C36" s="247">
        <f>+I66</f>
        <v>0</v>
      </c>
      <c r="D36" s="261"/>
      <c r="E36" s="261"/>
      <c r="F36" s="261"/>
      <c r="G36" s="261"/>
      <c r="H36" s="261"/>
      <c r="I36" s="261"/>
      <c r="J36" s="265"/>
      <c r="K36" s="244"/>
      <c r="L36" s="245">
        <f t="shared" si="6"/>
        <v>0</v>
      </c>
      <c r="M36" s="244"/>
      <c r="N36" s="263">
        <f t="shared" si="7"/>
        <v>0</v>
      </c>
      <c r="O36" s="177"/>
      <c r="P36" s="177"/>
      <c r="Q36" s="177"/>
      <c r="R36" s="177"/>
      <c r="S36" s="177"/>
      <c r="T36" s="177"/>
      <c r="U36" s="177"/>
      <c r="V36" s="177"/>
      <c r="W36" s="177"/>
      <c r="X36" s="177"/>
      <c r="Y36" s="177"/>
      <c r="Z36" s="177"/>
      <c r="AA36" s="177"/>
      <c r="AB36" s="177"/>
      <c r="AC36" s="177"/>
      <c r="AD36" s="177"/>
      <c r="AE36" s="177"/>
    </row>
    <row r="37" spans="1:31" s="178" customFormat="1" ht="12.75" customHeight="1" x14ac:dyDescent="0.25">
      <c r="A37" s="1062"/>
      <c r="B37" s="264">
        <f t="shared" ref="B37:B40" si="8">+B22</f>
        <v>2020</v>
      </c>
      <c r="C37" s="247">
        <f>+K71</f>
        <v>0</v>
      </c>
      <c r="D37" s="247">
        <f>+K72</f>
        <v>0</v>
      </c>
      <c r="E37" s="261"/>
      <c r="F37" s="261"/>
      <c r="G37" s="261"/>
      <c r="H37" s="261"/>
      <c r="I37" s="261"/>
      <c r="J37" s="265"/>
      <c r="K37" s="244"/>
      <c r="L37" s="245">
        <f t="shared" si="6"/>
        <v>0</v>
      </c>
      <c r="M37" s="244"/>
      <c r="N37" s="263">
        <f t="shared" si="7"/>
        <v>0</v>
      </c>
      <c r="O37" s="177"/>
      <c r="P37" s="177"/>
      <c r="Q37" s="177"/>
      <c r="R37" s="177"/>
      <c r="S37" s="177"/>
      <c r="T37" s="177"/>
      <c r="U37" s="177"/>
      <c r="V37" s="177"/>
      <c r="W37" s="177"/>
      <c r="X37" s="177"/>
      <c r="Y37" s="177"/>
      <c r="Z37" s="177"/>
      <c r="AA37" s="177"/>
      <c r="AB37" s="177"/>
      <c r="AC37" s="177"/>
      <c r="AD37" s="177"/>
      <c r="AE37" s="177"/>
    </row>
    <row r="38" spans="1:31" s="178" customFormat="1" ht="12.75" customHeight="1" x14ac:dyDescent="0.25">
      <c r="A38" s="1062"/>
      <c r="B38" s="264">
        <f t="shared" si="8"/>
        <v>2021</v>
      </c>
      <c r="C38" s="247">
        <f>+G78</f>
        <v>0</v>
      </c>
      <c r="D38" s="247">
        <f>+G79</f>
        <v>0</v>
      </c>
      <c r="E38" s="247">
        <f>+G80</f>
        <v>0</v>
      </c>
      <c r="F38" s="261"/>
      <c r="G38" s="261"/>
      <c r="H38" s="261"/>
      <c r="I38" s="261"/>
      <c r="J38" s="265"/>
      <c r="K38" s="244"/>
      <c r="L38" s="245">
        <f t="shared" si="6"/>
        <v>0</v>
      </c>
      <c r="M38" s="244"/>
      <c r="N38" s="263">
        <f t="shared" si="7"/>
        <v>0</v>
      </c>
      <c r="O38" s="236" t="s">
        <v>27</v>
      </c>
      <c r="P38" s="177"/>
      <c r="Q38" s="177"/>
      <c r="R38" s="177"/>
      <c r="S38" s="177"/>
      <c r="T38" s="177"/>
      <c r="U38" s="177"/>
      <c r="V38" s="177"/>
      <c r="W38" s="177"/>
      <c r="X38" s="177"/>
      <c r="Y38" s="177"/>
      <c r="Z38" s="177"/>
      <c r="AA38" s="177"/>
      <c r="AB38" s="177"/>
      <c r="AC38" s="177"/>
      <c r="AD38" s="177"/>
      <c r="AE38" s="177"/>
    </row>
    <row r="39" spans="1:31" s="178" customFormat="1" ht="12.75" customHeight="1" x14ac:dyDescent="0.25">
      <c r="A39" s="1062"/>
      <c r="B39" s="264">
        <f t="shared" si="8"/>
        <v>2022</v>
      </c>
      <c r="C39" s="247">
        <f>+G86</f>
        <v>0</v>
      </c>
      <c r="D39" s="247">
        <f>+G87</f>
        <v>0</v>
      </c>
      <c r="E39" s="247">
        <f>+G88</f>
        <v>0</v>
      </c>
      <c r="F39" s="247">
        <f>+G89</f>
        <v>0</v>
      </c>
      <c r="G39" s="261"/>
      <c r="H39" s="261"/>
      <c r="I39" s="261"/>
      <c r="J39" s="265"/>
      <c r="K39" s="244"/>
      <c r="L39" s="245">
        <f t="shared" si="6"/>
        <v>0</v>
      </c>
      <c r="M39" s="244"/>
      <c r="N39" s="263">
        <f t="shared" si="7"/>
        <v>0</v>
      </c>
      <c r="O39" s="236" t="s">
        <v>28</v>
      </c>
      <c r="P39" s="177"/>
      <c r="Q39" s="177"/>
      <c r="R39" s="177"/>
      <c r="S39" s="177"/>
      <c r="T39" s="177"/>
      <c r="U39" s="177"/>
      <c r="V39" s="177"/>
      <c r="W39" s="177"/>
      <c r="X39" s="177"/>
      <c r="Y39" s="177"/>
      <c r="Z39" s="177"/>
      <c r="AA39" s="177"/>
      <c r="AB39" s="177"/>
      <c r="AC39" s="177"/>
      <c r="AD39" s="177"/>
      <c r="AE39" s="177"/>
    </row>
    <row r="40" spans="1:31" s="178" customFormat="1" ht="12.75" customHeight="1" x14ac:dyDescent="0.25">
      <c r="A40" s="1062"/>
      <c r="B40" s="264">
        <f t="shared" si="8"/>
        <v>2023</v>
      </c>
      <c r="C40" s="261"/>
      <c r="D40" s="261"/>
      <c r="E40" s="261"/>
      <c r="F40" s="247">
        <f>+G95</f>
        <v>0</v>
      </c>
      <c r="G40" s="247">
        <f>+G96</f>
        <v>0</v>
      </c>
      <c r="H40" s="261"/>
      <c r="I40" s="261"/>
      <c r="J40" s="265"/>
      <c r="K40" s="244"/>
      <c r="L40" s="245">
        <f t="shared" si="6"/>
        <v>0</v>
      </c>
      <c r="M40" s="244"/>
      <c r="N40" s="263">
        <f t="shared" si="7"/>
        <v>0</v>
      </c>
      <c r="O40" s="177"/>
      <c r="P40" s="177"/>
      <c r="Q40" s="177"/>
      <c r="R40" s="177"/>
      <c r="S40" s="177"/>
      <c r="T40" s="177"/>
      <c r="U40" s="177"/>
      <c r="V40" s="177"/>
      <c r="W40" s="177"/>
      <c r="X40" s="177"/>
      <c r="Y40" s="177"/>
      <c r="Z40" s="177"/>
      <c r="AA40" s="177"/>
      <c r="AB40" s="177"/>
      <c r="AC40" s="177"/>
      <c r="AD40" s="177"/>
      <c r="AE40" s="177"/>
    </row>
    <row r="41" spans="1:31" s="178" customFormat="1" ht="12.75" customHeight="1" x14ac:dyDescent="0.25">
      <c r="A41" s="1062"/>
      <c r="B41" s="264">
        <f>+B26</f>
        <v>2024</v>
      </c>
      <c r="C41" s="261"/>
      <c r="D41" s="261"/>
      <c r="E41" s="261"/>
      <c r="F41" s="261"/>
      <c r="G41" s="247">
        <f>+G102</f>
        <v>0</v>
      </c>
      <c r="H41" s="247">
        <f>+G103</f>
        <v>0</v>
      </c>
      <c r="I41" s="261"/>
      <c r="J41" s="265"/>
      <c r="K41" s="244"/>
      <c r="L41" s="245">
        <f t="shared" si="6"/>
        <v>0</v>
      </c>
      <c r="M41" s="244"/>
      <c r="N41" s="263">
        <f t="shared" si="7"/>
        <v>0</v>
      </c>
      <c r="O41" s="236"/>
      <c r="P41" s="177"/>
      <c r="Q41" s="177"/>
      <c r="R41" s="177"/>
      <c r="S41" s="177"/>
      <c r="T41" s="177"/>
      <c r="U41" s="177"/>
      <c r="V41" s="177"/>
      <c r="W41" s="177"/>
      <c r="X41" s="177"/>
      <c r="Y41" s="177"/>
      <c r="Z41" s="177"/>
      <c r="AA41" s="177"/>
      <c r="AB41" s="177"/>
      <c r="AC41" s="177"/>
      <c r="AD41" s="177"/>
      <c r="AE41" s="177"/>
    </row>
    <row r="42" spans="1:31" s="256" customFormat="1" ht="16.5" customHeight="1" x14ac:dyDescent="0.25">
      <c r="A42" s="1127"/>
      <c r="B42" s="326" t="s">
        <v>22</v>
      </c>
      <c r="C42" s="266">
        <f>SUM(C34:C41)</f>
        <v>0</v>
      </c>
      <c r="D42" s="266">
        <f t="shared" ref="D42:I42" si="9">SUM(D34:D41)</f>
        <v>0</v>
      </c>
      <c r="E42" s="266">
        <f t="shared" si="9"/>
        <v>0</v>
      </c>
      <c r="F42" s="266">
        <f t="shared" si="9"/>
        <v>0</v>
      </c>
      <c r="G42" s="266">
        <f t="shared" si="9"/>
        <v>0</v>
      </c>
      <c r="H42" s="266">
        <f t="shared" si="9"/>
        <v>0</v>
      </c>
      <c r="I42" s="266">
        <f t="shared" si="9"/>
        <v>0</v>
      </c>
      <c r="J42" s="266">
        <f>SUM(J34:J41)</f>
        <v>0</v>
      </c>
      <c r="K42" s="244"/>
      <c r="L42" s="254">
        <f>SUM(L34:L41)</f>
        <v>0</v>
      </c>
      <c r="M42" s="253"/>
      <c r="N42" s="254">
        <f>SUM(N34:N41)</f>
        <v>0</v>
      </c>
      <c r="O42" s="255"/>
      <c r="P42" s="255"/>
      <c r="Q42" s="255"/>
      <c r="R42" s="255"/>
      <c r="S42" s="255"/>
      <c r="T42" s="255"/>
      <c r="U42" s="255"/>
      <c r="V42" s="255"/>
      <c r="W42" s="255"/>
      <c r="X42" s="255"/>
      <c r="Y42" s="255"/>
      <c r="Z42" s="255"/>
      <c r="AA42" s="255"/>
      <c r="AB42" s="255"/>
      <c r="AC42" s="255"/>
      <c r="AD42" s="255"/>
      <c r="AE42" s="255"/>
    </row>
    <row r="43" spans="1:31" x14ac:dyDescent="0.25">
      <c r="K43" s="244"/>
    </row>
    <row r="44" spans="1:31" ht="13" thickBot="1" x14ac:dyDescent="0.3">
      <c r="K44" s="244"/>
    </row>
    <row r="45" spans="1:31" s="178" customFormat="1" ht="21.75" customHeight="1" thickBot="1" x14ac:dyDescent="0.3">
      <c r="A45" s="1064" t="s">
        <v>142</v>
      </c>
      <c r="B45" s="1065"/>
      <c r="C45" s="1065"/>
      <c r="D45" s="1065"/>
      <c r="E45" s="1065"/>
      <c r="F45" s="1065"/>
      <c r="G45" s="1065"/>
      <c r="H45" s="1065"/>
      <c r="I45" s="1065"/>
      <c r="J45" s="1065"/>
      <c r="K45" s="1065"/>
      <c r="L45" s="1065"/>
      <c r="M45" s="1065"/>
      <c r="N45" s="1066"/>
      <c r="O45" s="177"/>
      <c r="P45" s="177"/>
      <c r="Q45" s="177"/>
      <c r="R45" s="177"/>
      <c r="S45" s="177"/>
      <c r="T45" s="177"/>
      <c r="U45" s="177"/>
      <c r="V45" s="177"/>
      <c r="W45" s="177"/>
      <c r="X45" s="177"/>
      <c r="Y45" s="177"/>
      <c r="Z45" s="177"/>
      <c r="AA45" s="177"/>
      <c r="AB45" s="177"/>
      <c r="AC45" s="177"/>
      <c r="AD45" s="177"/>
      <c r="AE45" s="177"/>
    </row>
    <row r="47" spans="1:31" ht="13" x14ac:dyDescent="0.25">
      <c r="C47" s="233" t="s">
        <v>131</v>
      </c>
    </row>
    <row r="48" spans="1:31" ht="13" x14ac:dyDescent="0.25">
      <c r="C48" s="233" t="s">
        <v>30</v>
      </c>
    </row>
    <row r="49" spans="1:33" ht="16.5" x14ac:dyDescent="0.25">
      <c r="C49" s="1057" t="s">
        <v>19</v>
      </c>
      <c r="D49" s="1058"/>
      <c r="E49" s="1058"/>
      <c r="F49" s="1058"/>
      <c r="G49" s="1058"/>
      <c r="H49" s="1058"/>
      <c r="I49" s="1058"/>
      <c r="J49" s="1059"/>
    </row>
    <row r="50" spans="1:33" x14ac:dyDescent="0.25">
      <c r="C50" s="239">
        <f>+C33</f>
        <v>2017</v>
      </c>
      <c r="D50" s="239">
        <f>+D33</f>
        <v>2018</v>
      </c>
      <c r="E50" s="239">
        <f>+E33</f>
        <v>2019</v>
      </c>
      <c r="F50" s="239">
        <f t="shared" ref="F50:I50" si="10">+F33</f>
        <v>2020</v>
      </c>
      <c r="G50" s="239">
        <f t="shared" si="10"/>
        <v>2021</v>
      </c>
      <c r="H50" s="239">
        <f t="shared" si="10"/>
        <v>2022</v>
      </c>
      <c r="I50" s="239">
        <f t="shared" si="10"/>
        <v>2023</v>
      </c>
      <c r="J50" s="239">
        <f>+J33</f>
        <v>2024</v>
      </c>
      <c r="L50" s="93" t="s">
        <v>20</v>
      </c>
    </row>
    <row r="51" spans="1:33" ht="13.5" customHeight="1" x14ac:dyDescent="0.25">
      <c r="A51" s="1051" t="s">
        <v>134</v>
      </c>
      <c r="B51" s="267">
        <f>+B34</f>
        <v>2017</v>
      </c>
      <c r="C51" s="247">
        <f>+C19</f>
        <v>0</v>
      </c>
      <c r="D51" s="268"/>
      <c r="E51" s="261"/>
      <c r="F51" s="261"/>
      <c r="G51" s="261"/>
      <c r="H51" s="261"/>
      <c r="I51" s="261"/>
      <c r="J51" s="265"/>
      <c r="L51" s="269">
        <f>SUM(C51:J51)</f>
        <v>0</v>
      </c>
    </row>
    <row r="52" spans="1:33" ht="13.5" customHeight="1" x14ac:dyDescent="0.25">
      <c r="A52" s="1052"/>
      <c r="B52" s="239">
        <f>+B35</f>
        <v>2018</v>
      </c>
      <c r="C52" s="247">
        <f>+C51+C35+C20</f>
        <v>0</v>
      </c>
      <c r="D52" s="247">
        <f>+D20</f>
        <v>0</v>
      </c>
      <c r="E52" s="270"/>
      <c r="F52" s="270"/>
      <c r="G52" s="270"/>
      <c r="H52" s="270"/>
      <c r="I52" s="270"/>
      <c r="J52" s="271"/>
      <c r="L52" s="269">
        <f t="shared" ref="L52:L58" si="11">SUM(C52:J52)</f>
        <v>0</v>
      </c>
    </row>
    <row r="53" spans="1:33" ht="13.5" customHeight="1" x14ac:dyDescent="0.25">
      <c r="A53" s="1052"/>
      <c r="B53" s="239">
        <f>+B36</f>
        <v>2019</v>
      </c>
      <c r="C53" s="247">
        <f>+C52+C36+C21</f>
        <v>0</v>
      </c>
      <c r="D53" s="247">
        <f t="shared" ref="D53:I58" si="12">+D52+D36+D21</f>
        <v>0</v>
      </c>
      <c r="E53" s="247">
        <f>+E21</f>
        <v>0</v>
      </c>
      <c r="F53" s="261"/>
      <c r="G53" s="261"/>
      <c r="H53" s="261"/>
      <c r="I53" s="261"/>
      <c r="J53" s="271"/>
      <c r="L53" s="269">
        <f t="shared" si="11"/>
        <v>0</v>
      </c>
    </row>
    <row r="54" spans="1:33" ht="13.5" customHeight="1" x14ac:dyDescent="0.25">
      <c r="A54" s="1052"/>
      <c r="B54" s="239">
        <f t="shared" ref="B54:B58" si="13">+B37</f>
        <v>2020</v>
      </c>
      <c r="C54" s="247">
        <f t="shared" ref="C54:C56" si="14">+C53+C37+C22</f>
        <v>0</v>
      </c>
      <c r="D54" s="247">
        <f t="shared" si="12"/>
        <v>0</v>
      </c>
      <c r="E54" s="247">
        <f t="shared" si="12"/>
        <v>0</v>
      </c>
      <c r="F54" s="247">
        <f>+F22</f>
        <v>0</v>
      </c>
      <c r="G54" s="261"/>
      <c r="H54" s="261"/>
      <c r="I54" s="261"/>
      <c r="J54" s="271"/>
      <c r="L54" s="269">
        <f t="shared" si="11"/>
        <v>0</v>
      </c>
    </row>
    <row r="55" spans="1:33" ht="13.5" customHeight="1" x14ac:dyDescent="0.25">
      <c r="A55" s="1052"/>
      <c r="B55" s="239">
        <f t="shared" si="13"/>
        <v>2021</v>
      </c>
      <c r="C55" s="247">
        <f t="shared" si="14"/>
        <v>0</v>
      </c>
      <c r="D55" s="247">
        <f t="shared" si="12"/>
        <v>0</v>
      </c>
      <c r="E55" s="247">
        <f t="shared" si="12"/>
        <v>0</v>
      </c>
      <c r="F55" s="247">
        <f t="shared" si="12"/>
        <v>0</v>
      </c>
      <c r="G55" s="247">
        <f>+G23</f>
        <v>0</v>
      </c>
      <c r="H55" s="261"/>
      <c r="I55" s="261"/>
      <c r="J55" s="271"/>
      <c r="L55" s="269">
        <f t="shared" si="11"/>
        <v>0</v>
      </c>
    </row>
    <row r="56" spans="1:33" ht="13.5" customHeight="1" x14ac:dyDescent="0.25">
      <c r="A56" s="1052"/>
      <c r="B56" s="239">
        <f t="shared" si="13"/>
        <v>2022</v>
      </c>
      <c r="C56" s="247">
        <f t="shared" si="14"/>
        <v>0</v>
      </c>
      <c r="D56" s="247">
        <f t="shared" si="12"/>
        <v>0</v>
      </c>
      <c r="E56" s="247">
        <f t="shared" si="12"/>
        <v>0</v>
      </c>
      <c r="F56" s="247">
        <f t="shared" si="12"/>
        <v>0</v>
      </c>
      <c r="G56" s="247">
        <f t="shared" si="12"/>
        <v>0</v>
      </c>
      <c r="H56" s="247">
        <f>+H24</f>
        <v>0</v>
      </c>
      <c r="I56" s="261"/>
      <c r="J56" s="271"/>
      <c r="L56" s="269">
        <f t="shared" si="11"/>
        <v>0</v>
      </c>
    </row>
    <row r="57" spans="1:33" ht="13.5" customHeight="1" x14ac:dyDescent="0.25">
      <c r="A57" s="1052"/>
      <c r="B57" s="239">
        <f t="shared" si="13"/>
        <v>2023</v>
      </c>
      <c r="C57" s="518"/>
      <c r="D57" s="261"/>
      <c r="E57" s="261"/>
      <c r="F57" s="247">
        <f t="shared" si="12"/>
        <v>0</v>
      </c>
      <c r="G57" s="247">
        <f t="shared" si="12"/>
        <v>0</v>
      </c>
      <c r="H57" s="247">
        <f t="shared" si="12"/>
        <v>0</v>
      </c>
      <c r="I57" s="247">
        <f>+I25</f>
        <v>0</v>
      </c>
      <c r="J57" s="265"/>
      <c r="L57" s="269">
        <f t="shared" si="11"/>
        <v>0</v>
      </c>
    </row>
    <row r="58" spans="1:33" ht="13.5" customHeight="1" x14ac:dyDescent="0.25">
      <c r="A58" s="1053"/>
      <c r="B58" s="239">
        <f t="shared" si="13"/>
        <v>2024</v>
      </c>
      <c r="C58" s="532"/>
      <c r="D58" s="533"/>
      <c r="E58" s="533"/>
      <c r="F58" s="533"/>
      <c r="G58" s="247">
        <f t="shared" si="12"/>
        <v>0</v>
      </c>
      <c r="H58" s="247">
        <f t="shared" si="12"/>
        <v>0</v>
      </c>
      <c r="I58" s="247">
        <f t="shared" si="12"/>
        <v>0</v>
      </c>
      <c r="J58" s="247">
        <f>+J26</f>
        <v>0</v>
      </c>
      <c r="L58" s="269">
        <f t="shared" si="11"/>
        <v>0</v>
      </c>
    </row>
    <row r="59" spans="1:33" ht="13" x14ac:dyDescent="0.25">
      <c r="C59" s="233"/>
    </row>
    <row r="60" spans="1:33" ht="13.5" thickBot="1" x14ac:dyDescent="0.3">
      <c r="C60" s="233"/>
    </row>
    <row r="61" spans="1:33" s="178" customFormat="1" ht="22.5" customHeight="1" thickBot="1" x14ac:dyDescent="0.3">
      <c r="A61" s="1064" t="s">
        <v>377</v>
      </c>
      <c r="B61" s="1065"/>
      <c r="C61" s="1065"/>
      <c r="D61" s="1065"/>
      <c r="E61" s="1065"/>
      <c r="F61" s="1065"/>
      <c r="G61" s="1065"/>
      <c r="H61" s="1065"/>
      <c r="I61" s="1065"/>
      <c r="J61" s="1065"/>
      <c r="K61" s="1065"/>
      <c r="L61" s="1065"/>
      <c r="M61" s="1065"/>
      <c r="N61" s="1066"/>
      <c r="P61" s="177"/>
      <c r="Q61" s="177"/>
      <c r="R61" s="177"/>
      <c r="S61" s="177"/>
      <c r="T61" s="177"/>
      <c r="U61" s="177"/>
      <c r="V61" s="177"/>
      <c r="W61" s="177"/>
      <c r="X61" s="177"/>
      <c r="Y61" s="177"/>
      <c r="Z61" s="177"/>
      <c r="AA61" s="177"/>
      <c r="AB61" s="177"/>
      <c r="AC61" s="177"/>
      <c r="AD61" s="177"/>
      <c r="AE61" s="177"/>
      <c r="AF61" s="177"/>
      <c r="AG61" s="177"/>
    </row>
    <row r="62" spans="1:33" x14ac:dyDescent="0.25">
      <c r="A62" s="166"/>
      <c r="B62" s="166"/>
      <c r="C62" s="166"/>
      <c r="D62" s="166"/>
      <c r="E62" s="166"/>
      <c r="F62" s="166"/>
      <c r="G62" s="166"/>
      <c r="H62" s="166"/>
      <c r="I62" s="166"/>
      <c r="J62" s="166"/>
      <c r="K62" s="166"/>
      <c r="L62" s="206"/>
      <c r="M62" s="166"/>
    </row>
    <row r="63" spans="1:33" ht="13" x14ac:dyDescent="0.25">
      <c r="A63" s="273" t="s">
        <v>139</v>
      </c>
      <c r="B63" s="166"/>
      <c r="C63" s="166"/>
      <c r="D63" s="166"/>
      <c r="E63" s="810">
        <v>2019</v>
      </c>
      <c r="F63" s="166"/>
      <c r="G63" s="166"/>
      <c r="H63" s="166"/>
      <c r="I63" s="166"/>
      <c r="J63" s="166"/>
      <c r="K63" s="166"/>
      <c r="L63" s="206"/>
      <c r="M63" s="166"/>
    </row>
    <row r="64" spans="1:33" x14ac:dyDescent="0.25">
      <c r="A64" s="166"/>
      <c r="B64" s="166"/>
      <c r="C64" s="166"/>
      <c r="D64" s="166"/>
      <c r="E64" s="166"/>
      <c r="F64" s="166"/>
      <c r="G64" s="166"/>
      <c r="H64" s="166"/>
      <c r="I64" s="166"/>
      <c r="J64" s="166"/>
      <c r="K64" s="206"/>
      <c r="L64" s="166"/>
      <c r="M64" s="166"/>
    </row>
    <row r="65" spans="1:13" ht="150" customHeight="1" x14ac:dyDescent="0.25">
      <c r="A65" s="1078" t="s">
        <v>140</v>
      </c>
      <c r="B65" s="1079"/>
      <c r="C65" s="1079"/>
      <c r="D65" s="1080"/>
      <c r="E65" s="274"/>
      <c r="F65" s="165" t="str">
        <f>"Nog af te bouwen regulatoir saldo einde "&amp;E63-1</f>
        <v>Nog af te bouwen regulatoir saldo einde 2018</v>
      </c>
      <c r="G65" s="165" t="str">
        <f>"Afbouw oudste openstaande regulatoir saldo vanaf boekjaar "&amp;E63-3&amp;" en vroeger, door aanwending van compensatie met regulatoir saldo ontstaan over boekjaar "&amp;E63-2</f>
        <v>Afbouw oudste openstaande regulatoir saldo vanaf boekjaar 2016 en vroeger, door aanwending van compensatie met regulatoir saldo ontstaan over boekjaar 2017</v>
      </c>
      <c r="H65" s="165" t="str">
        <f>"Nog af te bouwen regulatoir saldo na compensatie einde "&amp;E63-1</f>
        <v>Nog af te bouwen regulatoir saldo na compensatie einde 2018</v>
      </c>
      <c r="I65" s="165" t="str">
        <f>"Aanwending van 100% van het regulatoir saldo door te rekenen volgens de tariefmethodologie in het boekjaar "&amp;E63</f>
        <v>Aanwending van 100% van het regulatoir saldo door te rekenen volgens de tariefmethodologie in het boekjaar 2019</v>
      </c>
      <c r="J65" s="165" t="str">
        <f>"Nog af te bouwen regulatoir saldo einde "&amp;E63</f>
        <v>Nog af te bouwen regulatoir saldo einde 2019</v>
      </c>
      <c r="K65" s="206"/>
      <c r="L65" s="166"/>
      <c r="M65" s="166"/>
    </row>
    <row r="66" spans="1:13" ht="13" x14ac:dyDescent="0.25">
      <c r="A66" s="1075">
        <v>2017</v>
      </c>
      <c r="B66" s="1076"/>
      <c r="C66" s="1076"/>
      <c r="D66" s="1077"/>
      <c r="E66" s="275"/>
      <c r="F66" s="176">
        <f>+C19+C20</f>
        <v>0</v>
      </c>
      <c r="G66" s="853">
        <v>0</v>
      </c>
      <c r="H66" s="176">
        <f>+F66+G66</f>
        <v>0</v>
      </c>
      <c r="I66" s="176">
        <f>-H66*1</f>
        <v>0</v>
      </c>
      <c r="J66" s="811">
        <f>+I66+F66</f>
        <v>0</v>
      </c>
      <c r="K66" s="206"/>
      <c r="L66" s="166"/>
      <c r="M66" s="166"/>
    </row>
    <row r="67" spans="1:13" x14ac:dyDescent="0.25">
      <c r="A67" s="166"/>
      <c r="B67" s="166"/>
      <c r="C67" s="166"/>
      <c r="D67" s="166"/>
      <c r="E67" s="166"/>
      <c r="F67" s="166"/>
      <c r="G67" s="166"/>
      <c r="H67" s="166"/>
      <c r="I67" s="166"/>
      <c r="J67" s="166"/>
      <c r="K67" s="206"/>
      <c r="L67" s="166"/>
      <c r="M67" s="166"/>
    </row>
    <row r="68" spans="1:13" ht="13" x14ac:dyDescent="0.25">
      <c r="A68" s="273" t="s">
        <v>139</v>
      </c>
      <c r="B68" s="166"/>
      <c r="C68" s="166"/>
      <c r="D68" s="166"/>
      <c r="E68" s="810">
        <v>2020</v>
      </c>
      <c r="F68" s="166"/>
      <c r="G68" s="166"/>
      <c r="H68" s="166"/>
      <c r="I68" s="166"/>
      <c r="J68" s="166"/>
      <c r="K68" s="166"/>
      <c r="L68" s="206"/>
      <c r="M68" s="166"/>
    </row>
    <row r="69" spans="1:13" x14ac:dyDescent="0.25">
      <c r="A69" s="166"/>
      <c r="B69" s="166"/>
      <c r="C69" s="166"/>
      <c r="D69" s="166"/>
      <c r="E69" s="166"/>
      <c r="F69" s="166"/>
      <c r="G69" s="166"/>
      <c r="H69" s="166"/>
      <c r="I69" s="166"/>
      <c r="J69" s="166"/>
      <c r="K69" s="166"/>
      <c r="L69" s="206"/>
      <c r="M69" s="166"/>
    </row>
    <row r="70" spans="1:13" ht="150" customHeight="1" x14ac:dyDescent="0.25">
      <c r="A70" s="1078" t="s">
        <v>140</v>
      </c>
      <c r="B70" s="1079"/>
      <c r="C70" s="1079"/>
      <c r="D70" s="1080"/>
      <c r="E70" s="274"/>
      <c r="F70" s="165" t="str">
        <f>"Nog af te bouwen regulatoir saldo einde "&amp;E68-1</f>
        <v>Nog af te bouwen regulatoir saldo einde 2019</v>
      </c>
      <c r="G70" s="165" t="str">
        <f>"Afbouw oudste openstaande regulatoir saldo vanaf boekjaar "&amp;E68-3&amp;" en vroeger, door aanwending van compensatie met regulatoir saldo ontstaan over boekjaar "&amp;E68-2</f>
        <v>Afbouw oudste openstaande regulatoir saldo vanaf boekjaar 2017 en vroeger, door aanwending van compensatie met regulatoir saldo ontstaan over boekjaar 2018</v>
      </c>
      <c r="H70" s="165" t="str">
        <f>"Nog af te bouwen regulatoir saldo na compensatie einde "&amp;E68-1</f>
        <v>Nog af te bouwen regulatoir saldo na compensatie einde 2019</v>
      </c>
      <c r="I70" s="165" t="str">
        <f>"100% van het regulatoir saldo door te rekenen volgens de tariefmethodologie in het boekjaar "&amp;E68</f>
        <v>100% van het regulatoir saldo door te rekenen volgens de tariefmethodologie in het boekjaar 2020</v>
      </c>
      <c r="J70" s="165" t="str">
        <f>"Aanwending van 100% van het regulatoir saldo door te rekenen volgens de tariefmethodologie in het boekjaar "&amp;E68</f>
        <v>Aanwending van 100% van het regulatoir saldo door te rekenen volgens de tariefmethodologie in het boekjaar 2020</v>
      </c>
      <c r="K70" s="165" t="str">
        <f>"Totale afbouw over "&amp;E68</f>
        <v>Totale afbouw over 2020</v>
      </c>
      <c r="L70" s="165" t="str">
        <f>"Nog af te bouwen regulatoir saldo einde "&amp;E68</f>
        <v>Nog af te bouwen regulatoir saldo einde 2020</v>
      </c>
    </row>
    <row r="71" spans="1:13" ht="13" x14ac:dyDescent="0.25">
      <c r="A71" s="1075">
        <v>2017</v>
      </c>
      <c r="B71" s="1076"/>
      <c r="C71" s="1076"/>
      <c r="D71" s="1077"/>
      <c r="E71" s="275"/>
      <c r="F71" s="176">
        <f>J66</f>
        <v>0</v>
      </c>
      <c r="G71" s="853">
        <f>IF(SIGN(F72*J66)&lt;0,IF(F71&lt;&gt;0,-SIGN(F71)*MIN(ABS(F72),ABS(F71)),0),0)</f>
        <v>0</v>
      </c>
      <c r="H71" s="176">
        <f>+F71+G71</f>
        <v>0</v>
      </c>
      <c r="I71" s="806"/>
      <c r="J71" s="853">
        <f>-MIN(ABS(H71),ABS(I73))*SIGN(H71)</f>
        <v>0</v>
      </c>
      <c r="K71" s="854">
        <f>+J71+G71</f>
        <v>0</v>
      </c>
      <c r="L71" s="176">
        <f>+H71+J71</f>
        <v>0</v>
      </c>
    </row>
    <row r="72" spans="1:13" ht="13" x14ac:dyDescent="0.25">
      <c r="A72" s="1075">
        <v>2018</v>
      </c>
      <c r="B72" s="1076"/>
      <c r="C72" s="1076"/>
      <c r="D72" s="1077"/>
      <c r="E72" s="275"/>
      <c r="F72" s="176">
        <f>+D20+D21</f>
        <v>0</v>
      </c>
      <c r="G72" s="854">
        <f>IF(SIGN(F72*J66)&lt;0,-G71,0)</f>
        <v>0</v>
      </c>
      <c r="H72" s="176">
        <f>+F72+G72</f>
        <v>0</v>
      </c>
      <c r="I72" s="806"/>
      <c r="J72" s="853">
        <f>-MIN(ABS(H72),ABS(I73-J71))*SIGN(H72)</f>
        <v>0</v>
      </c>
      <c r="K72" s="854">
        <f>+J72+G72</f>
        <v>0</v>
      </c>
      <c r="L72" s="176">
        <f>+H72+J72</f>
        <v>0</v>
      </c>
    </row>
    <row r="73" spans="1:13" ht="13" x14ac:dyDescent="0.25">
      <c r="A73" s="273"/>
      <c r="B73" s="273"/>
      <c r="C73" s="273"/>
      <c r="D73" s="273"/>
      <c r="E73" s="273"/>
      <c r="F73" s="276">
        <f>SUM(F71:F72)</f>
        <v>0</v>
      </c>
      <c r="G73" s="276">
        <f>SUM(G71:G72)</f>
        <v>0</v>
      </c>
      <c r="H73" s="276">
        <f>SUM(H71:H72)</f>
        <v>0</v>
      </c>
      <c r="I73" s="276">
        <f>-H73*1</f>
        <v>0</v>
      </c>
      <c r="J73" s="277">
        <f>SUM(J71:J72)</f>
        <v>0</v>
      </c>
      <c r="K73" s="278"/>
      <c r="L73" s="276">
        <f>SUM(L71:L72)</f>
        <v>0</v>
      </c>
    </row>
    <row r="74" spans="1:13" s="166" customFormat="1" x14ac:dyDescent="0.25">
      <c r="H74" s="214"/>
    </row>
    <row r="75" spans="1:13" s="166" customFormat="1" ht="13" x14ac:dyDescent="0.25">
      <c r="A75" s="273" t="s">
        <v>139</v>
      </c>
      <c r="E75" s="810">
        <v>2021</v>
      </c>
      <c r="G75" s="214"/>
    </row>
    <row r="76" spans="1:13" s="166" customFormat="1" x14ac:dyDescent="0.25">
      <c r="G76" s="214"/>
    </row>
    <row r="77" spans="1:13" s="166" customFormat="1" ht="102" customHeight="1" x14ac:dyDescent="0.25">
      <c r="A77" s="1078" t="s">
        <v>140</v>
      </c>
      <c r="B77" s="1079"/>
      <c r="C77" s="1079"/>
      <c r="D77" s="1080"/>
      <c r="E77" s="274"/>
      <c r="F77" s="165" t="str">
        <f>"Nog af te bouwen regulatoir saldo einde "&amp;E75-1</f>
        <v>Nog af te bouwen regulatoir saldo einde 2020</v>
      </c>
      <c r="G77" s="165" t="str">
        <f>"50% van het regulatoir saldo door te rekenen volgens de tariefmethodologie in het boekjaar "&amp;E75</f>
        <v>50% van het regulatoir saldo door te rekenen volgens de tariefmethodologie in het boekjaar 2021</v>
      </c>
      <c r="H77" s="165" t="str">
        <f>"Nog af te bouwen regulatoir saldo einde "&amp;E75</f>
        <v>Nog af te bouwen regulatoir saldo einde 2021</v>
      </c>
      <c r="I77" s="206"/>
    </row>
    <row r="78" spans="1:13" s="166" customFormat="1" ht="13" x14ac:dyDescent="0.25">
      <c r="A78" s="1075">
        <v>2017</v>
      </c>
      <c r="B78" s="1076"/>
      <c r="C78" s="1076">
        <v>2016</v>
      </c>
      <c r="D78" s="1077"/>
      <c r="E78" s="275"/>
      <c r="F78" s="176">
        <f>+L71</f>
        <v>0</v>
      </c>
      <c r="G78" s="521">
        <f t="shared" ref="G78:G80" si="15">-F78*0.5</f>
        <v>0</v>
      </c>
      <c r="H78" s="176">
        <f t="shared" ref="H78:H80" si="16">+F78+G78</f>
        <v>0</v>
      </c>
      <c r="I78" s="206"/>
    </row>
    <row r="79" spans="1:13" s="166" customFormat="1" ht="13" x14ac:dyDescent="0.25">
      <c r="A79" s="1075">
        <v>2018</v>
      </c>
      <c r="B79" s="1076"/>
      <c r="C79" s="1076"/>
      <c r="D79" s="1077"/>
      <c r="E79" s="275"/>
      <c r="F79" s="176">
        <f>+L72</f>
        <v>0</v>
      </c>
      <c r="G79" s="521">
        <f t="shared" si="15"/>
        <v>0</v>
      </c>
      <c r="H79" s="176">
        <f t="shared" si="16"/>
        <v>0</v>
      </c>
      <c r="I79" s="206"/>
    </row>
    <row r="80" spans="1:13" s="166" customFormat="1" ht="13" x14ac:dyDescent="0.25">
      <c r="A80" s="1075">
        <v>2019</v>
      </c>
      <c r="B80" s="1076"/>
      <c r="C80" s="1076"/>
      <c r="D80" s="1077"/>
      <c r="E80" s="275"/>
      <c r="F80" s="176">
        <f>+E21+E22</f>
        <v>0</v>
      </c>
      <c r="G80" s="521">
        <f t="shared" si="15"/>
        <v>0</v>
      </c>
      <c r="H80" s="176">
        <f t="shared" si="16"/>
        <v>0</v>
      </c>
      <c r="I80" s="206"/>
    </row>
    <row r="81" spans="1:9" s="273" customFormat="1" ht="13" x14ac:dyDescent="0.25">
      <c r="F81" s="276">
        <f>SUM(F78:F80)</f>
        <v>0</v>
      </c>
      <c r="G81" s="168">
        <f>SUM(G78:G80)</f>
        <v>0</v>
      </c>
      <c r="H81" s="276">
        <f>SUM(H78:H80)</f>
        <v>0</v>
      </c>
    </row>
    <row r="82" spans="1:9" s="166" customFormat="1" x14ac:dyDescent="0.25">
      <c r="G82" s="214"/>
    </row>
    <row r="83" spans="1:9" s="166" customFormat="1" ht="13" x14ac:dyDescent="0.25">
      <c r="A83" s="273" t="s">
        <v>139</v>
      </c>
      <c r="E83" s="810">
        <v>2022</v>
      </c>
      <c r="G83" s="214"/>
    </row>
    <row r="84" spans="1:9" s="166" customFormat="1" x14ac:dyDescent="0.25">
      <c r="G84" s="214"/>
    </row>
    <row r="85" spans="1:9" s="166" customFormat="1" ht="102" customHeight="1" x14ac:dyDescent="0.25">
      <c r="A85" s="1078" t="s">
        <v>140</v>
      </c>
      <c r="B85" s="1079"/>
      <c r="C85" s="1079"/>
      <c r="D85" s="1080"/>
      <c r="E85" s="274"/>
      <c r="F85" s="165" t="str">
        <f>"Nog af te bouwen regulatoir saldo einde "&amp;E83-1</f>
        <v>Nog af te bouwen regulatoir saldo einde 2021</v>
      </c>
      <c r="G85" s="165" t="str">
        <f>"50% van het regulatoir saldo door te rekenen volgens de tariefmethodologie in het boekjaar "&amp;E83</f>
        <v>50% van het regulatoir saldo door te rekenen volgens de tariefmethodologie in het boekjaar 2022</v>
      </c>
      <c r="H85" s="165" t="str">
        <f>"Nog af te bouwen regulatoir saldo einde "&amp;E83</f>
        <v>Nog af te bouwen regulatoir saldo einde 2022</v>
      </c>
      <c r="I85" s="206"/>
    </row>
    <row r="86" spans="1:9" s="166" customFormat="1" ht="13" x14ac:dyDescent="0.25">
      <c r="A86" s="1075">
        <v>2017</v>
      </c>
      <c r="B86" s="1076"/>
      <c r="C86" s="1076">
        <v>2016</v>
      </c>
      <c r="D86" s="1077"/>
      <c r="E86" s="275"/>
      <c r="F86" s="176">
        <f>+H78</f>
        <v>0</v>
      </c>
      <c r="G86" s="521">
        <f>-F78*0.5</f>
        <v>0</v>
      </c>
      <c r="H86" s="176">
        <f t="shared" ref="H86:H89" si="17">+F86+G86</f>
        <v>0</v>
      </c>
      <c r="I86" s="206"/>
    </row>
    <row r="87" spans="1:9" s="166" customFormat="1" ht="13" x14ac:dyDescent="0.25">
      <c r="A87" s="1075">
        <v>2018</v>
      </c>
      <c r="B87" s="1076"/>
      <c r="C87" s="1076"/>
      <c r="D87" s="1077"/>
      <c r="E87" s="275"/>
      <c r="F87" s="176">
        <f>+H79</f>
        <v>0</v>
      </c>
      <c r="G87" s="521">
        <f>-F79*0.5</f>
        <v>0</v>
      </c>
      <c r="H87" s="176">
        <f t="shared" si="17"/>
        <v>0</v>
      </c>
      <c r="I87" s="206"/>
    </row>
    <row r="88" spans="1:9" s="166" customFormat="1" ht="13" x14ac:dyDescent="0.25">
      <c r="A88" s="1075">
        <v>2019</v>
      </c>
      <c r="B88" s="1076"/>
      <c r="C88" s="1076"/>
      <c r="D88" s="1077"/>
      <c r="E88" s="275"/>
      <c r="F88" s="176">
        <f>+H80</f>
        <v>0</v>
      </c>
      <c r="G88" s="521">
        <f>-F80*0.5</f>
        <v>0</v>
      </c>
      <c r="H88" s="176">
        <f t="shared" si="17"/>
        <v>0</v>
      </c>
      <c r="I88" s="206"/>
    </row>
    <row r="89" spans="1:9" s="166" customFormat="1" ht="13" x14ac:dyDescent="0.25">
      <c r="A89" s="1075">
        <v>2020</v>
      </c>
      <c r="B89" s="1076"/>
      <c r="C89" s="1076"/>
      <c r="D89" s="1077"/>
      <c r="E89" s="275"/>
      <c r="F89" s="176">
        <f>+F22+F23</f>
        <v>0</v>
      </c>
      <c r="G89" s="521">
        <f t="shared" ref="G89" si="18">-F89*0.5</f>
        <v>0</v>
      </c>
      <c r="H89" s="176">
        <f t="shared" si="17"/>
        <v>0</v>
      </c>
      <c r="I89" s="206"/>
    </row>
    <row r="90" spans="1:9" s="273" customFormat="1" ht="13" x14ac:dyDescent="0.25">
      <c r="F90" s="276">
        <f>SUM(F86:F89)</f>
        <v>0</v>
      </c>
      <c r="G90" s="168">
        <f>SUM(G86:G89)</f>
        <v>0</v>
      </c>
      <c r="H90" s="276">
        <f>SUM(H86:H89)</f>
        <v>0</v>
      </c>
    </row>
    <row r="91" spans="1:9" s="166" customFormat="1" x14ac:dyDescent="0.25">
      <c r="G91" s="214"/>
    </row>
    <row r="92" spans="1:9" s="166" customFormat="1" ht="13" x14ac:dyDescent="0.25">
      <c r="A92" s="273" t="s">
        <v>139</v>
      </c>
      <c r="E92" s="810">
        <v>2023</v>
      </c>
      <c r="G92" s="214"/>
    </row>
    <row r="93" spans="1:9" s="166" customFormat="1" x14ac:dyDescent="0.25">
      <c r="G93" s="214"/>
    </row>
    <row r="94" spans="1:9" s="166" customFormat="1" ht="102" customHeight="1" x14ac:dyDescent="0.25">
      <c r="A94" s="1078" t="s">
        <v>140</v>
      </c>
      <c r="B94" s="1079"/>
      <c r="C94" s="1079"/>
      <c r="D94" s="1080"/>
      <c r="E94" s="274"/>
      <c r="F94" s="165" t="str">
        <f>"Nog af te bouwen regulatoir saldo einde "&amp;E92-1</f>
        <v>Nog af te bouwen regulatoir saldo einde 2022</v>
      </c>
      <c r="G94" s="165" t="str">
        <f>"50% van het regulatoir saldo door te rekenen volgens de tariefmethodologie in het boekjaar "&amp;E92</f>
        <v>50% van het regulatoir saldo door te rekenen volgens de tariefmethodologie in het boekjaar 2023</v>
      </c>
      <c r="H94" s="165" t="str">
        <f>"Nog af te bouwen regulatoir saldo einde "&amp;E92</f>
        <v>Nog af te bouwen regulatoir saldo einde 2023</v>
      </c>
      <c r="I94" s="206"/>
    </row>
    <row r="95" spans="1:9" s="166" customFormat="1" ht="13" x14ac:dyDescent="0.25">
      <c r="A95" s="1075">
        <v>2020</v>
      </c>
      <c r="B95" s="1076"/>
      <c r="C95" s="1076"/>
      <c r="D95" s="1077"/>
      <c r="E95" s="275"/>
      <c r="F95" s="176">
        <f>+H89</f>
        <v>0</v>
      </c>
      <c r="G95" s="521">
        <f>-F89*0.5</f>
        <v>0</v>
      </c>
      <c r="H95" s="176">
        <f t="shared" ref="H95:H96" si="19">+F95+G95</f>
        <v>0</v>
      </c>
      <c r="I95" s="206"/>
    </row>
    <row r="96" spans="1:9" s="166" customFormat="1" ht="13" x14ac:dyDescent="0.25">
      <c r="A96" s="1075">
        <v>2021</v>
      </c>
      <c r="B96" s="1076"/>
      <c r="C96" s="1076"/>
      <c r="D96" s="1077"/>
      <c r="E96" s="275"/>
      <c r="F96" s="176">
        <f>+G23+G24</f>
        <v>0</v>
      </c>
      <c r="G96" s="521">
        <f t="shared" ref="G96" si="20">-F96*0.5</f>
        <v>0</v>
      </c>
      <c r="H96" s="176">
        <f t="shared" si="19"/>
        <v>0</v>
      </c>
      <c r="I96" s="206"/>
    </row>
    <row r="97" spans="1:13" s="273" customFormat="1" ht="13" x14ac:dyDescent="0.25">
      <c r="F97" s="276">
        <f>SUM(F95:F96)</f>
        <v>0</v>
      </c>
      <c r="G97" s="168">
        <f>SUM(G95:G96)</f>
        <v>0</v>
      </c>
      <c r="H97" s="276">
        <f>SUM(H95:H96)</f>
        <v>0</v>
      </c>
    </row>
    <row r="98" spans="1:13" s="166" customFormat="1" x14ac:dyDescent="0.25">
      <c r="G98" s="214"/>
    </row>
    <row r="99" spans="1:13" s="166" customFormat="1" ht="13" x14ac:dyDescent="0.25">
      <c r="A99" s="273" t="s">
        <v>139</v>
      </c>
      <c r="E99" s="810">
        <v>2024</v>
      </c>
      <c r="G99" s="214"/>
    </row>
    <row r="100" spans="1:13" s="166" customFormat="1" x14ac:dyDescent="0.25">
      <c r="G100" s="214"/>
    </row>
    <row r="101" spans="1:13" s="166" customFormat="1" ht="102" customHeight="1" x14ac:dyDescent="0.25">
      <c r="A101" s="1078" t="s">
        <v>140</v>
      </c>
      <c r="B101" s="1079"/>
      <c r="C101" s="1079"/>
      <c r="D101" s="1080"/>
      <c r="E101" s="274"/>
      <c r="F101" s="165" t="str">
        <f>"Nog af te bouwen regulatoir saldo einde "&amp;E99-1</f>
        <v>Nog af te bouwen regulatoir saldo einde 2023</v>
      </c>
      <c r="G101" s="165" t="str">
        <f>"50% van het regulatoir saldo door te rekenen volgens de tariefmethodologie in het boekjaar "&amp;E99</f>
        <v>50% van het regulatoir saldo door te rekenen volgens de tariefmethodologie in het boekjaar 2024</v>
      </c>
      <c r="H101" s="165" t="str">
        <f>"Nog af te bouwen regulatoir saldo einde "&amp;E99</f>
        <v>Nog af te bouwen regulatoir saldo einde 2024</v>
      </c>
      <c r="I101" s="206"/>
    </row>
    <row r="102" spans="1:13" s="166" customFormat="1" ht="13" x14ac:dyDescent="0.25">
      <c r="A102" s="1075">
        <v>2021</v>
      </c>
      <c r="B102" s="1076"/>
      <c r="C102" s="1076"/>
      <c r="D102" s="1077"/>
      <c r="E102" s="275"/>
      <c r="F102" s="176">
        <f>+H96</f>
        <v>0</v>
      </c>
      <c r="G102" s="521">
        <f>-F96*0.5</f>
        <v>0</v>
      </c>
      <c r="H102" s="176">
        <f t="shared" ref="H102:H103" si="21">+F102+G102</f>
        <v>0</v>
      </c>
      <c r="I102" s="206"/>
    </row>
    <row r="103" spans="1:13" s="166" customFormat="1" ht="13" x14ac:dyDescent="0.25">
      <c r="A103" s="1075">
        <v>2022</v>
      </c>
      <c r="B103" s="1076"/>
      <c r="C103" s="1076"/>
      <c r="D103" s="1077"/>
      <c r="E103" s="275"/>
      <c r="F103" s="176">
        <f>+H24+H25</f>
        <v>0</v>
      </c>
      <c r="G103" s="521">
        <f t="shared" ref="G103" si="22">-F103*0.5</f>
        <v>0</v>
      </c>
      <c r="H103" s="176">
        <f t="shared" si="21"/>
        <v>0</v>
      </c>
      <c r="I103" s="206"/>
    </row>
    <row r="104" spans="1:13" s="273" customFormat="1" ht="13" x14ac:dyDescent="0.25">
      <c r="F104" s="276">
        <f>SUM(F102:F103)</f>
        <v>0</v>
      </c>
      <c r="G104" s="168">
        <f>SUM(G102:G103)</f>
        <v>0</v>
      </c>
      <c r="H104" s="276">
        <f>SUM(H102:H103)</f>
        <v>0</v>
      </c>
    </row>
    <row r="105" spans="1:13" x14ac:dyDescent="0.25">
      <c r="A105" s="166"/>
      <c r="B105" s="166"/>
      <c r="C105" s="166"/>
      <c r="D105" s="166"/>
      <c r="E105" s="166"/>
      <c r="F105" s="166"/>
      <c r="G105" s="166"/>
      <c r="H105" s="166"/>
      <c r="I105" s="166"/>
      <c r="J105" s="166"/>
      <c r="K105" s="203"/>
      <c r="L105" s="166"/>
    </row>
    <row r="106" spans="1:13" x14ac:dyDescent="0.25">
      <c r="A106" s="166"/>
      <c r="B106" s="166"/>
      <c r="C106" s="166"/>
      <c r="D106" s="166"/>
      <c r="E106" s="166"/>
      <c r="F106" s="166"/>
      <c r="G106" s="166"/>
      <c r="H106" s="166"/>
      <c r="I106" s="166"/>
      <c r="J106" s="166"/>
      <c r="K106" s="166"/>
      <c r="L106" s="203"/>
      <c r="M106" s="166"/>
    </row>
    <row r="107" spans="1:13" ht="13" x14ac:dyDescent="0.25">
      <c r="A107" s="273" t="s">
        <v>141</v>
      </c>
      <c r="B107" s="216"/>
      <c r="C107" s="216"/>
      <c r="D107" s="216"/>
      <c r="E107" s="166"/>
      <c r="F107" s="166"/>
      <c r="G107" s="166"/>
      <c r="H107" s="166"/>
      <c r="I107" s="166"/>
      <c r="J107" s="166"/>
      <c r="K107" s="166"/>
      <c r="L107" s="203"/>
      <c r="M107" s="166"/>
    </row>
    <row r="108" spans="1:13" ht="13" x14ac:dyDescent="0.25">
      <c r="A108" s="273"/>
      <c r="B108" s="216"/>
      <c r="C108" s="216"/>
      <c r="D108" s="216"/>
      <c r="E108" s="166"/>
      <c r="F108" s="166"/>
      <c r="G108" s="166"/>
      <c r="H108" s="166"/>
      <c r="I108" s="166"/>
      <c r="J108" s="166"/>
      <c r="K108" s="166"/>
      <c r="L108" s="203"/>
      <c r="M108" s="166"/>
    </row>
    <row r="109" spans="1:13" ht="13" x14ac:dyDescent="0.25">
      <c r="A109" s="275">
        <v>2021</v>
      </c>
      <c r="B109" s="279">
        <f>+G81</f>
        <v>0</v>
      </c>
      <c r="C109" s="216"/>
      <c r="D109" s="216"/>
      <c r="E109" s="166"/>
      <c r="F109" s="166"/>
      <c r="G109" s="166"/>
      <c r="H109" s="166"/>
      <c r="I109" s="166"/>
      <c r="J109" s="166"/>
      <c r="K109" s="166"/>
      <c r="L109" s="203"/>
      <c r="M109" s="166"/>
    </row>
    <row r="110" spans="1:13" ht="13" x14ac:dyDescent="0.25">
      <c r="A110" s="275">
        <v>2022</v>
      </c>
      <c r="B110" s="279">
        <f>+G90</f>
        <v>0</v>
      </c>
      <c r="C110" s="216"/>
      <c r="D110" s="216"/>
      <c r="E110" s="166"/>
      <c r="F110" s="166"/>
      <c r="G110" s="166"/>
      <c r="H110" s="166"/>
      <c r="I110" s="166"/>
      <c r="J110" s="166"/>
      <c r="K110" s="166"/>
      <c r="L110" s="203"/>
      <c r="M110" s="166"/>
    </row>
    <row r="111" spans="1:13" ht="13" x14ac:dyDescent="0.25">
      <c r="A111" s="275">
        <v>2023</v>
      </c>
      <c r="B111" s="279">
        <f>+G97</f>
        <v>0</v>
      </c>
    </row>
    <row r="112" spans="1:13" ht="13" x14ac:dyDescent="0.25">
      <c r="A112" s="275">
        <v>2024</v>
      </c>
      <c r="B112" s="279">
        <f>+G104</f>
        <v>0</v>
      </c>
    </row>
  </sheetData>
  <sheetProtection algorithmName="SHA-512" hashValue="xoFU1zZ5/hovlZsNnnHK+hz+hf3U7j2K7QKLqxVK81zUMXmsv/DxJydi8jjekCpeCwupKeg4/KaCrraSI5eNuA==" saltValue="fF5QFd7fyFnkTVQm37xnew==" spinCount="100000" sheet="1" objects="1" scenarios="1"/>
  <mergeCells count="33">
    <mergeCell ref="A96:D96"/>
    <mergeCell ref="A101:D101"/>
    <mergeCell ref="A102:D102"/>
    <mergeCell ref="A103:D103"/>
    <mergeCell ref="A4:N4"/>
    <mergeCell ref="A87:D87"/>
    <mergeCell ref="A88:D88"/>
    <mergeCell ref="A89:D89"/>
    <mergeCell ref="A94:D94"/>
    <mergeCell ref="A95:D95"/>
    <mergeCell ref="A80:D80"/>
    <mergeCell ref="A85:D85"/>
    <mergeCell ref="A86:D86"/>
    <mergeCell ref="A77:D77"/>
    <mergeCell ref="A78:D78"/>
    <mergeCell ref="A79:D79"/>
    <mergeCell ref="A72:D72"/>
    <mergeCell ref="A51:A58"/>
    <mergeCell ref="A18:B18"/>
    <mergeCell ref="A19:A27"/>
    <mergeCell ref="C32:J32"/>
    <mergeCell ref="A66:D66"/>
    <mergeCell ref="A70:D70"/>
    <mergeCell ref="A34:A42"/>
    <mergeCell ref="C49:J49"/>
    <mergeCell ref="A45:N45"/>
    <mergeCell ref="A61:N61"/>
    <mergeCell ref="A65:D65"/>
    <mergeCell ref="C6:J6"/>
    <mergeCell ref="C17:J17"/>
    <mergeCell ref="A1:L1"/>
    <mergeCell ref="A71:D71"/>
    <mergeCell ref="A13:N13"/>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ignoredErrors>
    <ignoredError sqref="L33 N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45D0-196C-44C7-8439-7ABE89B5AFED}">
  <sheetPr codeName="Blad19">
    <pageSetUpPr fitToPage="1"/>
  </sheetPr>
  <dimension ref="A1:AA71"/>
  <sheetViews>
    <sheetView zoomScale="80" zoomScaleNormal="80" zoomScaleSheetLayoutView="80" workbookViewId="0">
      <selection activeCell="B70" sqref="B70"/>
    </sheetView>
  </sheetViews>
  <sheetFormatPr defaultColWidth="11.453125" defaultRowHeight="12.5" x14ac:dyDescent="0.25"/>
  <cols>
    <col min="1" max="1" width="28.1796875" style="177" customWidth="1"/>
    <col min="2" max="2" width="14.26953125" style="177" customWidth="1"/>
    <col min="3" max="8" width="25.7265625" style="177" customWidth="1"/>
    <col min="9" max="9" width="20.26953125" style="177" customWidth="1"/>
    <col min="10" max="10" width="25.7265625" style="177" customWidth="1"/>
    <col min="11" max="11" width="28.7265625" style="177" bestFit="1" customWidth="1"/>
    <col min="12" max="12" width="14" style="177" customWidth="1"/>
    <col min="13" max="13" width="29.1796875" style="177" customWidth="1"/>
    <col min="14" max="14" width="12.26953125" style="177" bestFit="1" customWidth="1"/>
    <col min="15" max="16384" width="11.453125" style="177"/>
  </cols>
  <sheetData>
    <row r="1" spans="1:27" ht="21.75" customHeight="1" thickBot="1" x14ac:dyDescent="0.3">
      <c r="A1" s="1109" t="s">
        <v>240</v>
      </c>
      <c r="B1" s="1110"/>
      <c r="C1" s="1110"/>
      <c r="D1" s="1110"/>
      <c r="E1" s="1110"/>
      <c r="F1" s="1110"/>
      <c r="G1" s="1110"/>
      <c r="H1" s="1110"/>
      <c r="I1" s="1110"/>
      <c r="J1" s="1111"/>
      <c r="K1" s="221"/>
    </row>
    <row r="2" spans="1:27" x14ac:dyDescent="0.25">
      <c r="A2" s="225"/>
      <c r="B2" s="225"/>
      <c r="C2" s="225"/>
      <c r="D2" s="225"/>
      <c r="E2" s="225"/>
      <c r="F2" s="225"/>
      <c r="G2" s="225"/>
      <c r="H2" s="225"/>
      <c r="I2" s="212"/>
      <c r="J2" s="166"/>
      <c r="K2" s="225"/>
    </row>
    <row r="3" spans="1:27" ht="13" thickBot="1" x14ac:dyDescent="0.3">
      <c r="A3" s="225"/>
      <c r="B3" s="225"/>
      <c r="C3" s="225"/>
      <c r="D3" s="225"/>
      <c r="E3" s="225"/>
      <c r="F3" s="225"/>
      <c r="G3" s="225"/>
      <c r="H3" s="225"/>
      <c r="I3" s="212"/>
      <c r="J3" s="166"/>
      <c r="K3" s="225"/>
    </row>
    <row r="4" spans="1:27" s="178" customFormat="1" ht="20.149999999999999" customHeight="1" thickBot="1" x14ac:dyDescent="0.3">
      <c r="A4" s="1064" t="s">
        <v>241</v>
      </c>
      <c r="B4" s="1065"/>
      <c r="C4" s="1065"/>
      <c r="D4" s="1065"/>
      <c r="E4" s="1065"/>
      <c r="F4" s="1065"/>
      <c r="G4" s="1065"/>
      <c r="H4" s="1065"/>
      <c r="I4" s="1065"/>
      <c r="J4" s="1066"/>
      <c r="K4" s="177"/>
      <c r="L4" s="177"/>
      <c r="M4" s="177"/>
      <c r="N4" s="177"/>
      <c r="O4" s="177"/>
      <c r="P4" s="177"/>
      <c r="Q4" s="177"/>
      <c r="R4" s="177"/>
      <c r="S4" s="177"/>
      <c r="T4" s="177"/>
      <c r="U4" s="177"/>
      <c r="V4" s="177"/>
      <c r="W4" s="177"/>
      <c r="X4" s="177"/>
      <c r="Y4" s="177"/>
      <c r="Z4" s="177"/>
      <c r="AA4" s="177"/>
    </row>
    <row r="5" spans="1:27" ht="13" thickBot="1" x14ac:dyDescent="0.3"/>
    <row r="6" spans="1:27" s="178" customFormat="1" ht="17" thickBot="1" x14ac:dyDescent="0.3">
      <c r="A6" s="177"/>
      <c r="B6" s="177"/>
      <c r="C6" s="1070"/>
      <c r="D6" s="1071"/>
      <c r="E6" s="1071"/>
      <c r="F6" s="1072"/>
      <c r="G6" s="177"/>
      <c r="H6" s="177"/>
      <c r="I6" s="177"/>
      <c r="J6" s="177"/>
      <c r="K6" s="177"/>
      <c r="L6" s="177"/>
      <c r="M6" s="177"/>
      <c r="N6" s="177"/>
      <c r="O6" s="177"/>
      <c r="P6" s="177"/>
      <c r="Q6" s="177"/>
      <c r="R6" s="177"/>
      <c r="S6" s="177"/>
      <c r="T6" s="177"/>
      <c r="U6" s="177"/>
      <c r="V6" s="177"/>
      <c r="W6" s="177"/>
      <c r="X6" s="177"/>
      <c r="Y6" s="177"/>
      <c r="Z6" s="177"/>
      <c r="AA6" s="177"/>
    </row>
    <row r="7" spans="1:27" s="178" customFormat="1" ht="13.5" thickBot="1" x14ac:dyDescent="0.3">
      <c r="A7" s="177"/>
      <c r="B7" s="177"/>
      <c r="C7" s="330">
        <v>2021</v>
      </c>
      <c r="D7" s="330">
        <f t="shared" ref="D7:F7" si="0">+C7+1</f>
        <v>2022</v>
      </c>
      <c r="E7" s="330">
        <f t="shared" si="0"/>
        <v>2023</v>
      </c>
      <c r="F7" s="330">
        <f t="shared" si="0"/>
        <v>2024</v>
      </c>
      <c r="G7" s="177"/>
      <c r="H7" s="177"/>
      <c r="I7" s="177"/>
      <c r="J7" s="177"/>
      <c r="K7" s="177"/>
      <c r="L7" s="177"/>
      <c r="M7" s="177"/>
      <c r="N7" s="177"/>
      <c r="O7" s="177"/>
      <c r="P7" s="177"/>
      <c r="Q7" s="177"/>
      <c r="R7" s="177"/>
      <c r="S7" s="177"/>
      <c r="T7" s="177"/>
      <c r="U7" s="177"/>
      <c r="V7" s="177"/>
      <c r="W7" s="177"/>
      <c r="X7" s="177"/>
      <c r="Y7" s="177"/>
      <c r="Z7" s="177"/>
      <c r="AA7" s="177"/>
    </row>
    <row r="8" spans="1:27" s="178" customFormat="1" x14ac:dyDescent="0.25">
      <c r="A8" s="177"/>
      <c r="B8" s="177"/>
      <c r="C8" s="800">
        <v>0</v>
      </c>
      <c r="D8" s="800">
        <v>0</v>
      </c>
      <c r="E8" s="800">
        <v>0</v>
      </c>
      <c r="F8" s="800">
        <v>0</v>
      </c>
      <c r="G8" s="177"/>
      <c r="H8" s="177"/>
      <c r="I8" s="177"/>
      <c r="J8" s="177"/>
      <c r="K8" s="177"/>
      <c r="L8" s="177"/>
      <c r="M8" s="177"/>
      <c r="N8" s="177"/>
      <c r="O8" s="177"/>
      <c r="P8" s="177"/>
      <c r="Q8" s="177"/>
      <c r="R8" s="177"/>
      <c r="S8" s="177"/>
      <c r="T8" s="177"/>
      <c r="U8" s="177"/>
      <c r="V8" s="177"/>
      <c r="W8" s="177"/>
      <c r="X8" s="177"/>
      <c r="Y8" s="177"/>
      <c r="Z8" s="177"/>
      <c r="AA8" s="177"/>
    </row>
    <row r="9" spans="1:27" ht="13" x14ac:dyDescent="0.25">
      <c r="F9" s="234"/>
    </row>
    <row r="10" spans="1:27" ht="13" x14ac:dyDescent="0.25">
      <c r="E10" s="666" t="str">
        <f>+'T9 - Overzicht'!C32&amp;":"</f>
        <v>2022:</v>
      </c>
      <c r="F10" s="667">
        <f>+IF('T9 - Overzicht'!C6="ex-ante",0,IF('T9 - Overzicht'!C6="ex-post",'T9 - Overzicht'!C38,"FOUT"))</f>
        <v>0</v>
      </c>
    </row>
    <row r="12" spans="1:27" ht="13" thickBot="1" x14ac:dyDescent="0.3"/>
    <row r="13" spans="1:27" ht="20.25" customHeight="1" thickBot="1" x14ac:dyDescent="0.3">
      <c r="A13" s="1064" t="s">
        <v>18</v>
      </c>
      <c r="B13" s="1065"/>
      <c r="C13" s="1065"/>
      <c r="D13" s="1065"/>
      <c r="E13" s="1065"/>
      <c r="F13" s="1065"/>
      <c r="G13" s="1065"/>
      <c r="H13" s="1065"/>
      <c r="I13" s="1065"/>
      <c r="J13" s="1066"/>
    </row>
    <row r="17" spans="1:27" ht="16.5" x14ac:dyDescent="0.25">
      <c r="C17" s="1057" t="s">
        <v>19</v>
      </c>
      <c r="D17" s="1058"/>
      <c r="E17" s="1058"/>
      <c r="F17" s="1059"/>
      <c r="H17" s="237" t="s">
        <v>20</v>
      </c>
    </row>
    <row r="18" spans="1:27" ht="13.5" thickBot="1" x14ac:dyDescent="0.3">
      <c r="A18" s="1060"/>
      <c r="B18" s="1060"/>
      <c r="C18" s="239">
        <f t="shared" ref="C18:E18" si="1">C7</f>
        <v>2021</v>
      </c>
      <c r="D18" s="239">
        <f t="shared" si="1"/>
        <v>2022</v>
      </c>
      <c r="E18" s="239">
        <f t="shared" si="1"/>
        <v>2023</v>
      </c>
      <c r="F18" s="239">
        <f>F7</f>
        <v>2024</v>
      </c>
      <c r="H18" s="240"/>
    </row>
    <row r="19" spans="1:27" s="178" customFormat="1" ht="13" thickBot="1" x14ac:dyDescent="0.3">
      <c r="A19" s="1171" t="s">
        <v>242</v>
      </c>
      <c r="B19" s="281">
        <f>+C7</f>
        <v>2021</v>
      </c>
      <c r="C19" s="855">
        <v>0</v>
      </c>
      <c r="D19" s="251"/>
      <c r="E19" s="251"/>
      <c r="F19" s="249"/>
      <c r="G19" s="244"/>
      <c r="H19" s="245">
        <f>SUM(C19:F19)</f>
        <v>0</v>
      </c>
      <c r="I19" s="177"/>
      <c r="J19" s="177"/>
      <c r="K19" s="177"/>
      <c r="L19" s="177"/>
      <c r="M19" s="177"/>
      <c r="N19" s="177"/>
      <c r="O19" s="177"/>
      <c r="P19" s="177"/>
      <c r="Q19" s="177"/>
      <c r="R19" s="177"/>
      <c r="S19" s="177"/>
      <c r="T19" s="177"/>
      <c r="U19" s="177"/>
      <c r="V19" s="177"/>
      <c r="W19" s="177"/>
      <c r="X19" s="177"/>
      <c r="Y19" s="177"/>
      <c r="Z19" s="177"/>
      <c r="AA19" s="177"/>
    </row>
    <row r="20" spans="1:27" s="178" customFormat="1" ht="13" thickBot="1" x14ac:dyDescent="0.3">
      <c r="A20" s="1172"/>
      <c r="B20" s="281">
        <f>+D7</f>
        <v>2022</v>
      </c>
      <c r="C20" s="525">
        <f>+C$8-C19</f>
        <v>0</v>
      </c>
      <c r="D20" s="845">
        <v>0</v>
      </c>
      <c r="E20" s="251"/>
      <c r="F20" s="249"/>
      <c r="G20" s="244"/>
      <c r="H20" s="245">
        <f>SUM(C20:F20)</f>
        <v>0</v>
      </c>
      <c r="I20" s="177"/>
      <c r="J20" s="177"/>
      <c r="K20" s="177"/>
      <c r="L20" s="177"/>
      <c r="M20" s="177"/>
      <c r="N20" s="177"/>
      <c r="O20" s="177"/>
      <c r="P20" s="177"/>
      <c r="Q20" s="177"/>
      <c r="R20" s="177"/>
      <c r="S20" s="177"/>
      <c r="T20" s="177"/>
      <c r="U20" s="177"/>
      <c r="V20" s="177"/>
      <c r="W20" s="177"/>
      <c r="X20" s="177"/>
      <c r="Y20" s="177"/>
      <c r="Z20" s="177"/>
      <c r="AA20" s="177"/>
    </row>
    <row r="21" spans="1:27" s="178" customFormat="1" ht="13" thickBot="1" x14ac:dyDescent="0.3">
      <c r="A21" s="1172"/>
      <c r="B21" s="281">
        <f>+E7</f>
        <v>2023</v>
      </c>
      <c r="C21" s="251"/>
      <c r="D21" s="331">
        <f>+D$8-D20</f>
        <v>0</v>
      </c>
      <c r="E21" s="845">
        <v>0</v>
      </c>
      <c r="F21" s="249"/>
      <c r="G21" s="244"/>
      <c r="H21" s="245">
        <f>SUM(C21:F21)</f>
        <v>0</v>
      </c>
      <c r="I21" s="177"/>
      <c r="J21" s="177"/>
      <c r="K21" s="177"/>
      <c r="L21" s="177"/>
      <c r="M21" s="177"/>
      <c r="N21" s="177"/>
      <c r="O21" s="177"/>
      <c r="P21" s="177"/>
      <c r="Q21" s="177"/>
      <c r="R21" s="177"/>
      <c r="S21" s="177"/>
      <c r="T21" s="177"/>
      <c r="U21" s="177"/>
      <c r="V21" s="177"/>
      <c r="W21" s="177"/>
      <c r="X21" s="177"/>
      <c r="Y21" s="177"/>
      <c r="Z21" s="177"/>
      <c r="AA21" s="177"/>
    </row>
    <row r="22" spans="1:27" s="178" customFormat="1" ht="13" thickBot="1" x14ac:dyDescent="0.3">
      <c r="A22" s="1172"/>
      <c r="B22" s="281">
        <f>F7</f>
        <v>2024</v>
      </c>
      <c r="C22" s="251"/>
      <c r="D22" s="251"/>
      <c r="E22" s="331">
        <f>+E$8-E21</f>
        <v>0</v>
      </c>
      <c r="F22" s="846">
        <v>0</v>
      </c>
      <c r="G22" s="244"/>
      <c r="H22" s="245">
        <f>SUM(C22:F22)</f>
        <v>0</v>
      </c>
      <c r="I22" s="177"/>
      <c r="J22" s="177"/>
      <c r="K22" s="177"/>
      <c r="L22" s="177"/>
      <c r="M22" s="177"/>
      <c r="N22" s="177"/>
      <c r="O22" s="177"/>
      <c r="P22" s="177"/>
      <c r="Q22" s="177"/>
      <c r="R22" s="177"/>
      <c r="S22" s="177"/>
      <c r="T22" s="177"/>
      <c r="U22" s="177"/>
      <c r="V22" s="177"/>
      <c r="W22" s="177"/>
      <c r="X22" s="177"/>
      <c r="Y22" s="177"/>
      <c r="Z22" s="177"/>
      <c r="AA22" s="177"/>
    </row>
    <row r="23" spans="1:27" s="256" customFormat="1" ht="15.5" x14ac:dyDescent="0.25">
      <c r="A23" s="1173"/>
      <c r="B23" s="535" t="s">
        <v>22</v>
      </c>
      <c r="C23" s="534">
        <f>SUM(C19:C22)</f>
        <v>0</v>
      </c>
      <c r="D23" s="252">
        <f>SUM(D19:D22)</f>
        <v>0</v>
      </c>
      <c r="E23" s="252">
        <f>SUM(E19:E22)</f>
        <v>0</v>
      </c>
      <c r="F23" s="325">
        <f>SUM(F19:F22)</f>
        <v>0</v>
      </c>
      <c r="G23" s="253"/>
      <c r="H23" s="254">
        <f>SUM(H19:H22)</f>
        <v>0</v>
      </c>
      <c r="I23" s="255"/>
      <c r="J23" s="255"/>
      <c r="K23" s="255"/>
      <c r="L23" s="255"/>
      <c r="M23" s="255"/>
      <c r="N23" s="255"/>
      <c r="O23" s="255"/>
      <c r="P23" s="255"/>
      <c r="Q23" s="255"/>
      <c r="R23" s="255"/>
      <c r="S23" s="255"/>
      <c r="T23" s="255"/>
      <c r="U23" s="255"/>
      <c r="V23" s="255"/>
      <c r="W23" s="255"/>
      <c r="X23" s="255"/>
      <c r="Y23" s="255"/>
      <c r="Z23" s="255"/>
      <c r="AA23" s="255"/>
    </row>
    <row r="24" spans="1:27" s="235" customFormat="1" ht="13" x14ac:dyDescent="0.25">
      <c r="A24" s="257" t="s">
        <v>34</v>
      </c>
      <c r="C24" s="258">
        <f>+C23+C34</f>
        <v>0</v>
      </c>
      <c r="D24" s="258">
        <f>+D23+D34</f>
        <v>0</v>
      </c>
      <c r="E24" s="258">
        <f>+E23+E34</f>
        <v>0</v>
      </c>
      <c r="F24" s="258">
        <f>+F23+F34</f>
        <v>0</v>
      </c>
      <c r="G24" s="258"/>
      <c r="H24" s="258">
        <f>+H23+H34</f>
        <v>0</v>
      </c>
      <c r="I24" s="258"/>
    </row>
    <row r="25" spans="1:27" s="259" customFormat="1" ht="13" x14ac:dyDescent="0.25">
      <c r="A25" s="235"/>
      <c r="B25" s="235"/>
      <c r="C25" s="258"/>
      <c r="D25" s="258"/>
      <c r="E25" s="258"/>
      <c r="F25" s="258"/>
      <c r="G25" s="235"/>
      <c r="H25" s="235"/>
      <c r="I25" s="235"/>
      <c r="J25" s="235"/>
      <c r="K25" s="235"/>
      <c r="L25" s="235"/>
      <c r="M25" s="235"/>
      <c r="N25" s="235"/>
      <c r="O25" s="235"/>
      <c r="P25" s="235"/>
      <c r="Q25" s="235"/>
      <c r="R25" s="235"/>
      <c r="S25" s="235"/>
      <c r="T25" s="235"/>
      <c r="U25" s="235"/>
      <c r="V25" s="235"/>
      <c r="W25" s="235"/>
      <c r="X25" s="235"/>
      <c r="Y25" s="235"/>
      <c r="Z25" s="235"/>
      <c r="AA25" s="235"/>
    </row>
    <row r="26" spans="1:27" s="235" customFormat="1" ht="13" x14ac:dyDescent="0.25">
      <c r="C26" s="258"/>
      <c r="D26" s="258"/>
      <c r="E26" s="258"/>
      <c r="F26" s="258"/>
      <c r="G26" s="258"/>
      <c r="H26" s="258"/>
    </row>
    <row r="28" spans="1:27" s="178" customFormat="1" ht="16.5" x14ac:dyDescent="0.25">
      <c r="A28" s="177"/>
      <c r="B28" s="177"/>
      <c r="C28" s="1057" t="s">
        <v>19</v>
      </c>
      <c r="D28" s="1058"/>
      <c r="E28" s="1058"/>
      <c r="F28" s="1059"/>
      <c r="G28" s="177"/>
      <c r="H28" s="237" t="s">
        <v>20</v>
      </c>
      <c r="I28" s="177"/>
      <c r="J28" s="237" t="s">
        <v>20</v>
      </c>
      <c r="K28" s="177"/>
      <c r="L28" s="177"/>
      <c r="M28" s="177"/>
      <c r="N28" s="177"/>
      <c r="O28" s="177"/>
      <c r="P28" s="177"/>
      <c r="Q28" s="177"/>
      <c r="R28" s="177"/>
      <c r="S28" s="177"/>
      <c r="T28" s="177"/>
      <c r="U28" s="177"/>
      <c r="V28" s="177"/>
      <c r="W28" s="177"/>
      <c r="X28" s="177"/>
      <c r="Y28" s="177"/>
      <c r="Z28" s="177"/>
      <c r="AA28" s="177"/>
    </row>
    <row r="29" spans="1:27" s="178" customFormat="1" x14ac:dyDescent="0.25">
      <c r="A29" s="177"/>
      <c r="B29" s="177"/>
      <c r="C29" s="239">
        <f>+C18</f>
        <v>2021</v>
      </c>
      <c r="D29" s="239">
        <f>+D18</f>
        <v>2022</v>
      </c>
      <c r="E29" s="239">
        <f>+E18</f>
        <v>2023</v>
      </c>
      <c r="F29" s="239">
        <f>+F18</f>
        <v>2024</v>
      </c>
      <c r="G29" s="177"/>
      <c r="H29" s="240" t="s">
        <v>23</v>
      </c>
      <c r="I29" s="177"/>
      <c r="J29" s="240" t="s">
        <v>24</v>
      </c>
      <c r="K29" s="177"/>
      <c r="L29" s="177"/>
      <c r="M29" s="177"/>
      <c r="N29" s="177"/>
      <c r="O29" s="177"/>
      <c r="P29" s="177"/>
      <c r="Q29" s="177"/>
      <c r="R29" s="177"/>
      <c r="S29" s="177"/>
      <c r="T29" s="177"/>
      <c r="U29" s="177"/>
      <c r="V29" s="177"/>
      <c r="W29" s="177"/>
      <c r="X29" s="177"/>
      <c r="Y29" s="177"/>
      <c r="Z29" s="177"/>
      <c r="AA29" s="177"/>
    </row>
    <row r="30" spans="1:27" s="178" customFormat="1" ht="12.75" customHeight="1" x14ac:dyDescent="0.25">
      <c r="A30" s="1174" t="s">
        <v>243</v>
      </c>
      <c r="B30" s="264">
        <f>+B19</f>
        <v>2021</v>
      </c>
      <c r="C30" s="261"/>
      <c r="D30" s="261"/>
      <c r="E30" s="261"/>
      <c r="F30" s="265"/>
      <c r="G30" s="244"/>
      <c r="H30" s="245">
        <f>SUM(C30:F30)</f>
        <v>0</v>
      </c>
      <c r="I30" s="244"/>
      <c r="J30" s="263">
        <f>SUM(H19,H30)</f>
        <v>0</v>
      </c>
      <c r="L30" s="177"/>
      <c r="M30" s="177"/>
      <c r="N30" s="177"/>
      <c r="O30" s="177"/>
      <c r="P30" s="177"/>
      <c r="Q30" s="177"/>
      <c r="R30" s="177"/>
      <c r="S30" s="177"/>
      <c r="T30" s="177"/>
      <c r="U30" s="177"/>
      <c r="V30" s="177"/>
      <c r="W30" s="177"/>
      <c r="X30" s="177"/>
      <c r="Y30" s="177"/>
      <c r="Z30" s="177"/>
      <c r="AA30" s="177"/>
    </row>
    <row r="31" spans="1:27" s="178" customFormat="1" ht="12.75" customHeight="1" x14ac:dyDescent="0.25">
      <c r="A31" s="1172"/>
      <c r="B31" s="264">
        <f>+B20</f>
        <v>2022</v>
      </c>
      <c r="C31" s="261"/>
      <c r="D31" s="261"/>
      <c r="E31" s="261"/>
      <c r="F31" s="265"/>
      <c r="G31" s="244"/>
      <c r="H31" s="245">
        <f>SUM(C31:F31)</f>
        <v>0</v>
      </c>
      <c r="I31" s="244"/>
      <c r="J31" s="263">
        <f>SUM(H20,H31)</f>
        <v>0</v>
      </c>
      <c r="K31" s="177"/>
      <c r="L31" s="177"/>
      <c r="M31" s="177"/>
      <c r="N31" s="177"/>
      <c r="O31" s="177"/>
      <c r="P31" s="177"/>
      <c r="Q31" s="177"/>
      <c r="R31" s="177"/>
      <c r="S31" s="177"/>
      <c r="T31" s="177"/>
      <c r="U31" s="177"/>
      <c r="V31" s="177"/>
      <c r="W31" s="177"/>
      <c r="X31" s="177"/>
      <c r="Y31" s="177"/>
      <c r="Z31" s="177"/>
      <c r="AA31" s="177"/>
    </row>
    <row r="32" spans="1:27" s="178" customFormat="1" ht="12.75" customHeight="1" x14ac:dyDescent="0.25">
      <c r="A32" s="1172"/>
      <c r="B32" s="264">
        <f>+B21</f>
        <v>2023</v>
      </c>
      <c r="C32" s="247">
        <f>+G55</f>
        <v>0</v>
      </c>
      <c r="D32" s="261"/>
      <c r="E32" s="261"/>
      <c r="F32" s="265"/>
      <c r="G32" s="244"/>
      <c r="H32" s="245">
        <f>SUM(C32:F32)</f>
        <v>0</v>
      </c>
      <c r="I32" s="244"/>
      <c r="J32" s="263">
        <f>SUM(H21,H32)</f>
        <v>0</v>
      </c>
      <c r="K32" s="236" t="s">
        <v>27</v>
      </c>
      <c r="L32" s="177"/>
      <c r="M32" s="177"/>
      <c r="N32" s="177"/>
      <c r="O32" s="177"/>
      <c r="P32" s="177"/>
      <c r="Q32" s="177"/>
      <c r="R32" s="177"/>
      <c r="S32" s="177"/>
      <c r="T32" s="177"/>
      <c r="U32" s="177"/>
      <c r="V32" s="177"/>
      <c r="W32" s="177"/>
      <c r="X32" s="177"/>
      <c r="Y32" s="177"/>
      <c r="Z32" s="177"/>
      <c r="AA32" s="177"/>
    </row>
    <row r="33" spans="1:27" s="178" customFormat="1" ht="12.75" customHeight="1" x14ac:dyDescent="0.25">
      <c r="A33" s="1172"/>
      <c r="B33" s="264">
        <f>+B22</f>
        <v>2024</v>
      </c>
      <c r="C33" s="247">
        <f>+G61</f>
        <v>0</v>
      </c>
      <c r="D33" s="247">
        <f>+G62</f>
        <v>0</v>
      </c>
      <c r="E33" s="261"/>
      <c r="F33" s="265"/>
      <c r="G33" s="244"/>
      <c r="H33" s="245">
        <f>SUM(C33:F33)</f>
        <v>0</v>
      </c>
      <c r="I33" s="244"/>
      <c r="J33" s="263">
        <f>SUM(H22,H33)</f>
        <v>0</v>
      </c>
      <c r="K33" s="236" t="s">
        <v>28</v>
      </c>
      <c r="L33" s="177"/>
      <c r="M33" s="177"/>
      <c r="N33" s="177"/>
      <c r="O33" s="177"/>
      <c r="P33" s="177"/>
      <c r="Q33" s="177"/>
      <c r="R33" s="177"/>
      <c r="S33" s="177"/>
      <c r="T33" s="177"/>
      <c r="U33" s="177"/>
      <c r="V33" s="177"/>
      <c r="W33" s="177"/>
      <c r="X33" s="177"/>
      <c r="Y33" s="177"/>
      <c r="Z33" s="177"/>
      <c r="AA33" s="177"/>
    </row>
    <row r="34" spans="1:27" s="256" customFormat="1" ht="16.5" customHeight="1" x14ac:dyDescent="0.25">
      <c r="A34" s="1173"/>
      <c r="B34" s="326" t="s">
        <v>22</v>
      </c>
      <c r="C34" s="266">
        <f>SUM(C30:C33)</f>
        <v>0</v>
      </c>
      <c r="D34" s="266">
        <f>SUM(D30:D33)</f>
        <v>0</v>
      </c>
      <c r="E34" s="266">
        <f>SUM(E30:E33)</f>
        <v>0</v>
      </c>
      <c r="F34" s="266">
        <f>SUM(F30:F33)</f>
        <v>0</v>
      </c>
      <c r="G34" s="244"/>
      <c r="H34" s="254">
        <f>SUM(H30:H33)</f>
        <v>0</v>
      </c>
      <c r="I34" s="253"/>
      <c r="J34" s="254">
        <f>SUM(J30:J33)</f>
        <v>0</v>
      </c>
      <c r="K34" s="255"/>
      <c r="L34" s="255"/>
      <c r="M34" s="255"/>
      <c r="N34" s="255"/>
      <c r="O34" s="255"/>
      <c r="P34" s="255"/>
      <c r="Q34" s="255"/>
      <c r="R34" s="255"/>
      <c r="S34" s="255"/>
      <c r="T34" s="255"/>
      <c r="U34" s="255"/>
      <c r="V34" s="255"/>
      <c r="W34" s="255"/>
      <c r="X34" s="255"/>
      <c r="Y34" s="255"/>
      <c r="Z34" s="255"/>
      <c r="AA34" s="255"/>
    </row>
    <row r="35" spans="1:27" x14ac:dyDescent="0.25">
      <c r="G35" s="244"/>
    </row>
    <row r="36" spans="1:27" ht="13" thickBot="1" x14ac:dyDescent="0.3">
      <c r="G36" s="244"/>
    </row>
    <row r="37" spans="1:27" s="178" customFormat="1" ht="21.75" customHeight="1" thickBot="1" x14ac:dyDescent="0.3">
      <c r="A37" s="1064" t="s">
        <v>142</v>
      </c>
      <c r="B37" s="1065"/>
      <c r="C37" s="1065"/>
      <c r="D37" s="1065"/>
      <c r="E37" s="1065"/>
      <c r="F37" s="1065"/>
      <c r="G37" s="1065"/>
      <c r="H37" s="1065"/>
      <c r="I37" s="1065"/>
      <c r="J37" s="1066"/>
      <c r="K37" s="177"/>
      <c r="L37" s="177"/>
      <c r="M37" s="177"/>
      <c r="N37" s="177"/>
      <c r="O37" s="177"/>
      <c r="P37" s="177"/>
      <c r="Q37" s="177"/>
      <c r="R37" s="177"/>
      <c r="S37" s="177"/>
      <c r="T37" s="177"/>
      <c r="U37" s="177"/>
      <c r="V37" s="177"/>
      <c r="W37" s="177"/>
      <c r="X37" s="177"/>
      <c r="Y37" s="177"/>
      <c r="Z37" s="177"/>
      <c r="AA37" s="177"/>
    </row>
    <row r="41" spans="1:27" ht="16.5" x14ac:dyDescent="0.25">
      <c r="C41" s="1057" t="s">
        <v>19</v>
      </c>
      <c r="D41" s="1058"/>
      <c r="E41" s="1058"/>
      <c r="F41" s="1059"/>
    </row>
    <row r="42" spans="1:27" x14ac:dyDescent="0.25">
      <c r="C42" s="239">
        <f>+C29</f>
        <v>2021</v>
      </c>
      <c r="D42" s="239">
        <f>+D29</f>
        <v>2022</v>
      </c>
      <c r="E42" s="239">
        <f>+E29</f>
        <v>2023</v>
      </c>
      <c r="F42" s="239">
        <f>+F29</f>
        <v>2024</v>
      </c>
      <c r="H42" s="93" t="s">
        <v>20</v>
      </c>
    </row>
    <row r="43" spans="1:27" ht="13.5" customHeight="1" x14ac:dyDescent="0.25">
      <c r="A43" s="1171" t="s">
        <v>366</v>
      </c>
      <c r="B43" s="239">
        <f t="shared" ref="B43:B46" si="2">+B30</f>
        <v>2021</v>
      </c>
      <c r="C43" s="247">
        <f>+C19</f>
        <v>0</v>
      </c>
      <c r="D43" s="261"/>
      <c r="E43" s="261"/>
      <c r="F43" s="271"/>
      <c r="H43" s="269">
        <f>SUM(C43:F43)</f>
        <v>0</v>
      </c>
    </row>
    <row r="44" spans="1:27" ht="13.5" customHeight="1" x14ac:dyDescent="0.25">
      <c r="A44" s="1172"/>
      <c r="B44" s="239">
        <f t="shared" si="2"/>
        <v>2022</v>
      </c>
      <c r="C44" s="247">
        <f>+C43+C31+C20</f>
        <v>0</v>
      </c>
      <c r="D44" s="247">
        <f>+D20</f>
        <v>0</v>
      </c>
      <c r="E44" s="261"/>
      <c r="F44" s="271"/>
      <c r="H44" s="269">
        <f>SUM(C44:F44)</f>
        <v>0</v>
      </c>
    </row>
    <row r="45" spans="1:27" ht="13.5" customHeight="1" x14ac:dyDescent="0.25">
      <c r="A45" s="1172"/>
      <c r="B45" s="239">
        <f t="shared" si="2"/>
        <v>2023</v>
      </c>
      <c r="C45" s="247">
        <f>+C44+C32+C21</f>
        <v>0</v>
      </c>
      <c r="D45" s="247">
        <f>+D44+D32+D21</f>
        <v>0</v>
      </c>
      <c r="E45" s="247">
        <f>+E21</f>
        <v>0</v>
      </c>
      <c r="F45" s="265"/>
      <c r="H45" s="269">
        <f>SUM(C45:F45)</f>
        <v>0</v>
      </c>
    </row>
    <row r="46" spans="1:27" ht="13.5" customHeight="1" x14ac:dyDescent="0.25">
      <c r="A46" s="1173"/>
      <c r="B46" s="239">
        <f t="shared" si="2"/>
        <v>2024</v>
      </c>
      <c r="C46" s="247">
        <f>+C45+C33+C22</f>
        <v>0</v>
      </c>
      <c r="D46" s="247">
        <f>+D45+D33+D22</f>
        <v>0</v>
      </c>
      <c r="E46" s="247">
        <f>+E45+E33+E22</f>
        <v>0</v>
      </c>
      <c r="F46" s="247">
        <f>+F22</f>
        <v>0</v>
      </c>
      <c r="H46" s="269">
        <f>SUM(C46:F46)</f>
        <v>0</v>
      </c>
    </row>
    <row r="48" spans="1:27" ht="13" thickBot="1" x14ac:dyDescent="0.3"/>
    <row r="49" spans="1:13" ht="20.25" customHeight="1" thickBot="1" x14ac:dyDescent="0.3">
      <c r="A49" s="1064" t="s">
        <v>376</v>
      </c>
      <c r="B49" s="1065"/>
      <c r="C49" s="1065"/>
      <c r="D49" s="1065"/>
      <c r="E49" s="1065"/>
      <c r="F49" s="1065"/>
      <c r="G49" s="1065"/>
      <c r="H49" s="1065"/>
      <c r="I49" s="1065"/>
      <c r="J49" s="1066"/>
    </row>
    <row r="50" spans="1:13" x14ac:dyDescent="0.25">
      <c r="A50" s="166"/>
      <c r="B50" s="166"/>
      <c r="C50" s="166"/>
      <c r="D50" s="166"/>
      <c r="E50" s="166"/>
      <c r="F50" s="166"/>
      <c r="G50" s="166"/>
      <c r="H50" s="166"/>
      <c r="I50" s="166"/>
      <c r="J50" s="166"/>
      <c r="K50" s="166"/>
      <c r="L50" s="206"/>
      <c r="M50" s="166"/>
    </row>
    <row r="51" spans="1:13" s="166" customFormat="1" x14ac:dyDescent="0.25">
      <c r="G51" s="214"/>
    </row>
    <row r="52" spans="1:13" s="166" customFormat="1" ht="13" x14ac:dyDescent="0.25">
      <c r="A52" s="273" t="s">
        <v>139</v>
      </c>
      <c r="E52" s="810">
        <v>2023</v>
      </c>
      <c r="G52" s="214"/>
    </row>
    <row r="53" spans="1:13" s="166" customFormat="1" x14ac:dyDescent="0.25">
      <c r="G53" s="214"/>
    </row>
    <row r="54" spans="1:13" s="166" customFormat="1" ht="102" customHeight="1" x14ac:dyDescent="0.25">
      <c r="A54" s="1078" t="s">
        <v>140</v>
      </c>
      <c r="B54" s="1079"/>
      <c r="C54" s="1079"/>
      <c r="D54" s="1080"/>
      <c r="E54" s="274"/>
      <c r="F54" s="165" t="str">
        <f>"Nog af te bouwen regulatoir saldo einde "&amp;E52-1</f>
        <v>Nog af te bouwen regulatoir saldo einde 2022</v>
      </c>
      <c r="G54" s="165" t="str">
        <f>"50% van het oorspronkelijk regulatoir saldo door te rekenen volgens de tariefmethodologie in het boekjaar "&amp;E52</f>
        <v>50% van het oorspronkelijk regulatoir saldo door te rekenen volgens de tariefmethodologie in het boekjaar 2023</v>
      </c>
      <c r="H54" s="165" t="str">
        <f>"Nog af te bouwen regulatoir saldo einde "&amp;E52</f>
        <v>Nog af te bouwen regulatoir saldo einde 2023</v>
      </c>
      <c r="I54" s="206"/>
    </row>
    <row r="55" spans="1:13" s="166" customFormat="1" ht="13" x14ac:dyDescent="0.25">
      <c r="A55" s="1075">
        <v>2021</v>
      </c>
      <c r="B55" s="1076"/>
      <c r="C55" s="1076"/>
      <c r="D55" s="1077"/>
      <c r="E55" s="275"/>
      <c r="F55" s="176">
        <f>+C19+C20</f>
        <v>0</v>
      </c>
      <c r="G55" s="521">
        <f t="shared" ref="G55" si="3">-F55*0.5</f>
        <v>0</v>
      </c>
      <c r="H55" s="176">
        <f t="shared" ref="H55" si="4">+F55+G55</f>
        <v>0</v>
      </c>
      <c r="I55" s="206"/>
    </row>
    <row r="56" spans="1:13" s="273" customFormat="1" ht="13" x14ac:dyDescent="0.25">
      <c r="F56" s="276">
        <f>SUM(F55:F55)</f>
        <v>0</v>
      </c>
      <c r="G56" s="168">
        <f>SUM(G55:G55)</f>
        <v>0</v>
      </c>
      <c r="H56" s="276">
        <f>SUM(H55:H55)</f>
        <v>0</v>
      </c>
    </row>
    <row r="57" spans="1:13" s="166" customFormat="1" x14ac:dyDescent="0.25">
      <c r="G57" s="214"/>
    </row>
    <row r="58" spans="1:13" s="166" customFormat="1" ht="13" x14ac:dyDescent="0.25">
      <c r="A58" s="273" t="s">
        <v>139</v>
      </c>
      <c r="E58" s="810">
        <v>2024</v>
      </c>
      <c r="G58" s="214"/>
    </row>
    <row r="59" spans="1:13" s="166" customFormat="1" x14ac:dyDescent="0.25">
      <c r="G59" s="214"/>
    </row>
    <row r="60" spans="1:13" s="166" customFormat="1" ht="102" customHeight="1" x14ac:dyDescent="0.25">
      <c r="A60" s="1078" t="s">
        <v>140</v>
      </c>
      <c r="B60" s="1079"/>
      <c r="C60" s="1079"/>
      <c r="D60" s="1080"/>
      <c r="E60" s="274"/>
      <c r="F60" s="165" t="str">
        <f>"Nog af te bouwen regulatoir saldo einde "&amp;E58-1</f>
        <v>Nog af te bouwen regulatoir saldo einde 2023</v>
      </c>
      <c r="G60" s="165" t="str">
        <f>"50% van het oorspronkelijk regulatoir saldo door te rekenen volgens de tariefmethodologie in het boekjaar "&amp;E58</f>
        <v>50% van het oorspronkelijk regulatoir saldo door te rekenen volgens de tariefmethodologie in het boekjaar 2024</v>
      </c>
      <c r="H60" s="165" t="str">
        <f>"Nog af te bouwen regulatoir saldo einde "&amp;E58</f>
        <v>Nog af te bouwen regulatoir saldo einde 2024</v>
      </c>
      <c r="I60" s="206"/>
    </row>
    <row r="61" spans="1:13" s="166" customFormat="1" ht="13" x14ac:dyDescent="0.25">
      <c r="A61" s="1075">
        <v>2021</v>
      </c>
      <c r="B61" s="1076"/>
      <c r="C61" s="1076"/>
      <c r="D61" s="1077"/>
      <c r="E61" s="275"/>
      <c r="F61" s="176">
        <f>+H55</f>
        <v>0</v>
      </c>
      <c r="G61" s="521">
        <f>-F55*0.5</f>
        <v>0</v>
      </c>
      <c r="H61" s="176">
        <f t="shared" ref="H61:H62" si="5">+F61+G61</f>
        <v>0</v>
      </c>
      <c r="I61" s="206"/>
    </row>
    <row r="62" spans="1:13" s="166" customFormat="1" ht="13" x14ac:dyDescent="0.25">
      <c r="A62" s="1075">
        <v>2022</v>
      </c>
      <c r="B62" s="1076"/>
      <c r="C62" s="1076"/>
      <c r="D62" s="1077"/>
      <c r="E62" s="275"/>
      <c r="F62" s="176">
        <f>+D20+D21</f>
        <v>0</v>
      </c>
      <c r="G62" s="521">
        <f t="shared" ref="G62" si="6">-F62*0.5</f>
        <v>0</v>
      </c>
      <c r="H62" s="176">
        <f t="shared" si="5"/>
        <v>0</v>
      </c>
      <c r="I62" s="206"/>
    </row>
    <row r="63" spans="1:13" s="273" customFormat="1" ht="13" x14ac:dyDescent="0.25">
      <c r="F63" s="276">
        <f>SUM(F61:F62)</f>
        <v>0</v>
      </c>
      <c r="G63" s="168">
        <f>SUM(G61:G62)</f>
        <v>0</v>
      </c>
      <c r="H63" s="276">
        <f>SUM(H61:H62)</f>
        <v>0</v>
      </c>
    </row>
    <row r="64" spans="1:13" x14ac:dyDescent="0.25">
      <c r="A64" s="166"/>
      <c r="B64" s="166"/>
      <c r="C64" s="166"/>
      <c r="D64" s="166"/>
      <c r="E64" s="166"/>
      <c r="F64" s="166"/>
      <c r="G64" s="166"/>
      <c r="H64" s="166"/>
      <c r="I64" s="166"/>
      <c r="J64" s="166"/>
      <c r="K64" s="203"/>
      <c r="L64" s="166"/>
    </row>
    <row r="65" spans="1:13" x14ac:dyDescent="0.25">
      <c r="A65" s="166"/>
      <c r="B65" s="166"/>
      <c r="C65" s="166"/>
      <c r="D65" s="166"/>
      <c r="E65" s="166"/>
      <c r="F65" s="166"/>
      <c r="G65" s="166"/>
      <c r="H65" s="166"/>
      <c r="I65" s="166"/>
      <c r="J65" s="166"/>
      <c r="K65" s="166"/>
      <c r="L65" s="203"/>
      <c r="M65" s="166"/>
    </row>
    <row r="66" spans="1:13" ht="13" x14ac:dyDescent="0.25">
      <c r="A66" s="273" t="s">
        <v>141</v>
      </c>
      <c r="B66" s="216"/>
      <c r="C66" s="216"/>
      <c r="D66" s="216"/>
      <c r="E66" s="166"/>
      <c r="F66" s="166"/>
      <c r="G66" s="166"/>
      <c r="H66" s="166"/>
      <c r="I66" s="166"/>
      <c r="J66" s="166"/>
      <c r="K66" s="166"/>
      <c r="L66" s="203"/>
      <c r="M66" s="166"/>
    </row>
    <row r="67" spans="1:13" ht="13" x14ac:dyDescent="0.25">
      <c r="A67" s="273"/>
      <c r="B67" s="216"/>
      <c r="C67" s="216"/>
      <c r="D67" s="216"/>
      <c r="E67" s="166"/>
      <c r="F67" s="166"/>
      <c r="G67" s="166"/>
      <c r="H67" s="166"/>
      <c r="I67" s="166"/>
      <c r="J67" s="166"/>
      <c r="K67" s="166"/>
      <c r="L67" s="203"/>
      <c r="M67" s="166"/>
    </row>
    <row r="68" spans="1:13" ht="13" x14ac:dyDescent="0.25">
      <c r="A68" s="336">
        <v>2021</v>
      </c>
      <c r="B68" s="337">
        <v>0</v>
      </c>
      <c r="C68" s="216"/>
      <c r="D68" s="216"/>
      <c r="E68" s="166"/>
      <c r="F68" s="166"/>
      <c r="G68" s="166"/>
      <c r="H68" s="166"/>
      <c r="I68" s="166"/>
      <c r="J68" s="166"/>
      <c r="K68" s="166"/>
      <c r="L68" s="203"/>
      <c r="M68" s="166"/>
    </row>
    <row r="69" spans="1:13" ht="13" x14ac:dyDescent="0.25">
      <c r="A69" s="336">
        <v>2022</v>
      </c>
      <c r="B69" s="337">
        <v>0</v>
      </c>
      <c r="C69" s="216"/>
      <c r="D69" s="216"/>
      <c r="E69" s="166"/>
      <c r="F69" s="166"/>
      <c r="G69" s="166"/>
      <c r="H69" s="166"/>
      <c r="I69" s="166"/>
      <c r="J69" s="166"/>
      <c r="K69" s="166"/>
      <c r="L69" s="203"/>
      <c r="M69" s="166"/>
    </row>
    <row r="70" spans="1:13" ht="13" x14ac:dyDescent="0.25">
      <c r="A70" s="275">
        <v>2023</v>
      </c>
      <c r="B70" s="279">
        <f>+G56</f>
        <v>0</v>
      </c>
    </row>
    <row r="71" spans="1:13" ht="13" x14ac:dyDescent="0.25">
      <c r="A71" s="275">
        <v>2024</v>
      </c>
      <c r="B71" s="279">
        <f>+G63</f>
        <v>0</v>
      </c>
    </row>
  </sheetData>
  <sheetProtection algorithmName="SHA-512" hashValue="uqyCmhjuZmnRDRZeLKo3b0P1nbkYwvWJgi+Y3Iu9rj0boOOQrI2FOh4mDLn5GhGeZqFCA6CmtrxAEBaM4ZG88Q==" saltValue="2ow43Wjw3DanUE/SQ1jG/A==" spinCount="100000" sheet="1" objects="1" scenarios="1"/>
  <mergeCells count="18">
    <mergeCell ref="A62:D62"/>
    <mergeCell ref="A4:J4"/>
    <mergeCell ref="A54:D54"/>
    <mergeCell ref="A55:D55"/>
    <mergeCell ref="A49:J49"/>
    <mergeCell ref="A19:A23"/>
    <mergeCell ref="C28:F28"/>
    <mergeCell ref="A30:A34"/>
    <mergeCell ref="A37:J37"/>
    <mergeCell ref="C41:F41"/>
    <mergeCell ref="A43:A46"/>
    <mergeCell ref="C6:F6"/>
    <mergeCell ref="A13:J13"/>
    <mergeCell ref="C17:F17"/>
    <mergeCell ref="A18:B18"/>
    <mergeCell ref="A1:J1"/>
    <mergeCell ref="A60:D60"/>
    <mergeCell ref="A61:D61"/>
  </mergeCells>
  <pageMargins left="0.78740157480314965" right="0.78740157480314965" top="0.98425196850393704" bottom="0.98425196850393704" header="0.51181102362204722" footer="0.51181102362204722"/>
  <pageSetup paperSize="8" scale="71" orientation="landscape" r:id="rId1"/>
  <headerFooter alignWithMargins="0">
    <oddFooter>&amp;CPage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E8C5-4723-4A05-9272-3E6FCF1421D1}">
  <sheetPr published="0" codeName="Blad20">
    <tabColor theme="6" tint="0.59999389629810485"/>
  </sheetPr>
  <dimension ref="A1"/>
  <sheetViews>
    <sheetView workbookViewId="0">
      <selection activeCell="S26" sqref="S26"/>
    </sheetView>
  </sheetViews>
  <sheetFormatPr defaultColWidth="8.7265625" defaultRowHeight="12.5" x14ac:dyDescent="0.25"/>
  <cols>
    <col min="1" max="16384" width="8.7265625" style="195"/>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BF1B-EEC6-4B5E-AF15-EC56F417B360}">
  <sheetPr>
    <pageSetUpPr fitToPage="1"/>
  </sheetPr>
  <dimension ref="A1:U823"/>
  <sheetViews>
    <sheetView zoomScaleNormal="100" workbookViewId="0">
      <selection activeCell="A34" sqref="A34"/>
    </sheetView>
  </sheetViews>
  <sheetFormatPr defaultColWidth="9.1796875" defaultRowHeight="12.5" x14ac:dyDescent="0.25"/>
  <cols>
    <col min="1" max="1" width="65.1796875" style="863" customWidth="1"/>
    <col min="2" max="3" width="25.7265625" style="863" customWidth="1"/>
    <col min="4" max="31" width="9.1796875" style="863"/>
    <col min="32" max="32" width="13.54296875" style="863" customWidth="1"/>
    <col min="33" max="16384" width="9.1796875" style="863"/>
  </cols>
  <sheetData>
    <row r="1" spans="1:21" s="858" customFormat="1" ht="16" thickBot="1" x14ac:dyDescent="0.3">
      <c r="A1" s="1179" t="s">
        <v>403</v>
      </c>
      <c r="B1" s="1180"/>
      <c r="C1" s="1180"/>
      <c r="D1" s="1180"/>
      <c r="E1" s="1181"/>
      <c r="F1" s="856"/>
      <c r="G1" s="856"/>
      <c r="H1" s="856"/>
      <c r="I1" s="856"/>
      <c r="J1" s="856"/>
      <c r="K1" s="856"/>
      <c r="L1" s="856"/>
      <c r="M1" s="857"/>
      <c r="N1" s="857"/>
      <c r="O1" s="857"/>
      <c r="P1" s="857"/>
      <c r="Q1" s="857"/>
      <c r="R1" s="857"/>
      <c r="S1" s="857"/>
      <c r="T1" s="857"/>
      <c r="U1" s="857"/>
    </row>
    <row r="2" spans="1:21" s="489" customFormat="1" ht="13" thickBot="1" x14ac:dyDescent="0.3">
      <c r="M2" s="121"/>
      <c r="N2" s="121"/>
      <c r="O2" s="121"/>
      <c r="P2" s="121"/>
      <c r="Q2" s="121"/>
      <c r="R2" s="121"/>
      <c r="S2" s="121"/>
      <c r="T2" s="121"/>
      <c r="U2" s="121"/>
    </row>
    <row r="3" spans="1:21" s="489" customFormat="1" ht="13" thickBot="1" x14ac:dyDescent="0.3">
      <c r="A3" s="489" t="s">
        <v>12</v>
      </c>
      <c r="B3" s="859" t="s">
        <v>13</v>
      </c>
      <c r="C3" s="860">
        <f>+TITELBLAD!E13</f>
        <v>2021</v>
      </c>
      <c r="M3" s="121"/>
      <c r="N3" s="121"/>
      <c r="O3" s="121"/>
      <c r="P3" s="121"/>
      <c r="Q3" s="121"/>
      <c r="R3" s="121"/>
      <c r="S3" s="121"/>
      <c r="T3" s="121"/>
      <c r="U3" s="121"/>
    </row>
    <row r="4" spans="1:21" s="489" customFormat="1" ht="13" thickBot="1" x14ac:dyDescent="0.3">
      <c r="B4" s="859" t="s">
        <v>14</v>
      </c>
      <c r="C4" s="860">
        <f>+TITELBLAD!E14</f>
        <v>2024</v>
      </c>
      <c r="M4" s="121"/>
      <c r="N4" s="121"/>
      <c r="O4" s="121"/>
      <c r="P4" s="121"/>
      <c r="Q4" s="121"/>
      <c r="R4" s="121"/>
      <c r="S4" s="121"/>
      <c r="T4" s="121"/>
      <c r="U4" s="121"/>
    </row>
    <row r="5" spans="1:21" s="489" customFormat="1" ht="13" thickBot="1" x14ac:dyDescent="0.3">
      <c r="B5" s="859"/>
      <c r="M5" s="121"/>
      <c r="N5" s="121"/>
      <c r="O5" s="121"/>
      <c r="P5" s="121"/>
      <c r="Q5" s="121"/>
      <c r="R5" s="121"/>
      <c r="S5" s="121"/>
      <c r="T5" s="121"/>
      <c r="U5" s="121"/>
    </row>
    <row r="6" spans="1:21" s="489" customFormat="1" ht="13" thickBot="1" x14ac:dyDescent="0.3">
      <c r="A6" s="489" t="s">
        <v>87</v>
      </c>
      <c r="B6" s="861">
        <f>+TITELBLAD!E16</f>
        <v>2022</v>
      </c>
      <c r="C6" s="860" t="str">
        <f>+TITELBLAD!F16</f>
        <v>ex-post</v>
      </c>
      <c r="M6" s="121"/>
      <c r="N6" s="121"/>
      <c r="O6" s="121"/>
      <c r="P6" s="121"/>
      <c r="Q6" s="121"/>
      <c r="R6" s="121"/>
      <c r="S6" s="121"/>
      <c r="T6" s="121"/>
      <c r="U6" s="121"/>
    </row>
    <row r="7" spans="1:21" s="489" customFormat="1" x14ac:dyDescent="0.25">
      <c r="M7" s="121"/>
      <c r="N7" s="121"/>
      <c r="O7" s="121"/>
      <c r="P7" s="121"/>
      <c r="Q7" s="121"/>
      <c r="R7" s="121"/>
      <c r="S7" s="121"/>
      <c r="T7" s="121"/>
      <c r="U7" s="121"/>
    </row>
    <row r="8" spans="1:21" s="489" customFormat="1" x14ac:dyDescent="0.25">
      <c r="M8" s="121"/>
      <c r="N8" s="121"/>
      <c r="O8" s="121"/>
      <c r="P8" s="121"/>
      <c r="Q8" s="121"/>
      <c r="R8" s="121"/>
      <c r="S8" s="121"/>
      <c r="T8" s="121"/>
      <c r="U8" s="121"/>
    </row>
    <row r="9" spans="1:21" s="489" customFormat="1" ht="13" thickBot="1" x14ac:dyDescent="0.3">
      <c r="A9" s="489" t="s">
        <v>15</v>
      </c>
      <c r="M9" s="121"/>
      <c r="N9" s="121"/>
      <c r="O9" s="121"/>
      <c r="P9" s="121"/>
      <c r="Q9" s="121"/>
      <c r="R9" s="121"/>
      <c r="S9" s="121"/>
      <c r="T9" s="121"/>
      <c r="U9" s="121"/>
    </row>
    <row r="10" spans="1:21" ht="13.5" thickBot="1" x14ac:dyDescent="0.3">
      <c r="A10" s="1175" t="str">
        <f>+TITELBLAD!C7</f>
        <v>NAAM DNB</v>
      </c>
      <c r="B10" s="1176"/>
      <c r="C10" s="489"/>
      <c r="D10" s="489"/>
      <c r="E10" s="489"/>
      <c r="F10" s="489"/>
      <c r="G10" s="489"/>
      <c r="H10" s="489"/>
      <c r="I10" s="489"/>
      <c r="J10" s="489"/>
      <c r="K10" s="489"/>
      <c r="L10" s="489"/>
      <c r="M10" s="121"/>
      <c r="N10" s="121"/>
      <c r="O10" s="121"/>
      <c r="P10" s="862"/>
      <c r="Q10" s="862"/>
      <c r="R10" s="862"/>
      <c r="S10" s="862"/>
      <c r="T10" s="862"/>
      <c r="U10" s="862"/>
    </row>
    <row r="11" spans="1:21" s="489" customFormat="1" x14ac:dyDescent="0.25">
      <c r="M11" s="121"/>
      <c r="N11" s="121"/>
      <c r="O11" s="121"/>
      <c r="P11" s="121"/>
      <c r="Q11" s="121"/>
      <c r="R11" s="121"/>
      <c r="S11" s="121"/>
      <c r="T11" s="121"/>
      <c r="U11" s="121"/>
    </row>
    <row r="12" spans="1:21" s="489" customFormat="1" ht="13" thickBot="1" x14ac:dyDescent="0.3">
      <c r="A12" s="489" t="s">
        <v>256</v>
      </c>
      <c r="M12" s="121"/>
      <c r="N12" s="121"/>
      <c r="O12" s="121"/>
      <c r="P12" s="121"/>
      <c r="Q12" s="121"/>
      <c r="R12" s="121"/>
      <c r="S12" s="121"/>
      <c r="T12" s="121"/>
      <c r="U12" s="121"/>
    </row>
    <row r="13" spans="1:21" ht="13.5" thickBot="1" x14ac:dyDescent="0.3">
      <c r="A13" s="1175" t="str">
        <f>+TITELBLAD!C10</f>
        <v>elektriciteit</v>
      </c>
      <c r="B13" s="1176"/>
      <c r="C13" s="489"/>
      <c r="D13" s="489"/>
      <c r="E13" s="489"/>
      <c r="F13" s="489"/>
      <c r="G13" s="489"/>
      <c r="H13" s="489"/>
      <c r="I13" s="489"/>
      <c r="J13" s="489"/>
      <c r="K13" s="489"/>
      <c r="L13" s="489"/>
      <c r="M13" s="121"/>
      <c r="N13" s="121"/>
      <c r="O13" s="121"/>
      <c r="P13" s="862"/>
      <c r="Q13" s="862"/>
      <c r="R13" s="862"/>
      <c r="S13" s="862"/>
      <c r="T13" s="862"/>
      <c r="U13" s="862"/>
    </row>
    <row r="14" spans="1:21" s="489" customFormat="1" x14ac:dyDescent="0.25">
      <c r="M14" s="121"/>
      <c r="N14" s="121"/>
      <c r="O14" s="121"/>
      <c r="P14" s="121"/>
      <c r="Q14" s="121"/>
      <c r="R14" s="121"/>
      <c r="S14" s="121"/>
      <c r="T14" s="121"/>
      <c r="U14" s="121"/>
    </row>
    <row r="15" spans="1:21" s="489" customFormat="1" x14ac:dyDescent="0.25">
      <c r="D15" s="864"/>
      <c r="M15" s="121"/>
      <c r="N15" s="121"/>
      <c r="O15" s="121"/>
      <c r="P15" s="121"/>
      <c r="Q15" s="121"/>
      <c r="R15" s="121"/>
      <c r="S15" s="121"/>
      <c r="T15" s="121"/>
      <c r="U15" s="121"/>
    </row>
    <row r="16" spans="1:21" s="489" customFormat="1" ht="13" x14ac:dyDescent="0.25">
      <c r="A16" s="865" t="s">
        <v>422</v>
      </c>
      <c r="D16" s="864"/>
      <c r="E16" s="864"/>
      <c r="F16" s="864"/>
      <c r="M16" s="121"/>
      <c r="N16" s="121"/>
      <c r="O16" s="121"/>
      <c r="P16" s="121"/>
      <c r="Q16" s="121"/>
      <c r="R16" s="121"/>
      <c r="S16" s="121"/>
      <c r="T16" s="121"/>
      <c r="U16" s="121"/>
    </row>
    <row r="17" spans="1:21" s="489" customFormat="1" x14ac:dyDescent="0.25">
      <c r="M17" s="121"/>
      <c r="N17" s="121"/>
      <c r="O17" s="121"/>
      <c r="P17" s="121"/>
      <c r="Q17" s="121"/>
      <c r="R17" s="121"/>
      <c r="S17" s="121"/>
      <c r="T17" s="121"/>
      <c r="U17" s="121"/>
    </row>
    <row r="18" spans="1:21" s="489" customFormat="1" ht="13" x14ac:dyDescent="0.25">
      <c r="B18" s="866" t="s">
        <v>0</v>
      </c>
      <c r="C18" s="867" t="s">
        <v>1</v>
      </c>
      <c r="M18" s="121"/>
      <c r="N18" s="121"/>
      <c r="O18" s="121"/>
      <c r="P18" s="121"/>
      <c r="Q18" s="121"/>
      <c r="R18" s="121"/>
      <c r="S18" s="121"/>
      <c r="T18" s="121"/>
      <c r="U18" s="121"/>
    </row>
    <row r="19" spans="1:21" s="489" customFormat="1" ht="13" x14ac:dyDescent="0.25">
      <c r="A19" s="868" t="s">
        <v>17</v>
      </c>
      <c r="B19" s="869">
        <f>+B6</f>
        <v>2022</v>
      </c>
      <c r="C19" s="870">
        <f>+B6</f>
        <v>2022</v>
      </c>
      <c r="M19" s="121"/>
      <c r="N19" s="121"/>
      <c r="O19" s="121"/>
      <c r="P19" s="121"/>
      <c r="Q19" s="121"/>
      <c r="R19" s="121"/>
      <c r="S19" s="121"/>
      <c r="T19" s="121"/>
      <c r="U19" s="121"/>
    </row>
    <row r="20" spans="1:21" s="489" customFormat="1" ht="33" customHeight="1" x14ac:dyDescent="0.25">
      <c r="A20" s="871" t="s">
        <v>247</v>
      </c>
      <c r="B20" s="872">
        <f>+'T10'!C15</f>
        <v>0</v>
      </c>
      <c r="C20" s="873">
        <f>+'T10'!D15</f>
        <v>0</v>
      </c>
    </row>
    <row r="21" spans="1:21" s="489" customFormat="1" ht="33" customHeight="1" x14ac:dyDescent="0.25">
      <c r="A21" s="874" t="s">
        <v>424</v>
      </c>
      <c r="B21" s="872">
        <f>+'T11'!C14</f>
        <v>0</v>
      </c>
      <c r="C21" s="873">
        <f>+'T11'!D14</f>
        <v>0</v>
      </c>
    </row>
    <row r="22" spans="1:21" s="489" customFormat="1" ht="33" customHeight="1" x14ac:dyDescent="0.25">
      <c r="A22" s="875" t="s">
        <v>248</v>
      </c>
      <c r="B22" s="872">
        <f>+'T12'!D21</f>
        <v>0</v>
      </c>
      <c r="C22" s="873">
        <f>+'T12'!E21</f>
        <v>0</v>
      </c>
    </row>
    <row r="23" spans="1:21" s="489" customFormat="1" x14ac:dyDescent="0.25">
      <c r="A23" s="875"/>
      <c r="B23" s="872"/>
      <c r="C23" s="873"/>
    </row>
    <row r="24" spans="1:21" s="489" customFormat="1" ht="32.15" customHeight="1" x14ac:dyDescent="0.25">
      <c r="A24" s="876" t="s">
        <v>379</v>
      </c>
      <c r="B24" s="877">
        <f>+SUM(B20:B22)</f>
        <v>0</v>
      </c>
      <c r="C24" s="878">
        <f>+SUM(C20:C22)</f>
        <v>0</v>
      </c>
    </row>
    <row r="25" spans="1:21" s="489" customFormat="1" x14ac:dyDescent="0.25">
      <c r="A25" s="879"/>
      <c r="B25" s="880"/>
      <c r="C25" s="881"/>
    </row>
    <row r="26" spans="1:21" s="489" customFormat="1" ht="32.15" customHeight="1" x14ac:dyDescent="0.25">
      <c r="A26" s="1177" t="s">
        <v>249</v>
      </c>
      <c r="B26" s="1178"/>
      <c r="C26" s="878">
        <f>+C24-B24</f>
        <v>0</v>
      </c>
    </row>
    <row r="27" spans="1:21" s="489" customFormat="1" x14ac:dyDescent="0.25">
      <c r="C27" s="295" t="s">
        <v>68</v>
      </c>
    </row>
    <row r="28" spans="1:21" s="489" customFormat="1" x14ac:dyDescent="0.25">
      <c r="C28" s="295" t="s">
        <v>69</v>
      </c>
    </row>
    <row r="29" spans="1:21" s="489" customFormat="1" x14ac:dyDescent="0.25"/>
    <row r="30" spans="1:21" s="489" customFormat="1" x14ac:dyDescent="0.25"/>
    <row r="31" spans="1:21" s="489" customFormat="1" ht="13" x14ac:dyDescent="0.25">
      <c r="B31" s="866" t="s">
        <v>0</v>
      </c>
      <c r="C31" s="867" t="s">
        <v>1</v>
      </c>
    </row>
    <row r="32" spans="1:21" s="489" customFormat="1" ht="13" x14ac:dyDescent="0.25">
      <c r="A32" s="868" t="s">
        <v>17</v>
      </c>
      <c r="B32" s="869">
        <f>+B19</f>
        <v>2022</v>
      </c>
      <c r="C32" s="870">
        <f>+C19</f>
        <v>2022</v>
      </c>
    </row>
    <row r="33" spans="1:3" s="489" customFormat="1" ht="33" customHeight="1" x14ac:dyDescent="0.25">
      <c r="A33" s="871" t="s">
        <v>436</v>
      </c>
      <c r="B33" s="882">
        <f>IF(A13="elektriciteit",T13A!C4+T13B!C4,IF('T9 - Overzicht'!A13="gas",T13C!C4+T13D!C4,"FOUT"))</f>
        <v>0</v>
      </c>
      <c r="C33" s="883">
        <f>IF(A13="elektriciteit",T13A!D4+T13B!D4,IF('T9 - Overzicht'!A13="gas",T13C!D4+T13D!D4,"FOUT"))</f>
        <v>0</v>
      </c>
    </row>
    <row r="34" spans="1:3" s="489" customFormat="1" ht="33" customHeight="1" x14ac:dyDescent="0.25">
      <c r="A34" s="875" t="s">
        <v>314</v>
      </c>
      <c r="B34" s="882">
        <f>+'T14'!D34</f>
        <v>0</v>
      </c>
      <c r="C34" s="883">
        <f>+'T14'!E34</f>
        <v>0</v>
      </c>
    </row>
    <row r="35" spans="1:3" s="489" customFormat="1" x14ac:dyDescent="0.25">
      <c r="A35" s="875"/>
      <c r="B35" s="872"/>
      <c r="C35" s="873"/>
    </row>
    <row r="36" spans="1:3" s="489" customFormat="1" ht="32.15" customHeight="1" x14ac:dyDescent="0.25">
      <c r="A36" s="876" t="s">
        <v>378</v>
      </c>
      <c r="B36" s="877">
        <f>+B33+B34</f>
        <v>0</v>
      </c>
      <c r="C36" s="878">
        <f>+C34+C33</f>
        <v>0</v>
      </c>
    </row>
    <row r="37" spans="1:3" s="489" customFormat="1" x14ac:dyDescent="0.25">
      <c r="A37" s="879"/>
      <c r="B37" s="880"/>
      <c r="C37" s="881"/>
    </row>
    <row r="38" spans="1:3" s="489" customFormat="1" ht="32.15" customHeight="1" x14ac:dyDescent="0.25">
      <c r="A38" s="1177" t="s">
        <v>257</v>
      </c>
      <c r="B38" s="1178"/>
      <c r="C38" s="878">
        <f>+C36-B36</f>
        <v>0</v>
      </c>
    </row>
    <row r="39" spans="1:3" s="489" customFormat="1" x14ac:dyDescent="0.25">
      <c r="C39" s="295" t="s">
        <v>68</v>
      </c>
    </row>
    <row r="40" spans="1:3" s="489" customFormat="1" x14ac:dyDescent="0.25">
      <c r="C40" s="295" t="s">
        <v>69</v>
      </c>
    </row>
    <row r="41" spans="1:3" s="489" customFormat="1" x14ac:dyDescent="0.25"/>
    <row r="42" spans="1:3" s="489" customFormat="1" x14ac:dyDescent="0.25"/>
    <row r="43" spans="1:3" s="489" customFormat="1" x14ac:dyDescent="0.25"/>
    <row r="44" spans="1:3" s="489" customFormat="1" x14ac:dyDescent="0.25"/>
    <row r="45" spans="1:3" s="489" customFormat="1" x14ac:dyDescent="0.25"/>
    <row r="46" spans="1:3" s="489" customFormat="1" x14ac:dyDescent="0.25"/>
    <row r="47" spans="1:3" s="489" customFormat="1" x14ac:dyDescent="0.25"/>
    <row r="48" spans="1:3" s="489" customFormat="1" x14ac:dyDescent="0.25"/>
    <row r="49" s="489" customFormat="1" x14ac:dyDescent="0.25"/>
    <row r="50" s="489" customFormat="1" x14ac:dyDescent="0.25"/>
    <row r="51" s="489" customFormat="1" x14ac:dyDescent="0.25"/>
    <row r="52" s="489" customFormat="1" x14ac:dyDescent="0.25"/>
    <row r="53" s="489" customFormat="1" x14ac:dyDescent="0.25"/>
    <row r="54" s="489" customFormat="1" x14ac:dyDescent="0.25"/>
    <row r="55" s="489" customFormat="1" x14ac:dyDescent="0.25"/>
    <row r="56" s="489" customFormat="1" x14ac:dyDescent="0.25"/>
    <row r="57" s="489" customFormat="1" x14ac:dyDescent="0.25"/>
    <row r="58" s="489" customFormat="1" x14ac:dyDescent="0.25"/>
    <row r="59" s="489" customFormat="1" x14ac:dyDescent="0.25"/>
    <row r="60" s="489" customFormat="1" x14ac:dyDescent="0.25"/>
    <row r="61" s="489" customFormat="1" x14ac:dyDescent="0.25"/>
    <row r="62" s="489" customFormat="1" x14ac:dyDescent="0.25"/>
    <row r="63" s="489" customFormat="1" x14ac:dyDescent="0.25"/>
    <row r="64" s="489" customFormat="1" x14ac:dyDescent="0.25"/>
    <row r="65" s="489" customFormat="1" x14ac:dyDescent="0.25"/>
    <row r="66" s="489" customFormat="1" x14ac:dyDescent="0.25"/>
    <row r="67" s="489" customFormat="1" x14ac:dyDescent="0.25"/>
    <row r="68" s="489" customFormat="1" x14ac:dyDescent="0.25"/>
    <row r="69" s="489" customFormat="1" x14ac:dyDescent="0.25"/>
    <row r="70" s="489" customFormat="1" x14ac:dyDescent="0.25"/>
    <row r="71" s="489" customFormat="1" x14ac:dyDescent="0.25"/>
    <row r="72" s="489" customFormat="1" x14ac:dyDescent="0.25"/>
    <row r="73" s="489" customFormat="1" x14ac:dyDescent="0.25"/>
    <row r="74" s="489" customFormat="1" x14ac:dyDescent="0.25"/>
    <row r="75" s="489" customFormat="1" x14ac:dyDescent="0.25"/>
    <row r="76" s="489" customFormat="1" x14ac:dyDescent="0.25"/>
    <row r="77" s="489" customFormat="1" x14ac:dyDescent="0.25"/>
    <row r="78" s="489" customFormat="1" x14ac:dyDescent="0.25"/>
    <row r="79" s="489" customFormat="1" x14ac:dyDescent="0.25"/>
    <row r="80" s="489" customFormat="1" x14ac:dyDescent="0.25"/>
    <row r="81" s="489" customFormat="1" x14ac:dyDescent="0.25"/>
    <row r="82" s="489" customFormat="1" x14ac:dyDescent="0.25"/>
    <row r="83" s="489" customFormat="1" x14ac:dyDescent="0.25"/>
    <row r="84" s="489" customFormat="1" x14ac:dyDescent="0.25"/>
    <row r="85" s="489" customFormat="1" x14ac:dyDescent="0.25"/>
    <row r="86" s="489" customFormat="1" x14ac:dyDescent="0.25"/>
    <row r="87" s="489" customFormat="1" x14ac:dyDescent="0.25"/>
    <row r="88" s="489" customFormat="1" x14ac:dyDescent="0.25"/>
    <row r="89" s="489" customFormat="1" x14ac:dyDescent="0.25"/>
    <row r="90" s="489" customFormat="1" x14ac:dyDescent="0.25"/>
    <row r="91" s="489" customFormat="1" x14ac:dyDescent="0.25"/>
    <row r="92" s="489" customFormat="1" x14ac:dyDescent="0.25"/>
    <row r="93" s="489" customFormat="1" x14ac:dyDescent="0.25"/>
    <row r="94" s="489" customFormat="1" x14ac:dyDescent="0.25"/>
    <row r="95" s="489" customFormat="1" x14ac:dyDescent="0.25"/>
    <row r="96" s="489" customFormat="1" x14ac:dyDescent="0.25"/>
    <row r="97" s="489" customFormat="1" x14ac:dyDescent="0.25"/>
    <row r="98" s="489" customFormat="1" x14ac:dyDescent="0.25"/>
    <row r="99" s="489" customFormat="1" x14ac:dyDescent="0.25"/>
    <row r="100" s="489" customFormat="1" x14ac:dyDescent="0.25"/>
    <row r="101" s="489" customFormat="1" x14ac:dyDescent="0.25"/>
    <row r="102" s="489" customFormat="1" x14ac:dyDescent="0.25"/>
    <row r="103" s="489" customFormat="1" x14ac:dyDescent="0.25"/>
    <row r="104" s="489" customFormat="1" x14ac:dyDescent="0.25"/>
    <row r="105" s="489" customFormat="1" x14ac:dyDescent="0.25"/>
    <row r="106" s="489" customFormat="1" x14ac:dyDescent="0.25"/>
    <row r="107" s="489" customFormat="1" x14ac:dyDescent="0.25"/>
    <row r="108" s="489" customFormat="1" x14ac:dyDescent="0.25"/>
    <row r="109" s="489" customFormat="1" x14ac:dyDescent="0.25"/>
    <row r="110" s="489" customFormat="1" x14ac:dyDescent="0.25"/>
    <row r="111" s="489" customFormat="1" x14ac:dyDescent="0.25"/>
    <row r="112" s="489" customFormat="1" x14ac:dyDescent="0.25"/>
    <row r="113" s="489" customFormat="1" x14ac:dyDescent="0.25"/>
    <row r="114" s="489" customFormat="1" x14ac:dyDescent="0.25"/>
    <row r="115" s="489" customFormat="1" x14ac:dyDescent="0.25"/>
    <row r="116" s="489" customFormat="1" x14ac:dyDescent="0.25"/>
    <row r="117" s="489" customFormat="1" x14ac:dyDescent="0.25"/>
    <row r="118" s="489" customFormat="1" x14ac:dyDescent="0.25"/>
    <row r="119" s="489" customFormat="1" x14ac:dyDescent="0.25"/>
    <row r="120" s="489" customFormat="1" x14ac:dyDescent="0.25"/>
    <row r="121" s="489" customFormat="1" x14ac:dyDescent="0.25"/>
    <row r="122" s="489" customFormat="1" x14ac:dyDescent="0.25"/>
    <row r="123" s="489" customFormat="1" x14ac:dyDescent="0.25"/>
    <row r="124" s="489" customFormat="1" x14ac:dyDescent="0.25"/>
    <row r="125" s="489" customFormat="1" x14ac:dyDescent="0.25"/>
    <row r="126" s="489" customFormat="1" x14ac:dyDescent="0.25"/>
    <row r="127" s="489" customFormat="1" x14ac:dyDescent="0.25"/>
    <row r="128" s="489" customFormat="1" x14ac:dyDescent="0.25"/>
    <row r="129" s="489" customFormat="1" x14ac:dyDescent="0.25"/>
    <row r="130" s="489" customFormat="1" x14ac:dyDescent="0.25"/>
    <row r="131" s="489" customFormat="1" x14ac:dyDescent="0.25"/>
    <row r="132" s="489" customFormat="1" x14ac:dyDescent="0.25"/>
    <row r="133" s="489" customFormat="1" x14ac:dyDescent="0.25"/>
    <row r="134" s="489" customFormat="1" x14ac:dyDescent="0.25"/>
    <row r="135" s="489" customFormat="1" x14ac:dyDescent="0.25"/>
    <row r="136" s="489" customFormat="1" x14ac:dyDescent="0.25"/>
    <row r="137" s="489" customFormat="1" x14ac:dyDescent="0.25"/>
    <row r="138" s="489" customFormat="1" x14ac:dyDescent="0.25"/>
    <row r="139" s="489" customFormat="1" x14ac:dyDescent="0.25"/>
    <row r="140" s="489" customFormat="1" x14ac:dyDescent="0.25"/>
    <row r="141" s="489" customFormat="1" x14ac:dyDescent="0.25"/>
    <row r="142" s="489" customFormat="1" x14ac:dyDescent="0.25"/>
    <row r="143" s="489" customFormat="1" x14ac:dyDescent="0.25"/>
    <row r="144" s="489" customFormat="1" x14ac:dyDescent="0.25"/>
    <row r="145" s="489" customFormat="1" x14ac:dyDescent="0.25"/>
    <row r="146" s="489" customFormat="1" x14ac:dyDescent="0.25"/>
    <row r="147" s="489" customFormat="1" x14ac:dyDescent="0.25"/>
    <row r="148" s="489" customFormat="1" x14ac:dyDescent="0.25"/>
    <row r="149" s="489" customFormat="1" x14ac:dyDescent="0.25"/>
    <row r="150" s="489" customFormat="1" x14ac:dyDescent="0.25"/>
    <row r="151" s="489" customFormat="1" x14ac:dyDescent="0.25"/>
    <row r="152" s="489" customFormat="1" x14ac:dyDescent="0.25"/>
    <row r="153" s="489" customFormat="1" x14ac:dyDescent="0.25"/>
    <row r="154" s="489" customFormat="1" x14ac:dyDescent="0.25"/>
    <row r="155" s="489" customFormat="1" x14ac:dyDescent="0.25"/>
    <row r="156" s="489" customFormat="1" x14ac:dyDescent="0.25"/>
    <row r="157" s="489" customFormat="1" x14ac:dyDescent="0.25"/>
    <row r="158" s="489" customFormat="1" x14ac:dyDescent="0.25"/>
    <row r="159" s="489" customFormat="1" x14ac:dyDescent="0.25"/>
    <row r="160" s="489" customFormat="1" x14ac:dyDescent="0.25"/>
    <row r="161" s="489" customFormat="1" x14ac:dyDescent="0.25"/>
    <row r="162" s="489" customFormat="1" x14ac:dyDescent="0.25"/>
    <row r="163" s="489" customFormat="1" x14ac:dyDescent="0.25"/>
    <row r="164" s="489" customFormat="1" x14ac:dyDescent="0.25"/>
    <row r="165" s="489" customFormat="1" x14ac:dyDescent="0.25"/>
    <row r="166" s="489" customFormat="1" x14ac:dyDescent="0.25"/>
    <row r="167" s="489" customFormat="1" x14ac:dyDescent="0.25"/>
    <row r="168" s="489" customFormat="1" x14ac:dyDescent="0.25"/>
    <row r="169" s="489" customFormat="1" x14ac:dyDescent="0.25"/>
    <row r="170" s="489" customFormat="1" x14ac:dyDescent="0.25"/>
    <row r="171" s="489" customFormat="1" x14ac:dyDescent="0.25"/>
    <row r="172" s="489" customFormat="1" x14ac:dyDescent="0.25"/>
    <row r="173" s="489" customFormat="1" x14ac:dyDescent="0.25"/>
    <row r="174" s="489" customFormat="1" x14ac:dyDescent="0.25"/>
    <row r="175" s="489" customFormat="1" x14ac:dyDescent="0.25"/>
    <row r="176" s="489" customFormat="1" x14ac:dyDescent="0.25"/>
    <row r="177" s="489" customFormat="1" x14ac:dyDescent="0.25"/>
    <row r="178" s="489" customFormat="1" x14ac:dyDescent="0.25"/>
    <row r="179" s="489" customFormat="1" x14ac:dyDescent="0.25"/>
    <row r="180" s="489" customFormat="1" x14ac:dyDescent="0.25"/>
    <row r="181" s="489" customFormat="1" x14ac:dyDescent="0.25"/>
    <row r="182" s="489" customFormat="1" x14ac:dyDescent="0.25"/>
    <row r="183" s="489" customFormat="1" x14ac:dyDescent="0.25"/>
    <row r="184" s="489" customFormat="1" x14ac:dyDescent="0.25"/>
    <row r="185" s="489" customFormat="1" x14ac:dyDescent="0.25"/>
    <row r="186" s="489" customFormat="1" x14ac:dyDescent="0.25"/>
    <row r="187" s="489" customFormat="1" x14ac:dyDescent="0.25"/>
    <row r="188" s="489" customFormat="1" x14ac:dyDescent="0.25"/>
    <row r="189" s="489" customFormat="1" x14ac:dyDescent="0.25"/>
    <row r="190" s="489" customFormat="1" x14ac:dyDescent="0.25"/>
    <row r="191" s="489" customFormat="1" x14ac:dyDescent="0.25"/>
    <row r="192" s="489" customFormat="1" x14ac:dyDescent="0.25"/>
    <row r="193" s="489" customFormat="1" x14ac:dyDescent="0.25"/>
    <row r="194" s="489" customFormat="1" x14ac:dyDescent="0.25"/>
    <row r="195" s="489" customFormat="1" x14ac:dyDescent="0.25"/>
    <row r="196" s="489" customFormat="1" x14ac:dyDescent="0.25"/>
    <row r="197" s="489" customFormat="1" x14ac:dyDescent="0.25"/>
    <row r="198" s="489" customFormat="1" x14ac:dyDescent="0.25"/>
    <row r="199" s="489" customFormat="1" x14ac:dyDescent="0.25"/>
    <row r="200" s="489" customFormat="1" x14ac:dyDescent="0.25"/>
    <row r="201" s="489" customFormat="1" x14ac:dyDescent="0.25"/>
    <row r="202" s="489" customFormat="1" x14ac:dyDescent="0.25"/>
    <row r="203" s="489" customFormat="1" x14ac:dyDescent="0.25"/>
    <row r="204" s="489" customFormat="1" x14ac:dyDescent="0.25"/>
    <row r="205" s="489" customFormat="1" x14ac:dyDescent="0.25"/>
    <row r="206" s="489" customFormat="1" x14ac:dyDescent="0.25"/>
    <row r="207" s="489" customFormat="1" x14ac:dyDescent="0.25"/>
    <row r="208" s="489" customFormat="1" x14ac:dyDescent="0.25"/>
    <row r="209" s="489" customFormat="1" x14ac:dyDescent="0.25"/>
    <row r="210" s="489" customFormat="1" x14ac:dyDescent="0.25"/>
    <row r="211" s="489" customFormat="1" x14ac:dyDescent="0.25"/>
    <row r="212" s="489" customFormat="1" x14ac:dyDescent="0.25"/>
    <row r="213" s="489" customFormat="1" x14ac:dyDescent="0.25"/>
    <row r="214" s="489" customFormat="1" x14ac:dyDescent="0.25"/>
    <row r="215" s="489" customFormat="1" x14ac:dyDescent="0.25"/>
    <row r="216" s="489" customFormat="1" x14ac:dyDescent="0.25"/>
    <row r="217" s="489" customFormat="1" x14ac:dyDescent="0.25"/>
    <row r="218" s="489" customFormat="1" x14ac:dyDescent="0.25"/>
    <row r="219" s="489" customFormat="1" x14ac:dyDescent="0.25"/>
    <row r="220" s="489" customFormat="1" x14ac:dyDescent="0.25"/>
    <row r="221" s="489" customFormat="1" x14ac:dyDescent="0.25"/>
    <row r="222" s="489" customFormat="1" x14ac:dyDescent="0.25"/>
    <row r="223" s="489" customFormat="1" x14ac:dyDescent="0.25"/>
    <row r="224" s="489" customFormat="1" x14ac:dyDescent="0.25"/>
    <row r="225" s="489" customFormat="1" x14ac:dyDescent="0.25"/>
    <row r="226" s="489" customFormat="1" x14ac:dyDescent="0.25"/>
    <row r="227" s="489" customFormat="1" x14ac:dyDescent="0.25"/>
    <row r="228" s="489" customFormat="1" x14ac:dyDescent="0.25"/>
    <row r="229" s="489" customFormat="1" x14ac:dyDescent="0.25"/>
    <row r="230" s="489" customFormat="1" x14ac:dyDescent="0.25"/>
    <row r="231" s="489" customFormat="1" x14ac:dyDescent="0.25"/>
    <row r="232" s="489" customFormat="1" x14ac:dyDescent="0.25"/>
    <row r="233" s="489" customFormat="1" x14ac:dyDescent="0.25"/>
    <row r="234" s="489" customFormat="1" x14ac:dyDescent="0.25"/>
    <row r="235" s="489" customFormat="1" x14ac:dyDescent="0.25"/>
    <row r="236" s="489" customFormat="1" x14ac:dyDescent="0.25"/>
    <row r="237" s="489" customFormat="1" x14ac:dyDescent="0.25"/>
    <row r="238" s="489" customFormat="1" x14ac:dyDescent="0.25"/>
    <row r="239" s="489" customFormat="1" x14ac:dyDescent="0.25"/>
    <row r="240" s="489" customFormat="1" x14ac:dyDescent="0.25"/>
    <row r="241" s="489" customFormat="1" x14ac:dyDescent="0.25"/>
    <row r="242" s="489" customFormat="1" x14ac:dyDescent="0.25"/>
    <row r="243" s="489" customFormat="1" x14ac:dyDescent="0.25"/>
    <row r="244" s="489" customFormat="1" x14ac:dyDescent="0.25"/>
    <row r="245" s="489" customFormat="1" x14ac:dyDescent="0.25"/>
    <row r="246" s="489" customFormat="1" x14ac:dyDescent="0.25"/>
    <row r="247" s="489" customFormat="1" x14ac:dyDescent="0.25"/>
    <row r="248" s="489" customFormat="1" x14ac:dyDescent="0.25"/>
    <row r="249" s="489" customFormat="1" x14ac:dyDescent="0.25"/>
    <row r="250" s="489" customFormat="1" x14ac:dyDescent="0.25"/>
    <row r="251" s="489" customFormat="1" x14ac:dyDescent="0.25"/>
    <row r="252" s="489" customFormat="1" x14ac:dyDescent="0.25"/>
    <row r="253" s="489" customFormat="1" x14ac:dyDescent="0.25"/>
    <row r="254" s="489" customFormat="1" x14ac:dyDescent="0.25"/>
    <row r="255" s="489" customFormat="1" x14ac:dyDescent="0.25"/>
    <row r="256" s="489" customFormat="1" x14ac:dyDescent="0.25"/>
    <row r="257" s="489" customFormat="1" x14ac:dyDescent="0.25"/>
    <row r="258" s="489" customFormat="1" x14ac:dyDescent="0.25"/>
    <row r="259" s="489" customFormat="1" x14ac:dyDescent="0.25"/>
    <row r="260" s="489" customFormat="1" x14ac:dyDescent="0.25"/>
    <row r="261" s="489" customFormat="1" x14ac:dyDescent="0.25"/>
    <row r="262" s="489" customFormat="1" x14ac:dyDescent="0.25"/>
    <row r="263" s="489" customFormat="1" x14ac:dyDescent="0.25"/>
    <row r="264" s="489" customFormat="1" x14ac:dyDescent="0.25"/>
    <row r="265" s="489" customFormat="1" x14ac:dyDescent="0.25"/>
    <row r="266" s="489" customFormat="1" x14ac:dyDescent="0.25"/>
    <row r="267" s="489" customFormat="1" x14ac:dyDescent="0.25"/>
    <row r="268" s="489" customFormat="1" x14ac:dyDescent="0.25"/>
    <row r="269" s="489" customFormat="1" x14ac:dyDescent="0.25"/>
    <row r="270" s="489" customFormat="1" x14ac:dyDescent="0.25"/>
    <row r="271" s="489" customFormat="1" x14ac:dyDescent="0.25"/>
    <row r="272" s="489" customFormat="1" x14ac:dyDescent="0.25"/>
    <row r="273" s="489" customFormat="1" x14ac:dyDescent="0.25"/>
    <row r="274" s="489" customFormat="1" x14ac:dyDescent="0.25"/>
    <row r="275" s="489" customFormat="1" x14ac:dyDescent="0.25"/>
    <row r="276" s="489" customFormat="1" x14ac:dyDescent="0.25"/>
    <row r="277" s="489" customFormat="1" x14ac:dyDescent="0.25"/>
    <row r="278" s="489" customFormat="1" x14ac:dyDescent="0.25"/>
    <row r="279" s="489" customFormat="1" x14ac:dyDescent="0.25"/>
    <row r="280" s="489" customFormat="1" x14ac:dyDescent="0.25"/>
    <row r="281" s="489" customFormat="1" x14ac:dyDescent="0.25"/>
    <row r="282" s="489" customFormat="1" x14ac:dyDescent="0.25"/>
    <row r="283" s="489" customFormat="1" x14ac:dyDescent="0.25"/>
    <row r="284" s="489" customFormat="1" x14ac:dyDescent="0.25"/>
    <row r="285" s="489" customFormat="1" x14ac:dyDescent="0.25"/>
    <row r="286" s="489" customFormat="1" x14ac:dyDescent="0.25"/>
    <row r="287" s="489" customFormat="1" x14ac:dyDescent="0.25"/>
    <row r="288" s="489" customFormat="1" x14ac:dyDescent="0.25"/>
    <row r="289" s="489" customFormat="1" x14ac:dyDescent="0.25"/>
    <row r="290" s="489" customFormat="1" x14ac:dyDescent="0.25"/>
    <row r="291" s="489" customFormat="1" x14ac:dyDescent="0.25"/>
    <row r="292" s="489" customFormat="1" x14ac:dyDescent="0.25"/>
    <row r="293" s="489" customFormat="1" x14ac:dyDescent="0.25"/>
    <row r="294" s="489" customFormat="1" x14ac:dyDescent="0.25"/>
    <row r="295" s="489" customFormat="1" x14ac:dyDescent="0.25"/>
    <row r="296" s="489" customFormat="1" x14ac:dyDescent="0.25"/>
    <row r="297" s="489" customFormat="1" x14ac:dyDescent="0.25"/>
    <row r="298" s="489" customFormat="1" x14ac:dyDescent="0.25"/>
    <row r="299" s="489" customFormat="1" x14ac:dyDescent="0.25"/>
    <row r="300" s="489" customFormat="1" x14ac:dyDescent="0.25"/>
    <row r="301" s="489" customFormat="1" x14ac:dyDescent="0.25"/>
    <row r="302" s="489" customFormat="1" x14ac:dyDescent="0.25"/>
    <row r="303" s="489" customFormat="1" x14ac:dyDescent="0.25"/>
    <row r="304" s="489" customFormat="1" x14ac:dyDescent="0.25"/>
    <row r="305" s="489" customFormat="1" x14ac:dyDescent="0.25"/>
    <row r="306" s="489" customFormat="1" x14ac:dyDescent="0.25"/>
    <row r="307" s="489" customFormat="1" x14ac:dyDescent="0.25"/>
    <row r="308" s="489" customFormat="1" x14ac:dyDescent="0.25"/>
    <row r="309" s="489" customFormat="1" x14ac:dyDescent="0.25"/>
    <row r="310" s="489" customFormat="1" x14ac:dyDescent="0.25"/>
    <row r="311" s="489" customFormat="1" x14ac:dyDescent="0.25"/>
    <row r="312" s="489" customFormat="1" x14ac:dyDescent="0.25"/>
    <row r="313" s="489" customFormat="1" x14ac:dyDescent="0.25"/>
    <row r="314" s="489" customFormat="1" x14ac:dyDescent="0.25"/>
    <row r="315" s="489" customFormat="1" x14ac:dyDescent="0.25"/>
    <row r="316" s="489" customFormat="1" x14ac:dyDescent="0.25"/>
    <row r="317" s="489" customFormat="1" x14ac:dyDescent="0.25"/>
    <row r="318" s="489" customFormat="1" x14ac:dyDescent="0.25"/>
    <row r="319" s="489" customFormat="1" x14ac:dyDescent="0.25"/>
    <row r="320" s="489" customFormat="1" x14ac:dyDescent="0.25"/>
    <row r="321" s="489" customFormat="1" x14ac:dyDescent="0.25"/>
    <row r="322" s="489" customFormat="1" x14ac:dyDescent="0.25"/>
    <row r="323" s="489" customFormat="1" x14ac:dyDescent="0.25"/>
    <row r="324" s="489" customFormat="1" x14ac:dyDescent="0.25"/>
    <row r="325" s="489" customFormat="1" x14ac:dyDescent="0.25"/>
    <row r="326" s="489" customFormat="1" x14ac:dyDescent="0.25"/>
    <row r="327" s="489" customFormat="1" x14ac:dyDescent="0.25"/>
    <row r="328" s="489" customFormat="1" x14ac:dyDescent="0.25"/>
    <row r="329" s="489" customFormat="1" x14ac:dyDescent="0.25"/>
    <row r="330" s="489" customFormat="1" x14ac:dyDescent="0.25"/>
    <row r="331" s="489" customFormat="1" x14ac:dyDescent="0.25"/>
    <row r="332" s="489" customFormat="1" x14ac:dyDescent="0.25"/>
    <row r="333" s="489" customFormat="1" x14ac:dyDescent="0.25"/>
    <row r="334" s="489" customFormat="1" x14ac:dyDescent="0.25"/>
    <row r="335" s="489" customFormat="1" x14ac:dyDescent="0.25"/>
    <row r="336" s="489" customFormat="1" x14ac:dyDescent="0.25"/>
    <row r="337" s="489" customFormat="1" x14ac:dyDescent="0.25"/>
    <row r="338" s="489" customFormat="1" x14ac:dyDescent="0.25"/>
    <row r="339" s="489" customFormat="1" x14ac:dyDescent="0.25"/>
    <row r="340" s="489" customFormat="1" x14ac:dyDescent="0.25"/>
    <row r="341" s="489" customFormat="1" x14ac:dyDescent="0.25"/>
    <row r="342" s="489" customFormat="1" x14ac:dyDescent="0.25"/>
    <row r="343" s="489" customFormat="1" x14ac:dyDescent="0.25"/>
    <row r="344" s="489" customFormat="1" x14ac:dyDescent="0.25"/>
    <row r="345" s="489" customFormat="1" x14ac:dyDescent="0.25"/>
    <row r="346" s="489" customFormat="1" x14ac:dyDescent="0.25"/>
    <row r="347" s="489" customFormat="1" x14ac:dyDescent="0.25"/>
    <row r="348" s="489" customFormat="1" x14ac:dyDescent="0.25"/>
    <row r="349" s="489" customFormat="1" x14ac:dyDescent="0.25"/>
    <row r="350" s="489" customFormat="1" x14ac:dyDescent="0.25"/>
    <row r="351" s="489" customFormat="1" x14ac:dyDescent="0.25"/>
    <row r="352" s="489" customFormat="1" x14ac:dyDescent="0.25"/>
    <row r="353" s="489" customFormat="1" x14ac:dyDescent="0.25"/>
    <row r="354" s="489" customFormat="1" x14ac:dyDescent="0.25"/>
    <row r="355" s="489" customFormat="1" x14ac:dyDescent="0.25"/>
    <row r="356" s="489" customFormat="1" x14ac:dyDescent="0.25"/>
    <row r="357" s="489" customFormat="1" x14ac:dyDescent="0.25"/>
    <row r="358" s="489" customFormat="1" x14ac:dyDescent="0.25"/>
    <row r="359" s="489" customFormat="1" x14ac:dyDescent="0.25"/>
    <row r="360" s="489" customFormat="1" x14ac:dyDescent="0.25"/>
    <row r="361" s="489" customFormat="1" x14ac:dyDescent="0.25"/>
    <row r="362" s="489" customFormat="1" x14ac:dyDescent="0.25"/>
    <row r="363" s="489" customFormat="1" x14ac:dyDescent="0.25"/>
    <row r="364" s="489" customFormat="1" x14ac:dyDescent="0.25"/>
    <row r="365" s="489" customFormat="1" x14ac:dyDescent="0.25"/>
    <row r="366" s="489" customFormat="1" x14ac:dyDescent="0.25"/>
    <row r="367" s="489" customFormat="1" x14ac:dyDescent="0.25"/>
    <row r="368" s="489" customFormat="1" x14ac:dyDescent="0.25"/>
    <row r="369" s="489" customFormat="1" x14ac:dyDescent="0.25"/>
    <row r="370" s="489" customFormat="1" x14ac:dyDescent="0.25"/>
    <row r="371" s="489" customFormat="1" x14ac:dyDescent="0.25"/>
    <row r="372" s="489" customFormat="1" x14ac:dyDescent="0.25"/>
    <row r="373" s="489" customFormat="1" x14ac:dyDescent="0.25"/>
    <row r="374" s="489" customFormat="1" x14ac:dyDescent="0.25"/>
    <row r="375" s="489" customFormat="1" x14ac:dyDescent="0.25"/>
    <row r="376" s="489" customFormat="1" x14ac:dyDescent="0.25"/>
    <row r="377" s="489" customFormat="1" x14ac:dyDescent="0.25"/>
    <row r="378" s="489" customFormat="1" x14ac:dyDescent="0.25"/>
    <row r="379" s="489" customFormat="1" x14ac:dyDescent="0.25"/>
    <row r="380" s="489" customFormat="1" x14ac:dyDescent="0.25"/>
    <row r="381" s="489" customFormat="1" x14ac:dyDescent="0.25"/>
    <row r="382" s="489" customFormat="1" x14ac:dyDescent="0.25"/>
    <row r="383" s="489" customFormat="1" x14ac:dyDescent="0.25"/>
    <row r="384" s="489" customFormat="1" x14ac:dyDescent="0.25"/>
    <row r="385" s="489" customFormat="1" x14ac:dyDescent="0.25"/>
    <row r="386" s="489" customFormat="1" x14ac:dyDescent="0.25"/>
    <row r="387" s="489" customFormat="1" x14ac:dyDescent="0.25"/>
    <row r="388" s="489" customFormat="1" x14ac:dyDescent="0.25"/>
    <row r="389" s="489" customFormat="1" x14ac:dyDescent="0.25"/>
    <row r="390" s="489" customFormat="1" x14ac:dyDescent="0.25"/>
    <row r="391" s="489" customFormat="1" x14ac:dyDescent="0.25"/>
    <row r="392" s="489" customFormat="1" x14ac:dyDescent="0.25"/>
    <row r="393" s="489" customFormat="1" x14ac:dyDescent="0.25"/>
    <row r="394" s="489" customFormat="1" x14ac:dyDescent="0.25"/>
    <row r="395" s="489" customFormat="1" x14ac:dyDescent="0.25"/>
    <row r="396" s="489" customFormat="1" x14ac:dyDescent="0.25"/>
    <row r="397" s="489" customFormat="1" x14ac:dyDescent="0.25"/>
    <row r="398" s="489" customFormat="1" x14ac:dyDescent="0.25"/>
    <row r="399" s="489" customFormat="1" x14ac:dyDescent="0.25"/>
    <row r="400" s="489" customFormat="1" x14ac:dyDescent="0.25"/>
    <row r="401" s="489" customFormat="1" x14ac:dyDescent="0.25"/>
    <row r="402" s="489" customFormat="1" x14ac:dyDescent="0.25"/>
    <row r="403" s="489" customFormat="1" x14ac:dyDescent="0.25"/>
    <row r="404" s="489" customFormat="1" x14ac:dyDescent="0.25"/>
    <row r="405" s="489" customFormat="1" x14ac:dyDescent="0.25"/>
    <row r="406" s="489" customFormat="1" x14ac:dyDescent="0.25"/>
    <row r="407" s="489" customFormat="1" x14ac:dyDescent="0.25"/>
    <row r="408" s="489" customFormat="1" x14ac:dyDescent="0.25"/>
    <row r="409" s="489" customFormat="1" x14ac:dyDescent="0.25"/>
    <row r="410" s="489" customFormat="1" x14ac:dyDescent="0.25"/>
    <row r="411" s="489" customFormat="1" x14ac:dyDescent="0.25"/>
    <row r="412" s="489" customFormat="1" x14ac:dyDescent="0.25"/>
    <row r="413" s="489" customFormat="1" x14ac:dyDescent="0.25"/>
    <row r="414" s="489" customFormat="1" x14ac:dyDescent="0.25"/>
    <row r="415" s="489" customFormat="1" x14ac:dyDescent="0.25"/>
    <row r="416" s="489" customFormat="1" x14ac:dyDescent="0.25"/>
    <row r="417" s="489" customFormat="1" x14ac:dyDescent="0.25"/>
    <row r="418" s="489" customFormat="1" x14ac:dyDescent="0.25"/>
    <row r="419" s="489" customFormat="1" x14ac:dyDescent="0.25"/>
    <row r="420" s="489" customFormat="1" x14ac:dyDescent="0.25"/>
    <row r="421" s="489" customFormat="1" x14ac:dyDescent="0.25"/>
    <row r="422" s="489" customFormat="1" x14ac:dyDescent="0.25"/>
    <row r="423" s="489" customFormat="1" x14ac:dyDescent="0.25"/>
    <row r="424" s="489" customFormat="1" x14ac:dyDescent="0.25"/>
    <row r="425" s="489" customFormat="1" x14ac:dyDescent="0.25"/>
    <row r="426" s="489" customFormat="1" x14ac:dyDescent="0.25"/>
    <row r="427" s="489" customFormat="1" x14ac:dyDescent="0.25"/>
    <row r="428" s="489" customFormat="1" x14ac:dyDescent="0.25"/>
    <row r="429" s="489" customFormat="1" x14ac:dyDescent="0.25"/>
    <row r="430" s="489" customFormat="1" x14ac:dyDescent="0.25"/>
    <row r="431" s="489" customFormat="1" x14ac:dyDescent="0.25"/>
    <row r="432" s="489" customFormat="1" x14ac:dyDescent="0.25"/>
    <row r="433" s="489" customFormat="1" x14ac:dyDescent="0.25"/>
    <row r="434" s="489" customFormat="1" x14ac:dyDescent="0.25"/>
    <row r="435" s="489" customFormat="1" x14ac:dyDescent="0.25"/>
    <row r="436" s="489" customFormat="1" x14ac:dyDescent="0.25"/>
    <row r="437" s="489" customFormat="1" x14ac:dyDescent="0.25"/>
    <row r="438" s="489" customFormat="1" x14ac:dyDescent="0.25"/>
    <row r="439" s="489" customFormat="1" x14ac:dyDescent="0.25"/>
    <row r="440" s="489" customFormat="1" x14ac:dyDescent="0.25"/>
    <row r="441" s="489" customFormat="1" x14ac:dyDescent="0.25"/>
    <row r="442" s="489" customFormat="1" x14ac:dyDescent="0.25"/>
    <row r="443" s="489" customFormat="1" x14ac:dyDescent="0.25"/>
    <row r="444" s="489" customFormat="1" x14ac:dyDescent="0.25"/>
    <row r="445" s="489" customFormat="1" x14ac:dyDescent="0.25"/>
    <row r="446" s="489" customFormat="1" x14ac:dyDescent="0.25"/>
    <row r="447" s="489" customFormat="1" x14ac:dyDescent="0.25"/>
    <row r="448" s="489" customFormat="1" x14ac:dyDescent="0.25"/>
    <row r="449" s="489" customFormat="1" x14ac:dyDescent="0.25"/>
    <row r="450" s="489" customFormat="1" x14ac:dyDescent="0.25"/>
    <row r="451" s="489" customFormat="1" x14ac:dyDescent="0.25"/>
    <row r="452" s="489" customFormat="1" x14ac:dyDescent="0.25"/>
    <row r="453" s="489" customFormat="1" x14ac:dyDescent="0.25"/>
    <row r="454" s="489" customFormat="1" x14ac:dyDescent="0.25"/>
    <row r="455" s="489" customFormat="1" x14ac:dyDescent="0.25"/>
    <row r="456" s="489" customFormat="1" x14ac:dyDescent="0.25"/>
    <row r="457" s="489" customFormat="1" x14ac:dyDescent="0.25"/>
    <row r="458" s="489" customFormat="1" x14ac:dyDescent="0.25"/>
    <row r="459" s="489" customFormat="1" x14ac:dyDescent="0.25"/>
    <row r="460" s="489" customFormat="1" x14ac:dyDescent="0.25"/>
    <row r="461" s="489" customFormat="1" x14ac:dyDescent="0.25"/>
    <row r="462" s="489" customFormat="1" x14ac:dyDescent="0.25"/>
    <row r="463" s="489" customFormat="1" x14ac:dyDescent="0.25"/>
    <row r="464" s="489" customFormat="1" x14ac:dyDescent="0.25"/>
    <row r="465" s="489" customFormat="1" x14ac:dyDescent="0.25"/>
    <row r="466" s="489" customFormat="1" x14ac:dyDescent="0.25"/>
    <row r="467" s="489" customFormat="1" x14ac:dyDescent="0.25"/>
    <row r="468" s="489" customFormat="1" x14ac:dyDescent="0.25"/>
    <row r="469" s="489" customFormat="1" x14ac:dyDescent="0.25"/>
    <row r="470" s="489" customFormat="1" x14ac:dyDescent="0.25"/>
    <row r="471" s="489" customFormat="1" x14ac:dyDescent="0.25"/>
    <row r="472" s="489" customFormat="1" x14ac:dyDescent="0.25"/>
    <row r="473" s="489" customFormat="1" x14ac:dyDescent="0.25"/>
    <row r="474" s="489" customFormat="1" x14ac:dyDescent="0.25"/>
    <row r="475" s="489" customFormat="1" x14ac:dyDescent="0.25"/>
    <row r="476" s="489" customFormat="1" x14ac:dyDescent="0.25"/>
    <row r="477" s="489" customFormat="1" x14ac:dyDescent="0.25"/>
    <row r="478" s="489" customFormat="1" x14ac:dyDescent="0.25"/>
    <row r="479" s="489" customFormat="1" x14ac:dyDescent="0.25"/>
    <row r="480" s="489" customFormat="1" x14ac:dyDescent="0.25"/>
    <row r="481" s="489" customFormat="1" x14ac:dyDescent="0.25"/>
    <row r="482" s="489" customFormat="1" x14ac:dyDescent="0.25"/>
    <row r="483" s="489" customFormat="1" x14ac:dyDescent="0.25"/>
    <row r="484" s="489" customFormat="1" x14ac:dyDescent="0.25"/>
    <row r="485" s="489" customFormat="1" x14ac:dyDescent="0.25"/>
    <row r="486" s="489" customFormat="1" x14ac:dyDescent="0.25"/>
    <row r="487" s="489" customFormat="1" x14ac:dyDescent="0.25"/>
    <row r="488" s="489" customFormat="1" x14ac:dyDescent="0.25"/>
    <row r="489" s="489" customFormat="1" x14ac:dyDescent="0.25"/>
    <row r="490" s="489" customFormat="1" x14ac:dyDescent="0.25"/>
    <row r="491" s="489" customFormat="1" x14ac:dyDescent="0.25"/>
    <row r="492" s="489" customFormat="1" x14ac:dyDescent="0.25"/>
    <row r="493" s="489" customFormat="1" x14ac:dyDescent="0.25"/>
    <row r="494" s="489" customFormat="1" x14ac:dyDescent="0.25"/>
    <row r="495" s="489" customFormat="1" x14ac:dyDescent="0.25"/>
    <row r="496" s="489" customFormat="1" x14ac:dyDescent="0.25"/>
    <row r="497" s="489" customFormat="1" x14ac:dyDescent="0.25"/>
    <row r="498" s="489" customFormat="1" x14ac:dyDescent="0.25"/>
    <row r="499" s="489" customFormat="1" x14ac:dyDescent="0.25"/>
    <row r="500" s="489" customFormat="1" x14ac:dyDescent="0.25"/>
    <row r="501" s="489" customFormat="1" x14ac:dyDescent="0.25"/>
    <row r="502" s="489" customFormat="1" x14ac:dyDescent="0.25"/>
    <row r="503" s="489" customFormat="1" x14ac:dyDescent="0.25"/>
    <row r="504" s="489" customFormat="1" x14ac:dyDescent="0.25"/>
    <row r="505" s="489" customFormat="1" x14ac:dyDescent="0.25"/>
    <row r="506" s="489" customFormat="1" x14ac:dyDescent="0.25"/>
    <row r="507" s="489" customFormat="1" x14ac:dyDescent="0.25"/>
    <row r="508" s="489" customFormat="1" x14ac:dyDescent="0.25"/>
    <row r="509" s="489" customFormat="1" x14ac:dyDescent="0.25"/>
    <row r="510" s="489" customFormat="1" x14ac:dyDescent="0.25"/>
    <row r="511" s="489" customFormat="1" x14ac:dyDescent="0.25"/>
    <row r="512" s="489" customFormat="1" x14ac:dyDescent="0.25"/>
    <row r="513" s="489" customFormat="1" x14ac:dyDescent="0.25"/>
    <row r="514" s="489" customFormat="1" x14ac:dyDescent="0.25"/>
    <row r="515" s="489" customFormat="1" x14ac:dyDescent="0.25"/>
    <row r="516" s="489" customFormat="1" x14ac:dyDescent="0.25"/>
    <row r="517" s="489" customFormat="1" x14ac:dyDescent="0.25"/>
    <row r="518" s="489" customFormat="1" x14ac:dyDescent="0.25"/>
    <row r="519" s="489" customFormat="1" x14ac:dyDescent="0.25"/>
    <row r="520" s="489" customFormat="1" x14ac:dyDescent="0.25"/>
    <row r="521" s="489" customFormat="1" x14ac:dyDescent="0.25"/>
    <row r="522" s="489" customFormat="1" x14ac:dyDescent="0.25"/>
    <row r="523" s="489" customFormat="1" x14ac:dyDescent="0.25"/>
    <row r="524" s="489" customFormat="1" x14ac:dyDescent="0.25"/>
    <row r="525" s="489" customFormat="1" x14ac:dyDescent="0.25"/>
    <row r="526" s="489" customFormat="1" x14ac:dyDescent="0.25"/>
    <row r="527" s="489" customFormat="1" x14ac:dyDescent="0.25"/>
    <row r="528" s="489" customFormat="1" x14ac:dyDescent="0.25"/>
    <row r="529" s="489" customFormat="1" x14ac:dyDescent="0.25"/>
    <row r="530" s="489" customFormat="1" x14ac:dyDescent="0.25"/>
    <row r="531" s="489" customFormat="1" x14ac:dyDescent="0.25"/>
    <row r="532" s="489" customFormat="1" x14ac:dyDescent="0.25"/>
    <row r="533" s="489" customFormat="1" x14ac:dyDescent="0.25"/>
    <row r="534" s="489" customFormat="1" x14ac:dyDescent="0.25"/>
    <row r="535" s="489" customFormat="1" x14ac:dyDescent="0.25"/>
    <row r="536" s="489" customFormat="1" x14ac:dyDescent="0.25"/>
    <row r="537" s="489" customFormat="1" x14ac:dyDescent="0.25"/>
    <row r="538" s="489" customFormat="1" x14ac:dyDescent="0.25"/>
    <row r="539" s="489" customFormat="1" x14ac:dyDescent="0.25"/>
    <row r="540" s="489" customFormat="1" x14ac:dyDescent="0.25"/>
    <row r="541" s="489" customFormat="1" x14ac:dyDescent="0.25"/>
    <row r="542" s="489" customFormat="1" x14ac:dyDescent="0.25"/>
    <row r="543" s="489" customFormat="1" x14ac:dyDescent="0.25"/>
    <row r="544" s="489" customFormat="1" x14ac:dyDescent="0.25"/>
    <row r="545" s="489" customFormat="1" x14ac:dyDescent="0.25"/>
    <row r="546" s="489" customFormat="1" x14ac:dyDescent="0.25"/>
    <row r="547" s="489" customFormat="1" x14ac:dyDescent="0.25"/>
    <row r="548" s="489" customFormat="1" x14ac:dyDescent="0.25"/>
    <row r="549" s="489" customFormat="1" x14ac:dyDescent="0.25"/>
    <row r="550" s="489" customFormat="1" x14ac:dyDescent="0.25"/>
    <row r="551" s="489" customFormat="1" x14ac:dyDescent="0.25"/>
    <row r="552" s="489" customFormat="1" x14ac:dyDescent="0.25"/>
    <row r="553" s="489" customFormat="1" x14ac:dyDescent="0.25"/>
    <row r="554" s="489" customFormat="1" x14ac:dyDescent="0.25"/>
    <row r="555" s="489" customFormat="1" x14ac:dyDescent="0.25"/>
    <row r="556" s="489" customFormat="1" x14ac:dyDescent="0.25"/>
    <row r="557" s="489" customFormat="1" x14ac:dyDescent="0.25"/>
    <row r="558" s="489" customFormat="1" x14ac:dyDescent="0.25"/>
    <row r="559" s="489" customFormat="1" x14ac:dyDescent="0.25"/>
    <row r="560" s="489" customFormat="1" x14ac:dyDescent="0.25"/>
    <row r="561" s="489" customFormat="1" x14ac:dyDescent="0.25"/>
    <row r="562" s="489" customFormat="1" x14ac:dyDescent="0.25"/>
    <row r="563" s="489" customFormat="1" x14ac:dyDescent="0.25"/>
    <row r="564" s="489" customFormat="1" x14ac:dyDescent="0.25"/>
    <row r="565" s="489" customFormat="1" x14ac:dyDescent="0.25"/>
    <row r="566" s="489" customFormat="1" x14ac:dyDescent="0.25"/>
    <row r="567" s="489" customFormat="1" x14ac:dyDescent="0.25"/>
    <row r="568" s="489" customFormat="1" x14ac:dyDescent="0.25"/>
    <row r="569" s="489" customFormat="1" x14ac:dyDescent="0.25"/>
    <row r="570" s="489" customFormat="1" x14ac:dyDescent="0.25"/>
    <row r="571" s="489" customFormat="1" x14ac:dyDescent="0.25"/>
    <row r="572" s="489" customFormat="1" x14ac:dyDescent="0.25"/>
    <row r="573" s="489" customFormat="1" x14ac:dyDescent="0.25"/>
    <row r="574" s="489" customFormat="1" x14ac:dyDescent="0.25"/>
    <row r="575" s="489" customFormat="1" x14ac:dyDescent="0.25"/>
    <row r="576" s="489" customFormat="1" x14ac:dyDescent="0.25"/>
    <row r="577" s="489" customFormat="1" x14ac:dyDescent="0.25"/>
    <row r="578" s="489" customFormat="1" x14ac:dyDescent="0.25"/>
    <row r="579" s="489" customFormat="1" x14ac:dyDescent="0.25"/>
    <row r="580" s="489" customFormat="1" x14ac:dyDescent="0.25"/>
    <row r="581" s="489" customFormat="1" x14ac:dyDescent="0.25"/>
    <row r="582" s="489" customFormat="1" x14ac:dyDescent="0.25"/>
    <row r="583" s="489" customFormat="1" x14ac:dyDescent="0.25"/>
    <row r="584" s="489" customFormat="1" x14ac:dyDescent="0.25"/>
    <row r="585" s="489" customFormat="1" x14ac:dyDescent="0.25"/>
    <row r="586" s="489" customFormat="1" x14ac:dyDescent="0.25"/>
    <row r="587" s="489" customFormat="1" x14ac:dyDescent="0.25"/>
    <row r="588" s="489" customFormat="1" x14ac:dyDescent="0.25"/>
    <row r="589" s="489" customFormat="1" x14ac:dyDescent="0.25"/>
    <row r="590" s="489" customFormat="1" x14ac:dyDescent="0.25"/>
    <row r="591" s="489" customFormat="1" x14ac:dyDescent="0.25"/>
    <row r="592" s="489" customFormat="1" x14ac:dyDescent="0.25"/>
    <row r="593" s="489" customFormat="1" x14ac:dyDescent="0.25"/>
    <row r="594" s="489" customFormat="1" x14ac:dyDescent="0.25"/>
    <row r="595" s="489" customFormat="1" x14ac:dyDescent="0.25"/>
    <row r="596" s="489" customFormat="1" x14ac:dyDescent="0.25"/>
    <row r="597" s="489" customFormat="1" x14ac:dyDescent="0.25"/>
    <row r="598" s="489" customFormat="1" x14ac:dyDescent="0.25"/>
    <row r="599" s="489" customFormat="1" x14ac:dyDescent="0.25"/>
    <row r="600" s="489" customFormat="1" x14ac:dyDescent="0.25"/>
    <row r="601" s="489" customFormat="1" x14ac:dyDescent="0.25"/>
    <row r="602" s="489" customFormat="1" x14ac:dyDescent="0.25"/>
    <row r="603" s="489" customFormat="1" x14ac:dyDescent="0.25"/>
    <row r="604" s="489" customFormat="1" x14ac:dyDescent="0.25"/>
    <row r="605" s="489" customFormat="1" x14ac:dyDescent="0.25"/>
    <row r="606" s="489" customFormat="1" x14ac:dyDescent="0.25"/>
    <row r="607" s="489" customFormat="1" x14ac:dyDescent="0.25"/>
    <row r="608" s="489" customFormat="1" x14ac:dyDescent="0.25"/>
    <row r="609" s="489" customFormat="1" x14ac:dyDescent="0.25"/>
    <row r="610" s="489" customFormat="1" x14ac:dyDescent="0.25"/>
    <row r="611" s="489" customFormat="1" x14ac:dyDescent="0.25"/>
    <row r="612" s="489" customFormat="1" x14ac:dyDescent="0.25"/>
    <row r="613" s="489" customFormat="1" x14ac:dyDescent="0.25"/>
    <row r="614" s="489" customFormat="1" x14ac:dyDescent="0.25"/>
    <row r="615" s="489" customFormat="1" x14ac:dyDescent="0.25"/>
    <row r="616" s="489" customFormat="1" x14ac:dyDescent="0.25"/>
    <row r="617" s="489" customFormat="1" x14ac:dyDescent="0.25"/>
    <row r="618" s="489" customFormat="1" x14ac:dyDescent="0.25"/>
    <row r="619" s="489" customFormat="1" x14ac:dyDescent="0.25"/>
    <row r="620" s="489" customFormat="1" x14ac:dyDescent="0.25"/>
    <row r="621" s="489" customFormat="1" x14ac:dyDescent="0.25"/>
    <row r="622" s="489" customFormat="1" x14ac:dyDescent="0.25"/>
    <row r="623" s="489" customFormat="1" x14ac:dyDescent="0.25"/>
    <row r="624" s="489" customFormat="1" x14ac:dyDescent="0.25"/>
    <row r="625" s="489" customFormat="1" x14ac:dyDescent="0.25"/>
    <row r="626" s="489" customFormat="1" x14ac:dyDescent="0.25"/>
    <row r="627" s="489" customFormat="1" x14ac:dyDescent="0.25"/>
    <row r="628" s="489" customFormat="1" x14ac:dyDescent="0.25"/>
    <row r="629" s="489" customFormat="1" x14ac:dyDescent="0.25"/>
    <row r="630" s="489" customFormat="1" x14ac:dyDescent="0.25"/>
    <row r="631" s="489" customFormat="1" x14ac:dyDescent="0.25"/>
    <row r="632" s="489" customFormat="1" x14ac:dyDescent="0.25"/>
    <row r="633" s="489" customFormat="1" x14ac:dyDescent="0.25"/>
    <row r="634" s="489" customFormat="1" x14ac:dyDescent="0.25"/>
    <row r="635" s="489" customFormat="1" x14ac:dyDescent="0.25"/>
    <row r="636" s="489" customFormat="1" x14ac:dyDescent="0.25"/>
    <row r="637" s="489" customFormat="1" x14ac:dyDescent="0.25"/>
    <row r="638" s="489" customFormat="1" x14ac:dyDescent="0.25"/>
    <row r="639" s="489" customFormat="1" x14ac:dyDescent="0.25"/>
    <row r="640" s="489" customFormat="1" x14ac:dyDescent="0.25"/>
    <row r="641" s="489" customFormat="1" x14ac:dyDescent="0.25"/>
    <row r="642" s="489" customFormat="1" x14ac:dyDescent="0.25"/>
    <row r="643" s="489" customFormat="1" x14ac:dyDescent="0.25"/>
    <row r="644" s="489" customFormat="1" x14ac:dyDescent="0.25"/>
    <row r="645" s="489" customFormat="1" x14ac:dyDescent="0.25"/>
    <row r="646" s="489" customFormat="1" x14ac:dyDescent="0.25"/>
    <row r="647" s="489" customFormat="1" x14ac:dyDescent="0.25"/>
    <row r="648" s="489" customFormat="1" x14ac:dyDescent="0.25"/>
    <row r="649" s="489" customFormat="1" x14ac:dyDescent="0.25"/>
    <row r="650" s="489" customFormat="1" x14ac:dyDescent="0.25"/>
    <row r="651" s="489" customFormat="1" x14ac:dyDescent="0.25"/>
    <row r="652" s="489" customFormat="1" x14ac:dyDescent="0.25"/>
    <row r="653" s="489" customFormat="1" x14ac:dyDescent="0.25"/>
    <row r="654" s="489" customFormat="1" x14ac:dyDescent="0.25"/>
    <row r="655" s="489" customFormat="1" x14ac:dyDescent="0.25"/>
    <row r="656" s="489" customFormat="1" x14ac:dyDescent="0.25"/>
    <row r="657" s="489" customFormat="1" x14ac:dyDescent="0.25"/>
    <row r="658" s="489" customFormat="1" x14ac:dyDescent="0.25"/>
    <row r="659" s="489" customFormat="1" x14ac:dyDescent="0.25"/>
    <row r="660" s="489" customFormat="1" x14ac:dyDescent="0.25"/>
    <row r="661" s="489" customFormat="1" x14ac:dyDescent="0.25"/>
    <row r="662" s="489" customFormat="1" x14ac:dyDescent="0.25"/>
    <row r="663" s="489" customFormat="1" x14ac:dyDescent="0.25"/>
    <row r="664" s="489" customFormat="1" x14ac:dyDescent="0.25"/>
    <row r="665" s="489" customFormat="1" x14ac:dyDescent="0.25"/>
    <row r="666" s="489" customFormat="1" x14ac:dyDescent="0.25"/>
    <row r="667" s="489" customFormat="1" x14ac:dyDescent="0.25"/>
    <row r="668" s="489" customFormat="1" x14ac:dyDescent="0.25"/>
    <row r="669" s="489" customFormat="1" x14ac:dyDescent="0.25"/>
    <row r="670" s="489" customFormat="1" x14ac:dyDescent="0.25"/>
    <row r="671" s="489" customFormat="1" x14ac:dyDescent="0.25"/>
    <row r="672" s="489" customFormat="1" x14ac:dyDescent="0.25"/>
    <row r="673" s="489" customFormat="1" x14ac:dyDescent="0.25"/>
    <row r="674" s="489" customFormat="1" x14ac:dyDescent="0.25"/>
    <row r="675" s="489" customFormat="1" x14ac:dyDescent="0.25"/>
    <row r="676" s="489" customFormat="1" x14ac:dyDescent="0.25"/>
    <row r="677" s="489" customFormat="1" x14ac:dyDescent="0.25"/>
    <row r="678" s="489" customFormat="1" x14ac:dyDescent="0.25"/>
    <row r="679" s="489" customFormat="1" x14ac:dyDescent="0.25"/>
    <row r="680" s="489" customFormat="1" x14ac:dyDescent="0.25"/>
    <row r="681" s="489" customFormat="1" x14ac:dyDescent="0.25"/>
    <row r="682" s="489" customFormat="1" x14ac:dyDescent="0.25"/>
    <row r="683" s="489" customFormat="1" x14ac:dyDescent="0.25"/>
    <row r="684" s="489" customFormat="1" x14ac:dyDescent="0.25"/>
    <row r="685" s="489" customFormat="1" x14ac:dyDescent="0.25"/>
    <row r="686" s="489" customFormat="1" x14ac:dyDescent="0.25"/>
    <row r="687" s="489" customFormat="1" x14ac:dyDescent="0.25"/>
    <row r="688" s="489" customFormat="1" x14ac:dyDescent="0.25"/>
    <row r="689" s="489" customFormat="1" x14ac:dyDescent="0.25"/>
    <row r="690" s="489" customFormat="1" x14ac:dyDescent="0.25"/>
    <row r="691" s="489" customFormat="1" x14ac:dyDescent="0.25"/>
    <row r="692" s="489" customFormat="1" x14ac:dyDescent="0.25"/>
    <row r="693" s="489" customFormat="1" x14ac:dyDescent="0.25"/>
    <row r="694" s="489" customFormat="1" x14ac:dyDescent="0.25"/>
    <row r="695" s="489" customFormat="1" x14ac:dyDescent="0.25"/>
    <row r="696" s="489" customFormat="1" x14ac:dyDescent="0.25"/>
    <row r="697" s="489" customFormat="1" x14ac:dyDescent="0.25"/>
    <row r="698" s="489" customFormat="1" x14ac:dyDescent="0.25"/>
    <row r="699" s="489" customFormat="1" x14ac:dyDescent="0.25"/>
    <row r="700" s="489" customFormat="1" x14ac:dyDescent="0.25"/>
    <row r="701" s="489" customFormat="1" x14ac:dyDescent="0.25"/>
    <row r="702" s="489" customFormat="1" x14ac:dyDescent="0.25"/>
    <row r="703" s="489" customFormat="1" x14ac:dyDescent="0.25"/>
    <row r="704" s="489" customFormat="1" x14ac:dyDescent="0.25"/>
    <row r="705" s="489" customFormat="1" x14ac:dyDescent="0.25"/>
    <row r="706" s="489" customFormat="1" x14ac:dyDescent="0.25"/>
    <row r="707" s="489" customFormat="1" x14ac:dyDescent="0.25"/>
    <row r="708" s="489" customFormat="1" x14ac:dyDescent="0.25"/>
    <row r="709" s="489" customFormat="1" x14ac:dyDescent="0.25"/>
    <row r="710" s="489" customFormat="1" x14ac:dyDescent="0.25"/>
    <row r="711" s="489" customFormat="1" x14ac:dyDescent="0.25"/>
    <row r="712" s="489" customFormat="1" x14ac:dyDescent="0.25"/>
    <row r="713" s="489" customFormat="1" x14ac:dyDescent="0.25"/>
    <row r="714" s="489" customFormat="1" x14ac:dyDescent="0.25"/>
    <row r="715" s="489" customFormat="1" x14ac:dyDescent="0.25"/>
    <row r="716" s="489" customFormat="1" x14ac:dyDescent="0.25"/>
    <row r="717" s="489" customFormat="1" x14ac:dyDescent="0.25"/>
    <row r="718" s="489" customFormat="1" x14ac:dyDescent="0.25"/>
    <row r="719" s="489" customFormat="1" x14ac:dyDescent="0.25"/>
    <row r="720" s="489" customFormat="1" x14ac:dyDescent="0.25"/>
    <row r="721" s="489" customFormat="1" x14ac:dyDescent="0.25"/>
    <row r="722" s="489" customFormat="1" x14ac:dyDescent="0.25"/>
    <row r="723" s="489" customFormat="1" x14ac:dyDescent="0.25"/>
    <row r="724" s="489" customFormat="1" x14ac:dyDescent="0.25"/>
    <row r="725" s="489" customFormat="1" x14ac:dyDescent="0.25"/>
    <row r="726" s="489" customFormat="1" x14ac:dyDescent="0.25"/>
    <row r="727" s="489" customFormat="1" x14ac:dyDescent="0.25"/>
    <row r="728" s="489" customFormat="1" x14ac:dyDescent="0.25"/>
    <row r="729" s="489" customFormat="1" x14ac:dyDescent="0.25"/>
    <row r="730" s="489" customFormat="1" x14ac:dyDescent="0.25"/>
    <row r="731" s="489" customFormat="1" x14ac:dyDescent="0.25"/>
    <row r="732" s="489" customFormat="1" x14ac:dyDescent="0.25"/>
    <row r="733" s="489" customFormat="1" x14ac:dyDescent="0.25"/>
    <row r="734" s="489" customFormat="1" x14ac:dyDescent="0.25"/>
    <row r="735" s="489" customFormat="1" x14ac:dyDescent="0.25"/>
    <row r="736" s="489" customFormat="1" x14ac:dyDescent="0.25"/>
    <row r="737" s="489" customFormat="1" x14ac:dyDescent="0.25"/>
    <row r="738" s="489" customFormat="1" x14ac:dyDescent="0.25"/>
    <row r="739" s="489" customFormat="1" x14ac:dyDescent="0.25"/>
    <row r="740" s="489" customFormat="1" x14ac:dyDescent="0.25"/>
    <row r="741" s="489" customFormat="1" x14ac:dyDescent="0.25"/>
    <row r="742" s="489" customFormat="1" x14ac:dyDescent="0.25"/>
    <row r="743" s="489" customFormat="1" x14ac:dyDescent="0.25"/>
    <row r="744" s="489" customFormat="1" x14ac:dyDescent="0.25"/>
    <row r="745" s="489" customFormat="1" x14ac:dyDescent="0.25"/>
    <row r="746" s="489" customFormat="1" x14ac:dyDescent="0.25"/>
    <row r="747" s="489" customFormat="1" x14ac:dyDescent="0.25"/>
    <row r="748" s="489" customFormat="1" x14ac:dyDescent="0.25"/>
    <row r="749" s="489" customFormat="1" x14ac:dyDescent="0.25"/>
    <row r="750" s="489" customFormat="1" x14ac:dyDescent="0.25"/>
    <row r="751" s="489" customFormat="1" x14ac:dyDescent="0.25"/>
    <row r="752" s="489" customFormat="1" x14ac:dyDescent="0.25"/>
    <row r="753" s="489" customFormat="1" x14ac:dyDescent="0.25"/>
    <row r="754" s="489" customFormat="1" x14ac:dyDescent="0.25"/>
    <row r="755" s="489" customFormat="1" x14ac:dyDescent="0.25"/>
    <row r="756" s="489" customFormat="1" x14ac:dyDescent="0.25"/>
    <row r="757" s="489" customFormat="1" x14ac:dyDescent="0.25"/>
    <row r="758" s="489" customFormat="1" x14ac:dyDescent="0.25"/>
    <row r="759" s="489" customFormat="1" x14ac:dyDescent="0.25"/>
    <row r="760" s="489" customFormat="1" x14ac:dyDescent="0.25"/>
    <row r="761" s="489" customFormat="1" x14ac:dyDescent="0.25"/>
    <row r="762" s="489" customFormat="1" x14ac:dyDescent="0.25"/>
    <row r="763" s="489" customFormat="1" x14ac:dyDescent="0.25"/>
    <row r="764" s="489" customFormat="1" x14ac:dyDescent="0.25"/>
    <row r="765" s="489" customFormat="1" x14ac:dyDescent="0.25"/>
    <row r="766" s="489" customFormat="1" x14ac:dyDescent="0.25"/>
    <row r="767" s="489" customFormat="1" x14ac:dyDescent="0.25"/>
    <row r="768" s="489" customFormat="1" x14ac:dyDescent="0.25"/>
    <row r="769" s="489" customFormat="1" x14ac:dyDescent="0.25"/>
    <row r="770" s="489" customFormat="1" x14ac:dyDescent="0.25"/>
    <row r="771" s="489" customFormat="1" x14ac:dyDescent="0.25"/>
    <row r="772" s="489" customFormat="1" x14ac:dyDescent="0.25"/>
    <row r="773" s="489" customFormat="1" x14ac:dyDescent="0.25"/>
    <row r="774" s="489" customFormat="1" x14ac:dyDescent="0.25"/>
    <row r="775" s="489" customFormat="1" x14ac:dyDescent="0.25"/>
    <row r="776" s="489" customFormat="1" x14ac:dyDescent="0.25"/>
    <row r="777" s="489" customFormat="1" x14ac:dyDescent="0.25"/>
    <row r="778" s="489" customFormat="1" x14ac:dyDescent="0.25"/>
    <row r="779" s="489" customFormat="1" x14ac:dyDescent="0.25"/>
    <row r="780" s="489" customFormat="1" x14ac:dyDescent="0.25"/>
    <row r="781" s="489" customFormat="1" x14ac:dyDescent="0.25"/>
    <row r="782" s="489" customFormat="1" x14ac:dyDescent="0.25"/>
    <row r="783" s="489" customFormat="1" x14ac:dyDescent="0.25"/>
    <row r="784" s="489" customFormat="1" x14ac:dyDescent="0.25"/>
    <row r="785" s="489" customFormat="1" x14ac:dyDescent="0.25"/>
    <row r="786" s="489" customFormat="1" x14ac:dyDescent="0.25"/>
    <row r="787" s="489" customFormat="1" x14ac:dyDescent="0.25"/>
    <row r="788" s="489" customFormat="1" x14ac:dyDescent="0.25"/>
    <row r="789" s="489" customFormat="1" x14ac:dyDescent="0.25"/>
    <row r="790" s="489" customFormat="1" x14ac:dyDescent="0.25"/>
    <row r="791" s="489" customFormat="1" x14ac:dyDescent="0.25"/>
    <row r="792" s="489" customFormat="1" x14ac:dyDescent="0.25"/>
    <row r="793" s="489" customFormat="1" x14ac:dyDescent="0.25"/>
    <row r="794" s="489" customFormat="1" x14ac:dyDescent="0.25"/>
    <row r="795" s="489" customFormat="1" x14ac:dyDescent="0.25"/>
    <row r="796" s="489" customFormat="1" x14ac:dyDescent="0.25"/>
    <row r="797" s="489" customFormat="1" x14ac:dyDescent="0.25"/>
    <row r="798" s="489" customFormat="1" x14ac:dyDescent="0.25"/>
    <row r="799" s="489" customFormat="1" x14ac:dyDescent="0.25"/>
    <row r="800" s="489" customFormat="1" x14ac:dyDescent="0.25"/>
    <row r="801" s="489" customFormat="1" x14ac:dyDescent="0.25"/>
    <row r="802" s="489" customFormat="1" x14ac:dyDescent="0.25"/>
    <row r="803" s="489" customFormat="1" x14ac:dyDescent="0.25"/>
    <row r="804" s="489" customFormat="1" x14ac:dyDescent="0.25"/>
    <row r="805" s="489" customFormat="1" x14ac:dyDescent="0.25"/>
    <row r="806" s="489" customFormat="1" x14ac:dyDescent="0.25"/>
    <row r="807" s="489" customFormat="1" x14ac:dyDescent="0.25"/>
    <row r="808" s="489" customFormat="1" x14ac:dyDescent="0.25"/>
    <row r="809" s="489" customFormat="1" x14ac:dyDescent="0.25"/>
    <row r="810" s="489" customFormat="1" x14ac:dyDescent="0.25"/>
    <row r="811" s="489" customFormat="1" x14ac:dyDescent="0.25"/>
    <row r="812" s="489" customFormat="1" x14ac:dyDescent="0.25"/>
    <row r="813" s="489" customFormat="1" x14ac:dyDescent="0.25"/>
    <row r="814" s="489" customFormat="1" x14ac:dyDescent="0.25"/>
    <row r="815" s="489" customFormat="1" x14ac:dyDescent="0.25"/>
    <row r="816" s="489" customFormat="1" x14ac:dyDescent="0.25"/>
    <row r="817" s="489" customFormat="1" x14ac:dyDescent="0.25"/>
    <row r="818" s="489" customFormat="1" x14ac:dyDescent="0.25"/>
    <row r="819" s="489" customFormat="1" x14ac:dyDescent="0.25"/>
    <row r="820" s="489" customFormat="1" x14ac:dyDescent="0.25"/>
    <row r="821" s="489" customFormat="1" x14ac:dyDescent="0.25"/>
    <row r="822" s="489" customFormat="1" x14ac:dyDescent="0.25"/>
    <row r="823" s="489" customFormat="1" x14ac:dyDescent="0.25"/>
  </sheetData>
  <sheetProtection algorithmName="SHA-512" hashValue="iIOV/Cb1blYyb/uSlARIAzsImAamsO9SpdeavdL+ErkUbxChuTlkutfDrzwsxkXH4StUZl230fhA4G5QvWnF9A==" saltValue="nHdM/196CI3oPKA1To55zg==" spinCount="100000" sheet="1" objects="1" scenarios="1"/>
  <mergeCells count="5">
    <mergeCell ref="A10:B10"/>
    <mergeCell ref="A13:B13"/>
    <mergeCell ref="A26:B26"/>
    <mergeCell ref="A38:B38"/>
    <mergeCell ref="A1:E1"/>
  </mergeCells>
  <conditionalFormatting sqref="C18:C22 C31:C34 C27:E28 C39:E40 C24:C26 C36:C38">
    <cfRule type="expression" dxfId="17" priority="4" stopIfTrue="1">
      <formula>$C$6="ex-ante"</formula>
    </cfRule>
  </conditionalFormatting>
  <conditionalFormatting sqref="C23">
    <cfRule type="expression" dxfId="16" priority="2" stopIfTrue="1">
      <formula>$C$6="ex-ante"</formula>
    </cfRule>
  </conditionalFormatting>
  <conditionalFormatting sqref="C35">
    <cfRule type="expression" dxfId="15" priority="1"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BBED-FD5D-4537-A27C-775751CBFDB9}">
  <sheetPr published="0" codeName="Blad3">
    <tabColor theme="6" tint="0.59999389629810485"/>
  </sheetPr>
  <dimension ref="A1"/>
  <sheetViews>
    <sheetView workbookViewId="0">
      <selection activeCell="B10" sqref="B10"/>
    </sheetView>
  </sheetViews>
  <sheetFormatPr defaultColWidth="8.7265625" defaultRowHeight="12.5" x14ac:dyDescent="0.25"/>
  <cols>
    <col min="1" max="16384" width="8.7265625" style="195"/>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BCC-C0C8-4F1D-987E-B4A4D6CF2F01}">
  <sheetPr>
    <pageSetUpPr fitToPage="1"/>
  </sheetPr>
  <dimension ref="A1:S51"/>
  <sheetViews>
    <sheetView zoomScaleNormal="100" workbookViewId="0">
      <selection activeCell="E18" sqref="E18"/>
    </sheetView>
  </sheetViews>
  <sheetFormatPr defaultColWidth="9.1796875" defaultRowHeight="12.5" x14ac:dyDescent="0.25"/>
  <cols>
    <col min="1" max="1" width="4.54296875" style="166" customWidth="1"/>
    <col min="2" max="2" width="54.81640625" style="166" customWidth="1"/>
    <col min="3" max="3" width="25.7265625" style="166" customWidth="1"/>
    <col min="4" max="4" width="25.7265625" style="212" customWidth="1"/>
    <col min="5" max="5" width="23.26953125" style="166" customWidth="1"/>
    <col min="6" max="13" width="9.1796875" style="166"/>
    <col min="14" max="16384" width="9.1796875" style="203"/>
  </cols>
  <sheetData>
    <row r="1" spans="1:19" ht="23.15" customHeight="1" thickBot="1" x14ac:dyDescent="0.3">
      <c r="A1" s="1182" t="s">
        <v>404</v>
      </c>
      <c r="B1" s="1183"/>
      <c r="C1" s="1183"/>
      <c r="D1" s="1184"/>
      <c r="E1" s="289"/>
      <c r="F1" s="289"/>
      <c r="G1" s="289"/>
      <c r="H1" s="289"/>
      <c r="I1" s="289"/>
      <c r="J1" s="289"/>
      <c r="K1" s="289"/>
      <c r="L1" s="206"/>
      <c r="M1" s="206"/>
      <c r="N1" s="206"/>
      <c r="O1" s="206"/>
      <c r="P1" s="206"/>
      <c r="Q1" s="206"/>
      <c r="R1" s="206"/>
      <c r="S1" s="206"/>
    </row>
    <row r="2" spans="1:19" x14ac:dyDescent="0.25">
      <c r="B2" s="203">
        <f>+TITELBLAD!E16</f>
        <v>2022</v>
      </c>
      <c r="C2" s="206"/>
      <c r="L2" s="206"/>
      <c r="M2" s="206"/>
      <c r="N2" s="206"/>
      <c r="O2" s="206"/>
      <c r="P2" s="206"/>
      <c r="Q2" s="206"/>
      <c r="R2" s="206"/>
      <c r="S2" s="206"/>
    </row>
    <row r="3" spans="1:19" ht="13" x14ac:dyDescent="0.25">
      <c r="B3" s="216"/>
      <c r="L3" s="206"/>
      <c r="M3" s="206"/>
      <c r="N3" s="206"/>
      <c r="O3" s="206"/>
      <c r="P3" s="206"/>
      <c r="Q3" s="206"/>
      <c r="R3" s="206"/>
      <c r="S3" s="206"/>
    </row>
    <row r="4" spans="1:19" ht="13" x14ac:dyDescent="0.25">
      <c r="B4" s="216"/>
      <c r="L4" s="206"/>
      <c r="M4" s="206"/>
      <c r="N4" s="206"/>
      <c r="O4" s="206"/>
      <c r="P4" s="206"/>
      <c r="Q4" s="206"/>
      <c r="R4" s="206"/>
      <c r="S4" s="206"/>
    </row>
    <row r="5" spans="1:19" ht="13" x14ac:dyDescent="0.25">
      <c r="B5" s="216"/>
      <c r="C5" s="884" t="s">
        <v>0</v>
      </c>
      <c r="D5" s="885" t="s">
        <v>316</v>
      </c>
      <c r="L5" s="206"/>
      <c r="M5" s="206"/>
      <c r="N5" s="206"/>
      <c r="O5" s="206"/>
      <c r="P5" s="206"/>
      <c r="Q5" s="206"/>
      <c r="R5" s="206"/>
      <c r="S5" s="206"/>
    </row>
    <row r="6" spans="1:19" ht="13" x14ac:dyDescent="0.25">
      <c r="B6" s="273"/>
      <c r="C6" s="886" t="s">
        <v>2</v>
      </c>
      <c r="D6" s="886" t="s">
        <v>2</v>
      </c>
      <c r="L6" s="206"/>
      <c r="M6" s="206"/>
      <c r="N6" s="206"/>
      <c r="O6" s="206"/>
      <c r="P6" s="206"/>
      <c r="Q6" s="206"/>
      <c r="R6" s="206"/>
      <c r="S6" s="206"/>
    </row>
    <row r="7" spans="1:19" x14ac:dyDescent="0.25">
      <c r="C7" s="541">
        <f>+'T9 - Overzicht'!$B$6</f>
        <v>2022</v>
      </c>
      <c r="D7" s="541">
        <f>+'T9 - Overzicht'!$B$6</f>
        <v>2022</v>
      </c>
      <c r="L7" s="206"/>
      <c r="M7" s="206"/>
      <c r="N7" s="206"/>
      <c r="O7" s="206"/>
      <c r="P7" s="206"/>
      <c r="Q7" s="206"/>
      <c r="R7" s="206"/>
      <c r="S7" s="206"/>
    </row>
    <row r="8" spans="1:19" x14ac:dyDescent="0.25">
      <c r="B8" s="292"/>
      <c r="C8" s="887" t="str">
        <f>+'T9 - Overzicht'!$A$10</f>
        <v>NAAM DNB</v>
      </c>
      <c r="D8" s="887" t="str">
        <f>+'T9 - Overzicht'!$A$10</f>
        <v>NAAM DNB</v>
      </c>
      <c r="L8" s="206"/>
      <c r="M8" s="206"/>
      <c r="N8" s="206"/>
      <c r="O8" s="206"/>
      <c r="P8" s="206"/>
      <c r="Q8" s="206"/>
      <c r="R8" s="206"/>
      <c r="S8" s="206"/>
    </row>
    <row r="9" spans="1:19" x14ac:dyDescent="0.25">
      <c r="C9" s="887" t="str">
        <f>+'T9 - Overzicht'!$A$13</f>
        <v>elektriciteit</v>
      </c>
      <c r="D9" s="887" t="str">
        <f>+'T9 - Overzicht'!$A$13</f>
        <v>elektriciteit</v>
      </c>
      <c r="L9" s="206"/>
      <c r="M9" s="206"/>
      <c r="N9" s="206"/>
      <c r="O9" s="206"/>
      <c r="P9" s="206"/>
      <c r="Q9" s="206"/>
      <c r="R9" s="206"/>
      <c r="S9" s="206"/>
    </row>
    <row r="10" spans="1:19" x14ac:dyDescent="0.25">
      <c r="C10" s="888"/>
      <c r="D10" s="888"/>
      <c r="L10" s="206"/>
      <c r="M10" s="206"/>
      <c r="N10" s="206"/>
      <c r="O10" s="206"/>
      <c r="P10" s="206"/>
      <c r="Q10" s="206"/>
      <c r="R10" s="206"/>
      <c r="S10" s="206"/>
    </row>
    <row r="11" spans="1:19" s="892" customFormat="1" ht="18" customHeight="1" x14ac:dyDescent="0.25">
      <c r="A11" s="175"/>
      <c r="B11" s="889"/>
      <c r="C11" s="890"/>
      <c r="D11" s="890"/>
      <c r="E11" s="175"/>
      <c r="F11" s="175"/>
      <c r="G11" s="175"/>
      <c r="H11" s="175"/>
      <c r="I11" s="175"/>
      <c r="J11" s="175"/>
      <c r="K11" s="175"/>
      <c r="L11" s="891"/>
      <c r="M11" s="891"/>
      <c r="N11" s="891"/>
      <c r="O11" s="891"/>
      <c r="P11" s="891"/>
      <c r="Q11" s="891"/>
      <c r="R11" s="891"/>
      <c r="S11" s="891"/>
    </row>
    <row r="12" spans="1:19" s="892" customFormat="1" ht="32.15" customHeight="1" x14ac:dyDescent="0.25">
      <c r="A12" s="175"/>
      <c r="B12" s="785" t="s">
        <v>258</v>
      </c>
      <c r="C12" s="570">
        <f>+IF($C$9="elektriciteit",-T13A!G63,IF('T10'!$C$9="gas",-T13C!G42,"FOUT"))</f>
        <v>0</v>
      </c>
      <c r="D12" s="570">
        <f>+IF($C$9="elektriciteit",-T13A!G117,IF('T10'!$C$9="gas",-T13C!G75,"FOUT"))</f>
        <v>0</v>
      </c>
      <c r="E12" s="175"/>
      <c r="F12" s="175"/>
      <c r="G12" s="175"/>
      <c r="H12" s="175"/>
      <c r="I12" s="175"/>
      <c r="J12" s="175"/>
      <c r="K12" s="175"/>
      <c r="L12" s="175"/>
      <c r="M12" s="175"/>
    </row>
    <row r="13" spans="1:19" s="892" customFormat="1" ht="32.15" customHeight="1" x14ac:dyDescent="0.25">
      <c r="A13" s="175"/>
      <c r="B13" s="889" t="s">
        <v>259</v>
      </c>
      <c r="C13" s="570">
        <f>+IF($C$9="elektriciteit",-T13B!G63,IF('T10'!$C$9="gas",-T13D!G42,"FOUT"))</f>
        <v>0</v>
      </c>
      <c r="D13" s="570">
        <f>+IF($C$9="elektriciteit",-T13B!G117,IF('T10'!$C$9="gas",-T13D!G75,"FOUT"))</f>
        <v>0</v>
      </c>
      <c r="E13" s="175"/>
      <c r="F13" s="175"/>
      <c r="G13" s="175"/>
      <c r="H13" s="175"/>
      <c r="I13" s="175"/>
      <c r="J13" s="175"/>
      <c r="K13" s="175"/>
      <c r="L13" s="175"/>
      <c r="M13" s="175"/>
    </row>
    <row r="14" spans="1:19" s="892" customFormat="1" ht="18" customHeight="1" x14ac:dyDescent="0.25">
      <c r="A14" s="175"/>
      <c r="B14" s="889" t="s">
        <v>251</v>
      </c>
      <c r="C14" s="607">
        <v>0.25</v>
      </c>
      <c r="D14" s="607">
        <v>0.25</v>
      </c>
      <c r="E14" s="175"/>
      <c r="F14" s="175"/>
      <c r="G14" s="175"/>
      <c r="H14" s="175"/>
      <c r="I14" s="175"/>
      <c r="J14" s="175"/>
      <c r="K14" s="175"/>
      <c r="L14" s="175"/>
      <c r="M14" s="175"/>
    </row>
    <row r="15" spans="1:19" s="892" customFormat="1" ht="30.75" customHeight="1" x14ac:dyDescent="0.25">
      <c r="A15" s="175"/>
      <c r="B15" s="786" t="s">
        <v>252</v>
      </c>
      <c r="C15" s="893">
        <f>(C12+C13)*C14/(1-C14)</f>
        <v>0</v>
      </c>
      <c r="D15" s="893">
        <f>(D12+D13)*D14/(1-D14)</f>
        <v>0</v>
      </c>
      <c r="E15" s="175"/>
      <c r="F15" s="175"/>
      <c r="G15" s="175"/>
      <c r="H15" s="175"/>
      <c r="I15" s="175"/>
      <c r="J15" s="175"/>
      <c r="K15" s="175"/>
      <c r="L15" s="175"/>
      <c r="M15" s="175"/>
    </row>
    <row r="51" spans="1:13" s="212" customFormat="1" x14ac:dyDescent="0.25">
      <c r="A51" s="166"/>
      <c r="B51" s="292"/>
      <c r="C51" s="166"/>
      <c r="E51" s="166"/>
      <c r="F51" s="166"/>
      <c r="G51" s="166"/>
      <c r="H51" s="166"/>
      <c r="I51" s="166"/>
      <c r="J51" s="166"/>
      <c r="K51" s="166"/>
      <c r="L51" s="166"/>
      <c r="M51" s="166"/>
    </row>
  </sheetData>
  <sheetProtection algorithmName="SHA-512" hashValue="GidkQBeiZa6zNiGeHGAmhco909xPDnmNO+jVPe8OUQYHZbXaPJi6h2wur+IdpUYDII4DWdze5PYt0XNPRP4TUg==" saltValue="+uzoxNBkQo/vFoTV0eqPA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1300-000001000000}">
            <xm:f>'T9 - Overzicht'!$C$6="ex-ante"</xm:f>
            <x14:dxf>
              <fill>
                <patternFill patternType="lightUp"/>
              </fill>
            </x14:dxf>
          </x14:cfRule>
          <xm:sqref>D5:D15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63B-C54D-4509-B77B-7A2C001662E7}">
  <sheetPr>
    <pageSetUpPr fitToPage="1"/>
  </sheetPr>
  <dimension ref="A1:S50"/>
  <sheetViews>
    <sheetView zoomScaleNormal="100" workbookViewId="0">
      <selection activeCell="D14" sqref="D14"/>
    </sheetView>
  </sheetViews>
  <sheetFormatPr defaultColWidth="9.1796875" defaultRowHeight="12.5" x14ac:dyDescent="0.25"/>
  <cols>
    <col min="1" max="1" width="4.54296875" style="166" customWidth="1"/>
    <col min="2" max="2" width="54.81640625" style="166" customWidth="1"/>
    <col min="3" max="3" width="31.7265625" style="166" customWidth="1"/>
    <col min="4" max="4" width="31.7265625" style="212" customWidth="1"/>
    <col min="5" max="5" width="23.26953125" style="166" customWidth="1"/>
    <col min="6" max="13" width="9.1796875" style="166"/>
    <col min="14" max="16384" width="9.1796875" style="203"/>
  </cols>
  <sheetData>
    <row r="1" spans="1:19" ht="23.15" customHeight="1" thickBot="1" x14ac:dyDescent="0.3">
      <c r="A1" s="1182" t="s">
        <v>425</v>
      </c>
      <c r="B1" s="1183"/>
      <c r="C1" s="1183"/>
      <c r="D1" s="1184"/>
      <c r="E1" s="289"/>
      <c r="F1" s="289"/>
      <c r="G1" s="289"/>
      <c r="H1" s="289"/>
      <c r="I1" s="289"/>
      <c r="J1" s="289"/>
      <c r="K1" s="289"/>
      <c r="L1" s="206"/>
      <c r="M1" s="206"/>
      <c r="N1" s="206"/>
      <c r="O1" s="206"/>
      <c r="P1" s="206"/>
      <c r="Q1" s="206"/>
      <c r="R1" s="206"/>
      <c r="S1" s="206"/>
    </row>
    <row r="2" spans="1:19" x14ac:dyDescent="0.25">
      <c r="B2" s="203">
        <f>+TITELBLAD!E16</f>
        <v>2022</v>
      </c>
      <c r="C2" s="206"/>
      <c r="L2" s="206"/>
      <c r="M2" s="206"/>
      <c r="N2" s="206"/>
      <c r="O2" s="206"/>
      <c r="P2" s="206"/>
      <c r="Q2" s="206"/>
      <c r="R2" s="206"/>
      <c r="S2" s="206"/>
    </row>
    <row r="3" spans="1:19" ht="13" x14ac:dyDescent="0.25">
      <c r="B3" s="216"/>
      <c r="L3" s="206"/>
      <c r="M3" s="206"/>
      <c r="N3" s="206"/>
      <c r="O3" s="206"/>
      <c r="P3" s="206"/>
      <c r="Q3" s="206"/>
      <c r="R3" s="206"/>
      <c r="S3" s="206"/>
    </row>
    <row r="4" spans="1:19" ht="13" x14ac:dyDescent="0.25">
      <c r="B4" s="216"/>
      <c r="L4" s="206"/>
      <c r="M4" s="206"/>
      <c r="N4" s="206"/>
      <c r="O4" s="206"/>
      <c r="P4" s="206"/>
      <c r="Q4" s="206"/>
      <c r="R4" s="206"/>
      <c r="S4" s="206"/>
    </row>
    <row r="5" spans="1:19" ht="13" x14ac:dyDescent="0.25">
      <c r="B5" s="216"/>
      <c r="C5" s="884" t="s">
        <v>0</v>
      </c>
      <c r="D5" s="885" t="s">
        <v>316</v>
      </c>
      <c r="L5" s="206"/>
      <c r="M5" s="206"/>
      <c r="N5" s="206"/>
      <c r="O5" s="206"/>
      <c r="P5" s="206"/>
      <c r="Q5" s="206"/>
      <c r="R5" s="206"/>
      <c r="S5" s="206"/>
    </row>
    <row r="6" spans="1:19" ht="13" x14ac:dyDescent="0.25">
      <c r="B6" s="273"/>
      <c r="C6" s="886" t="s">
        <v>2</v>
      </c>
      <c r="D6" s="886" t="s">
        <v>2</v>
      </c>
      <c r="L6" s="206"/>
      <c r="M6" s="206"/>
      <c r="N6" s="206"/>
      <c r="O6" s="206"/>
      <c r="P6" s="206"/>
      <c r="Q6" s="206"/>
      <c r="R6" s="206"/>
      <c r="S6" s="206"/>
    </row>
    <row r="7" spans="1:19" x14ac:dyDescent="0.25">
      <c r="C7" s="541">
        <f>+'T9 - Overzicht'!$B$6</f>
        <v>2022</v>
      </c>
      <c r="D7" s="541">
        <f>+'T9 - Overzicht'!$B$6</f>
        <v>2022</v>
      </c>
      <c r="L7" s="206"/>
      <c r="M7" s="206"/>
      <c r="N7" s="206"/>
      <c r="O7" s="206"/>
      <c r="P7" s="206"/>
      <c r="Q7" s="206"/>
      <c r="R7" s="206"/>
      <c r="S7" s="206"/>
    </row>
    <row r="8" spans="1:19" x14ac:dyDescent="0.25">
      <c r="B8" s="292"/>
      <c r="C8" s="887" t="str">
        <f>+'T9 - Overzicht'!$A$10</f>
        <v>NAAM DNB</v>
      </c>
      <c r="D8" s="887" t="str">
        <f>+'T9 - Overzicht'!$A$10</f>
        <v>NAAM DNB</v>
      </c>
      <c r="L8" s="206"/>
      <c r="M8" s="206"/>
      <c r="N8" s="206"/>
      <c r="O8" s="206"/>
      <c r="P8" s="206"/>
      <c r="Q8" s="206"/>
      <c r="R8" s="206"/>
      <c r="S8" s="206"/>
    </row>
    <row r="9" spans="1:19" x14ac:dyDescent="0.25">
      <c r="C9" s="887" t="str">
        <f>+'T9 - Overzicht'!$A$13</f>
        <v>elektriciteit</v>
      </c>
      <c r="D9" s="887" t="str">
        <f>+'T9 - Overzicht'!$A$13</f>
        <v>elektriciteit</v>
      </c>
      <c r="L9" s="206"/>
      <c r="M9" s="206"/>
      <c r="N9" s="206"/>
      <c r="O9" s="206"/>
      <c r="P9" s="206"/>
      <c r="Q9" s="206"/>
      <c r="R9" s="206"/>
      <c r="S9" s="206"/>
    </row>
    <row r="10" spans="1:19" x14ac:dyDescent="0.25">
      <c r="C10" s="888"/>
      <c r="D10" s="888"/>
      <c r="L10" s="206"/>
      <c r="M10" s="206"/>
      <c r="N10" s="206"/>
      <c r="O10" s="206"/>
      <c r="P10" s="206"/>
      <c r="Q10" s="206"/>
      <c r="R10" s="206"/>
      <c r="S10" s="206"/>
    </row>
    <row r="11" spans="1:19" s="892" customFormat="1" ht="18" customHeight="1" x14ac:dyDescent="0.25">
      <c r="A11" s="175"/>
      <c r="B11" s="889"/>
      <c r="C11" s="890"/>
      <c r="D11" s="890"/>
      <c r="E11" s="175"/>
      <c r="F11" s="175"/>
      <c r="G11" s="175"/>
      <c r="H11" s="175"/>
      <c r="I11" s="175"/>
      <c r="J11" s="175"/>
      <c r="K11" s="175"/>
      <c r="L11" s="891"/>
      <c r="M11" s="891"/>
      <c r="N11" s="891"/>
      <c r="O11" s="891"/>
      <c r="P11" s="891"/>
      <c r="Q11" s="891"/>
      <c r="R11" s="891"/>
      <c r="S11" s="891"/>
    </row>
    <row r="12" spans="1:19" s="892" customFormat="1" ht="32.15" customHeight="1" x14ac:dyDescent="0.25">
      <c r="A12" s="175"/>
      <c r="B12" s="785" t="s">
        <v>245</v>
      </c>
      <c r="C12" s="570">
        <f>+'T3'!D180</f>
        <v>0</v>
      </c>
      <c r="D12" s="570">
        <f>+'T3'!E180</f>
        <v>0</v>
      </c>
      <c r="E12" s="175"/>
      <c r="F12" s="175"/>
      <c r="G12" s="175"/>
      <c r="H12" s="175"/>
      <c r="I12" s="175"/>
      <c r="J12" s="175"/>
      <c r="K12" s="175"/>
      <c r="L12" s="175"/>
      <c r="M12" s="175"/>
    </row>
    <row r="13" spans="1:19" s="892" customFormat="1" ht="18" customHeight="1" x14ac:dyDescent="0.25">
      <c r="A13" s="175"/>
      <c r="B13" s="889" t="s">
        <v>251</v>
      </c>
      <c r="C13" s="894">
        <f>+'T10'!C14</f>
        <v>0.25</v>
      </c>
      <c r="D13" s="894">
        <f>+'T10'!D14</f>
        <v>0.25</v>
      </c>
      <c r="E13" s="175"/>
      <c r="F13" s="175"/>
      <c r="G13" s="175"/>
      <c r="H13" s="175"/>
      <c r="I13" s="175"/>
      <c r="J13" s="175"/>
      <c r="K13" s="175"/>
      <c r="L13" s="175"/>
      <c r="M13" s="175"/>
    </row>
    <row r="14" spans="1:19" s="892" customFormat="1" ht="30.75" customHeight="1" x14ac:dyDescent="0.25">
      <c r="A14" s="175"/>
      <c r="B14" s="786" t="s">
        <v>426</v>
      </c>
      <c r="C14" s="893">
        <f>C12*C13/(1-C13)</f>
        <v>0</v>
      </c>
      <c r="D14" s="893">
        <f>D12*D13/(1-D13)</f>
        <v>0</v>
      </c>
      <c r="E14" s="175"/>
      <c r="F14" s="175"/>
      <c r="G14" s="175"/>
      <c r="H14" s="175"/>
      <c r="I14" s="175"/>
      <c r="J14" s="175"/>
      <c r="K14" s="175"/>
      <c r="L14" s="175"/>
      <c r="M14" s="175"/>
    </row>
    <row r="50" spans="1:13" s="212" customFormat="1" x14ac:dyDescent="0.25">
      <c r="A50" s="166"/>
      <c r="B50" s="292"/>
      <c r="C50" s="166"/>
      <c r="E50" s="166"/>
      <c r="F50" s="166"/>
      <c r="G50" s="166"/>
      <c r="H50" s="166"/>
      <c r="I50" s="166"/>
      <c r="J50" s="166"/>
      <c r="K50" s="166"/>
      <c r="L50" s="166"/>
      <c r="M50" s="166"/>
    </row>
  </sheetData>
  <sheetProtection algorithmName="SHA-512" hashValue="YeDzyvMkFc3+xuZWtoMr1+Xv2MJJpfhdJ/r7ELVzp0HxSlObSghX+IWgWZwG3ndEmYa6FbYi9UqHUo09sZT9Sw==" saltValue="W4Zhaa/3/35eFl0bTbxfO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F7BB0FF0-8AEB-4C17-A165-D1732AB18C91}">
            <xm:f>'T9 - Overzicht'!$C$6="ex-ante"</xm:f>
            <x14:dxf>
              <fill>
                <patternFill patternType="lightUp"/>
              </fill>
            </x14:dxf>
          </x14:cfRule>
          <xm:sqref>D5:D14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27DF-C76B-467A-8D7A-3CFB79FA6AC6}">
  <dimension ref="A1:N24"/>
  <sheetViews>
    <sheetView zoomScale="85" zoomScaleNormal="85" workbookViewId="0">
      <selection activeCell="B11" sqref="B11"/>
    </sheetView>
  </sheetViews>
  <sheetFormatPr defaultColWidth="9.1796875" defaultRowHeight="12.5" x14ac:dyDescent="0.25"/>
  <cols>
    <col min="1" max="1" width="9.1796875" style="166"/>
    <col min="2" max="2" width="51" style="166" bestFit="1" customWidth="1"/>
    <col min="3" max="3" width="8.453125" style="166" customWidth="1"/>
    <col min="4" max="5" width="25.7265625" style="166" customWidth="1"/>
    <col min="6" max="6" width="17.1796875" style="166" customWidth="1"/>
    <col min="7" max="7" width="21.26953125" style="292" customWidth="1"/>
    <col min="8" max="16384" width="9.1796875" style="166"/>
  </cols>
  <sheetData>
    <row r="1" spans="1:14" s="203" customFormat="1" ht="20.5" customHeight="1" thickBot="1" x14ac:dyDescent="0.3">
      <c r="A1" s="1182" t="s">
        <v>427</v>
      </c>
      <c r="B1" s="1183"/>
      <c r="C1" s="1183"/>
      <c r="D1" s="1183"/>
      <c r="E1" s="1183"/>
      <c r="F1" s="1183"/>
      <c r="G1" s="1184"/>
      <c r="H1" s="289"/>
      <c r="I1" s="289"/>
      <c r="J1" s="289"/>
      <c r="K1" s="289"/>
      <c r="L1" s="289"/>
      <c r="M1" s="166"/>
      <c r="N1" s="166"/>
    </row>
    <row r="2" spans="1:14" s="203" customFormat="1" x14ac:dyDescent="0.25">
      <c r="A2" s="166"/>
      <c r="B2" s="203">
        <f>+TITELBLAD!E16</f>
        <v>2022</v>
      </c>
      <c r="C2" s="204" t="str">
        <f>+TITELBLAD!F16</f>
        <v>ex-post</v>
      </c>
      <c r="E2" s="519"/>
      <c r="F2" s="206"/>
      <c r="G2" s="206"/>
      <c r="H2" s="206"/>
      <c r="I2" s="206"/>
      <c r="J2" s="206"/>
      <c r="K2" s="206"/>
      <c r="L2" s="206"/>
      <c r="M2" s="206"/>
      <c r="N2" s="206"/>
    </row>
    <row r="3" spans="1:14" s="203" customFormat="1" ht="13" x14ac:dyDescent="0.25">
      <c r="A3" s="166"/>
      <c r="B3" s="353" t="s">
        <v>250</v>
      </c>
      <c r="C3" s="212"/>
      <c r="D3" s="166"/>
      <c r="E3" s="166"/>
      <c r="F3" s="166"/>
      <c r="G3" s="292"/>
      <c r="H3" s="166"/>
      <c r="I3" s="166"/>
      <c r="J3" s="166"/>
      <c r="K3" s="166"/>
      <c r="L3" s="166"/>
      <c r="M3" s="166"/>
      <c r="N3" s="166"/>
    </row>
    <row r="4" spans="1:14" s="203" customFormat="1" ht="13" customHeight="1" x14ac:dyDescent="0.25">
      <c r="A4" s="166"/>
      <c r="B4" s="216" t="s">
        <v>253</v>
      </c>
      <c r="C4" s="212"/>
      <c r="D4" s="166"/>
      <c r="E4" s="166"/>
      <c r="F4" s="166"/>
      <c r="G4" s="292"/>
      <c r="H4" s="166"/>
      <c r="I4" s="166"/>
      <c r="J4" s="166"/>
      <c r="K4" s="166"/>
      <c r="L4" s="166"/>
      <c r="M4" s="166"/>
      <c r="N4" s="166"/>
    </row>
    <row r="5" spans="1:14" s="489" customFormat="1" ht="71.150000000000006" customHeight="1" x14ac:dyDescent="0.25">
      <c r="B5" s="1185" t="s">
        <v>321</v>
      </c>
      <c r="C5" s="1185"/>
      <c r="D5" s="1185"/>
      <c r="E5" s="1185"/>
    </row>
    <row r="6" spans="1:14" s="489" customFormat="1" x14ac:dyDescent="0.25">
      <c r="E6" s="212"/>
      <c r="F6" s="166"/>
    </row>
    <row r="7" spans="1:14" s="203" customFormat="1" x14ac:dyDescent="0.25">
      <c r="A7" s="166"/>
      <c r="B7" s="166"/>
      <c r="C7" s="212"/>
      <c r="D7" s="166"/>
      <c r="E7" s="212"/>
      <c r="F7" s="166"/>
      <c r="G7" s="292"/>
      <c r="H7" s="166"/>
      <c r="I7" s="166"/>
      <c r="J7" s="166"/>
      <c r="K7" s="166"/>
      <c r="L7" s="166"/>
      <c r="M7" s="166"/>
      <c r="N7" s="166"/>
    </row>
    <row r="8" spans="1:14" s="203" customFormat="1" ht="13" x14ac:dyDescent="0.25">
      <c r="A8" s="166"/>
      <c r="B8" s="166"/>
      <c r="C8" s="212"/>
      <c r="D8" s="947" t="s">
        <v>0</v>
      </c>
      <c r="E8" s="947" t="s">
        <v>1</v>
      </c>
      <c r="F8" s="166"/>
      <c r="G8" s="292"/>
      <c r="H8" s="166"/>
      <c r="I8" s="166"/>
      <c r="J8" s="166"/>
      <c r="K8" s="166"/>
      <c r="L8" s="166"/>
      <c r="M8" s="166"/>
      <c r="N8" s="166"/>
    </row>
    <row r="9" spans="1:14" s="203" customFormat="1" ht="13" x14ac:dyDescent="0.25">
      <c r="A9" s="166"/>
      <c r="B9" s="273"/>
      <c r="C9" s="212"/>
      <c r="D9" s="886" t="s">
        <v>2</v>
      </c>
      <c r="E9" s="886" t="s">
        <v>2</v>
      </c>
      <c r="F9" s="166"/>
      <c r="G9" s="948"/>
      <c r="H9" s="166"/>
      <c r="I9" s="166"/>
      <c r="J9" s="166"/>
      <c r="K9" s="166"/>
      <c r="L9" s="166"/>
      <c r="M9" s="166"/>
      <c r="N9" s="166"/>
    </row>
    <row r="10" spans="1:14" s="203" customFormat="1" x14ac:dyDescent="0.25">
      <c r="A10" s="166"/>
      <c r="B10" s="166"/>
      <c r="C10" s="212"/>
      <c r="D10" s="541">
        <f>+TITELBLAD!E16</f>
        <v>2022</v>
      </c>
      <c r="E10" s="541">
        <f>+TITELBLAD!E16</f>
        <v>2022</v>
      </c>
      <c r="F10" s="166"/>
      <c r="G10" s="292"/>
      <c r="H10" s="166"/>
      <c r="I10" s="166"/>
      <c r="J10" s="166"/>
      <c r="K10" s="166"/>
      <c r="L10" s="166"/>
      <c r="M10" s="166"/>
      <c r="N10" s="166"/>
    </row>
    <row r="11" spans="1:14" s="203" customFormat="1" x14ac:dyDescent="0.25">
      <c r="A11" s="166"/>
      <c r="B11" s="292"/>
      <c r="C11" s="212"/>
      <c r="D11" s="887" t="str">
        <f>+TITELBLAD!C7</f>
        <v>NAAM DNB</v>
      </c>
      <c r="E11" s="887" t="str">
        <f>+TITELBLAD!C7</f>
        <v>NAAM DNB</v>
      </c>
      <c r="F11" s="166"/>
      <c r="G11" s="292"/>
      <c r="H11" s="166"/>
      <c r="I11" s="166"/>
      <c r="J11" s="166"/>
      <c r="K11" s="166"/>
      <c r="L11" s="166"/>
      <c r="M11" s="166"/>
      <c r="N11" s="166"/>
    </row>
    <row r="12" spans="1:14" s="203" customFormat="1" x14ac:dyDescent="0.25">
      <c r="A12" s="166"/>
      <c r="B12" s="166"/>
      <c r="C12" s="212"/>
      <c r="D12" s="887" t="str">
        <f>+TITELBLAD!C10</f>
        <v>elektriciteit</v>
      </c>
      <c r="E12" s="887" t="str">
        <f>+TITELBLAD!C10</f>
        <v>elektriciteit</v>
      </c>
      <c r="F12" s="166"/>
      <c r="G12" s="292"/>
      <c r="H12" s="166"/>
      <c r="I12" s="166"/>
      <c r="J12" s="166"/>
      <c r="K12" s="166"/>
      <c r="L12" s="166"/>
      <c r="M12" s="166"/>
      <c r="N12" s="166"/>
    </row>
    <row r="13" spans="1:14" s="203" customFormat="1" x14ac:dyDescent="0.25">
      <c r="A13" s="166"/>
      <c r="B13" s="166"/>
      <c r="C13" s="212"/>
      <c r="D13" s="888"/>
      <c r="E13" s="888"/>
      <c r="F13" s="166"/>
      <c r="G13" s="292"/>
      <c r="H13" s="166"/>
      <c r="I13" s="166"/>
      <c r="J13" s="166"/>
      <c r="K13" s="166"/>
      <c r="L13" s="166"/>
      <c r="M13" s="166"/>
      <c r="N13" s="166"/>
    </row>
    <row r="14" spans="1:14" s="203" customFormat="1" ht="30.75" customHeight="1" x14ac:dyDescent="0.25">
      <c r="A14" s="166"/>
      <c r="B14" s="949" t="s">
        <v>113</v>
      </c>
      <c r="C14" s="950"/>
      <c r="D14" s="890"/>
      <c r="E14" s="890"/>
      <c r="F14" s="166"/>
      <c r="G14" s="165" t="s">
        <v>114</v>
      </c>
      <c r="H14" s="166"/>
      <c r="I14" s="166"/>
      <c r="J14" s="166"/>
      <c r="K14" s="166"/>
      <c r="L14" s="166"/>
      <c r="M14" s="166"/>
      <c r="N14" s="166"/>
    </row>
    <row r="15" spans="1:14" s="203" customFormat="1" ht="31" customHeight="1" x14ac:dyDescent="0.25">
      <c r="A15" s="166"/>
      <c r="B15" s="937" t="s">
        <v>260</v>
      </c>
      <c r="C15" s="884"/>
      <c r="D15" s="954">
        <v>0</v>
      </c>
      <c r="E15" s="954">
        <v>0</v>
      </c>
      <c r="F15" s="166"/>
      <c r="G15" s="567" t="s">
        <v>35</v>
      </c>
      <c r="H15" s="166"/>
      <c r="I15" s="166"/>
      <c r="J15" s="166"/>
      <c r="K15" s="166"/>
      <c r="L15" s="166"/>
      <c r="M15" s="166"/>
      <c r="N15" s="166"/>
    </row>
    <row r="16" spans="1:14" s="203" customFormat="1" ht="14.25" customHeight="1" x14ac:dyDescent="0.25">
      <c r="A16" s="166"/>
      <c r="B16" s="951"/>
      <c r="C16" s="575"/>
      <c r="D16" s="575"/>
      <c r="E16" s="575"/>
      <c r="F16" s="166"/>
      <c r="G16" s="567"/>
      <c r="H16" s="166"/>
      <c r="I16" s="166"/>
      <c r="J16" s="166"/>
      <c r="K16" s="166"/>
      <c r="L16" s="166"/>
      <c r="M16" s="166"/>
      <c r="N16" s="166"/>
    </row>
    <row r="17" spans="1:14" s="203" customFormat="1" ht="36" customHeight="1" x14ac:dyDescent="0.25">
      <c r="A17" s="166"/>
      <c r="B17" s="937" t="s">
        <v>261</v>
      </c>
      <c r="C17" s="952"/>
      <c r="D17" s="955">
        <v>0</v>
      </c>
      <c r="E17" s="610">
        <v>0</v>
      </c>
      <c r="F17" s="166"/>
      <c r="G17" s="567"/>
      <c r="H17" s="166"/>
      <c r="I17" s="166"/>
      <c r="J17" s="166"/>
      <c r="K17" s="166"/>
      <c r="L17" s="166"/>
      <c r="M17" s="166"/>
      <c r="N17" s="166"/>
    </row>
    <row r="18" spans="1:14" s="203" customFormat="1" ht="14.25" customHeight="1" x14ac:dyDescent="0.25">
      <c r="A18" s="166"/>
      <c r="B18" s="951"/>
      <c r="C18" s="575"/>
      <c r="D18" s="575"/>
      <c r="E18" s="575"/>
      <c r="F18" s="166"/>
      <c r="G18" s="567"/>
      <c r="H18" s="166"/>
      <c r="I18" s="166"/>
      <c r="J18" s="166"/>
      <c r="K18" s="166"/>
      <c r="L18" s="166"/>
      <c r="M18" s="166"/>
      <c r="N18" s="166"/>
    </row>
    <row r="19" spans="1:14" s="203" customFormat="1" ht="28.5" customHeight="1" x14ac:dyDescent="0.25">
      <c r="A19" s="166"/>
      <c r="B19" s="937" t="s">
        <v>254</v>
      </c>
      <c r="C19" s="952"/>
      <c r="D19" s="953">
        <f>+D15*D17</f>
        <v>0</v>
      </c>
      <c r="E19" s="953">
        <f>+E15*E17</f>
        <v>0</v>
      </c>
      <c r="F19" s="166"/>
      <c r="G19" s="567"/>
      <c r="H19" s="166"/>
      <c r="I19" s="166"/>
      <c r="J19" s="166"/>
      <c r="K19" s="166"/>
      <c r="L19" s="166"/>
      <c r="M19" s="166"/>
      <c r="N19" s="166"/>
    </row>
    <row r="20" spans="1:14" s="892" customFormat="1" ht="18" customHeight="1" x14ac:dyDescent="0.25">
      <c r="A20" s="175"/>
      <c r="B20" s="889" t="s">
        <v>251</v>
      </c>
      <c r="C20" s="575"/>
      <c r="D20" s="894">
        <f>+'T10'!C14</f>
        <v>0.25</v>
      </c>
      <c r="E20" s="894">
        <f>+'T10'!D14</f>
        <v>0.25</v>
      </c>
      <c r="F20" s="175"/>
      <c r="G20" s="567"/>
      <c r="H20" s="175"/>
      <c r="I20" s="175"/>
      <c r="J20" s="175"/>
      <c r="K20" s="175"/>
      <c r="L20" s="175"/>
      <c r="M20" s="175"/>
      <c r="N20" s="175"/>
    </row>
    <row r="21" spans="1:14" s="892" customFormat="1" ht="30.75" customHeight="1" x14ac:dyDescent="0.25">
      <c r="A21" s="175"/>
      <c r="B21" s="937" t="s">
        <v>255</v>
      </c>
      <c r="C21" s="884"/>
      <c r="D21" s="893">
        <f>-D19*D20/(1-D20)</f>
        <v>0</v>
      </c>
      <c r="E21" s="893">
        <f>-E19*E20/(1-E20)</f>
        <v>0</v>
      </c>
      <c r="F21" s="175"/>
      <c r="G21" s="567"/>
      <c r="H21" s="175"/>
      <c r="I21" s="175"/>
      <c r="J21" s="175"/>
      <c r="K21" s="175"/>
      <c r="L21" s="175"/>
      <c r="M21" s="175"/>
      <c r="N21" s="175"/>
    </row>
    <row r="22" spans="1:14" s="203" customFormat="1" ht="13" x14ac:dyDescent="0.25">
      <c r="A22" s="166"/>
      <c r="B22" s="216"/>
      <c r="C22" s="212"/>
      <c r="D22" s="166"/>
      <c r="E22" s="212"/>
      <c r="F22" s="166"/>
      <c r="G22" s="292"/>
      <c r="H22" s="166"/>
      <c r="I22" s="166"/>
      <c r="J22" s="166"/>
      <c r="K22" s="166"/>
      <c r="L22" s="166"/>
      <c r="M22" s="166"/>
      <c r="N22" s="166"/>
    </row>
    <row r="23" spans="1:14" s="203" customFormat="1" x14ac:dyDescent="0.25">
      <c r="A23" s="166"/>
      <c r="B23" s="166"/>
      <c r="C23" s="212"/>
      <c r="D23" s="166"/>
      <c r="E23" s="212"/>
      <c r="F23" s="166"/>
      <c r="G23" s="292"/>
      <c r="H23" s="166"/>
      <c r="I23" s="166"/>
      <c r="J23" s="166"/>
      <c r="K23" s="166"/>
      <c r="L23" s="166"/>
      <c r="M23" s="166"/>
      <c r="N23" s="166"/>
    </row>
    <row r="24" spans="1:14" s="203" customFormat="1" x14ac:dyDescent="0.25">
      <c r="A24" s="166"/>
      <c r="B24" s="166"/>
      <c r="C24" s="212"/>
      <c r="D24" s="166"/>
      <c r="E24" s="212"/>
      <c r="F24" s="166"/>
      <c r="G24" s="292"/>
      <c r="H24" s="166"/>
      <c r="I24" s="166"/>
      <c r="J24" s="166"/>
      <c r="K24" s="166"/>
      <c r="L24" s="166"/>
      <c r="M24" s="166"/>
      <c r="N24" s="166"/>
    </row>
  </sheetData>
  <sheetProtection algorithmName="SHA-512" hashValue="vSLnkH+Go6YJsMmB9UH7aZi0sbypMVTr3H5M0833sES2KaCVJWWIRY3XD540nEf730zY4xglU0+F8K+o4utQYQ==" saltValue="qk7CwNnm9S1ruB1ZvxNFiQ==" spinCount="100000" sheet="1" objects="1" scenarios="1"/>
  <mergeCells count="2">
    <mergeCell ref="B5:E5"/>
    <mergeCell ref="A1:G1"/>
  </mergeCells>
  <conditionalFormatting sqref="E8:E21">
    <cfRule type="expression" dxfId="12" priority="1" stopIfTrue="1">
      <formula>$C$2="ex-ante"</formula>
    </cfRule>
  </conditionalFormatting>
  <pageMargins left="0.7" right="0.7" top="0.75" bottom="0.75" header="0.3" footer="0.3"/>
  <pageSetup paperSize="8" scale="4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AD4A-6622-47DC-95E4-62CDEAF67EE2}">
  <dimension ref="A1:AB118"/>
  <sheetViews>
    <sheetView zoomScale="80" zoomScaleNormal="80" workbookViewId="0">
      <selection activeCell="D17" sqref="D17"/>
    </sheetView>
  </sheetViews>
  <sheetFormatPr defaultColWidth="9.1796875" defaultRowHeight="12.5" x14ac:dyDescent="0.25"/>
  <cols>
    <col min="1" max="1" width="51.453125" style="166" customWidth="1"/>
    <col min="2" max="2" width="26.54296875" style="166" customWidth="1"/>
    <col min="3" max="9" width="31" style="166" customWidth="1"/>
    <col min="10" max="10" width="8.81640625" style="166" customWidth="1"/>
    <col min="11" max="52" width="9.1796875" style="166" customWidth="1"/>
    <col min="53" max="258" width="9.1796875" style="166"/>
    <col min="259" max="259" width="51.453125" style="166" customWidth="1"/>
    <col min="260" max="260" width="26.54296875" style="166" customWidth="1"/>
    <col min="261" max="265" width="31" style="166" customWidth="1"/>
    <col min="266" max="266" width="8.81640625" style="166" customWidth="1"/>
    <col min="267" max="514" width="9.1796875" style="166"/>
    <col min="515" max="515" width="51.453125" style="166" customWidth="1"/>
    <col min="516" max="516" width="26.54296875" style="166" customWidth="1"/>
    <col min="517" max="521" width="31" style="166" customWidth="1"/>
    <col min="522" max="522" width="8.81640625" style="166" customWidth="1"/>
    <col min="523" max="770" width="9.1796875" style="166"/>
    <col min="771" max="771" width="51.453125" style="166" customWidth="1"/>
    <col min="772" max="772" width="26.54296875" style="166" customWidth="1"/>
    <col min="773" max="777" width="31" style="166" customWidth="1"/>
    <col min="778" max="778" width="8.81640625" style="166" customWidth="1"/>
    <col min="779" max="1026" width="9.1796875" style="166"/>
    <col min="1027" max="1027" width="51.453125" style="166" customWidth="1"/>
    <col min="1028" max="1028" width="26.54296875" style="166" customWidth="1"/>
    <col min="1029" max="1033" width="31" style="166" customWidth="1"/>
    <col min="1034" max="1034" width="8.81640625" style="166" customWidth="1"/>
    <col min="1035" max="1282" width="9.1796875" style="166"/>
    <col min="1283" max="1283" width="51.453125" style="166" customWidth="1"/>
    <col min="1284" max="1284" width="26.54296875" style="166" customWidth="1"/>
    <col min="1285" max="1289" width="31" style="166" customWidth="1"/>
    <col min="1290" max="1290" width="8.81640625" style="166" customWidth="1"/>
    <col min="1291" max="1538" width="9.1796875" style="166"/>
    <col min="1539" max="1539" width="51.453125" style="166" customWidth="1"/>
    <col min="1540" max="1540" width="26.54296875" style="166" customWidth="1"/>
    <col min="1541" max="1545" width="31" style="166" customWidth="1"/>
    <col min="1546" max="1546" width="8.81640625" style="166" customWidth="1"/>
    <col min="1547" max="1794" width="9.1796875" style="166"/>
    <col min="1795" max="1795" width="51.453125" style="166" customWidth="1"/>
    <col min="1796" max="1796" width="26.54296875" style="166" customWidth="1"/>
    <col min="1797" max="1801" width="31" style="166" customWidth="1"/>
    <col min="1802" max="1802" width="8.81640625" style="166" customWidth="1"/>
    <col min="1803" max="2050" width="9.1796875" style="166"/>
    <col min="2051" max="2051" width="51.453125" style="166" customWidth="1"/>
    <col min="2052" max="2052" width="26.54296875" style="166" customWidth="1"/>
    <col min="2053" max="2057" width="31" style="166" customWidth="1"/>
    <col min="2058" max="2058" width="8.81640625" style="166" customWidth="1"/>
    <col min="2059" max="2306" width="9.1796875" style="166"/>
    <col min="2307" max="2307" width="51.453125" style="166" customWidth="1"/>
    <col min="2308" max="2308" width="26.54296875" style="166" customWidth="1"/>
    <col min="2309" max="2313" width="31" style="166" customWidth="1"/>
    <col min="2314" max="2314" width="8.81640625" style="166" customWidth="1"/>
    <col min="2315" max="2562" width="9.1796875" style="166"/>
    <col min="2563" max="2563" width="51.453125" style="166" customWidth="1"/>
    <col min="2564" max="2564" width="26.54296875" style="166" customWidth="1"/>
    <col min="2565" max="2569" width="31" style="166" customWidth="1"/>
    <col min="2570" max="2570" width="8.81640625" style="166" customWidth="1"/>
    <col min="2571" max="2818" width="9.1796875" style="166"/>
    <col min="2819" max="2819" width="51.453125" style="166" customWidth="1"/>
    <col min="2820" max="2820" width="26.54296875" style="166" customWidth="1"/>
    <col min="2821" max="2825" width="31" style="166" customWidth="1"/>
    <col min="2826" max="2826" width="8.81640625" style="166" customWidth="1"/>
    <col min="2827" max="3074" width="9.1796875" style="166"/>
    <col min="3075" max="3075" width="51.453125" style="166" customWidth="1"/>
    <col min="3076" max="3076" width="26.54296875" style="166" customWidth="1"/>
    <col min="3077" max="3081" width="31" style="166" customWidth="1"/>
    <col min="3082" max="3082" width="8.81640625" style="166" customWidth="1"/>
    <col min="3083" max="3330" width="9.1796875" style="166"/>
    <col min="3331" max="3331" width="51.453125" style="166" customWidth="1"/>
    <col min="3332" max="3332" width="26.54296875" style="166" customWidth="1"/>
    <col min="3333" max="3337" width="31" style="166" customWidth="1"/>
    <col min="3338" max="3338" width="8.81640625" style="166" customWidth="1"/>
    <col min="3339" max="3586" width="9.1796875" style="166"/>
    <col min="3587" max="3587" width="51.453125" style="166" customWidth="1"/>
    <col min="3588" max="3588" width="26.54296875" style="166" customWidth="1"/>
    <col min="3589" max="3593" width="31" style="166" customWidth="1"/>
    <col min="3594" max="3594" width="8.81640625" style="166" customWidth="1"/>
    <col min="3595" max="3842" width="9.1796875" style="166"/>
    <col min="3843" max="3843" width="51.453125" style="166" customWidth="1"/>
    <col min="3844" max="3844" width="26.54296875" style="166" customWidth="1"/>
    <col min="3845" max="3849" width="31" style="166" customWidth="1"/>
    <col min="3850" max="3850" width="8.81640625" style="166" customWidth="1"/>
    <col min="3851" max="4098" width="9.1796875" style="166"/>
    <col min="4099" max="4099" width="51.453125" style="166" customWidth="1"/>
    <col min="4100" max="4100" width="26.54296875" style="166" customWidth="1"/>
    <col min="4101" max="4105" width="31" style="166" customWidth="1"/>
    <col min="4106" max="4106" width="8.81640625" style="166" customWidth="1"/>
    <col min="4107" max="4354" width="9.1796875" style="166"/>
    <col min="4355" max="4355" width="51.453125" style="166" customWidth="1"/>
    <col min="4356" max="4356" width="26.54296875" style="166" customWidth="1"/>
    <col min="4357" max="4361" width="31" style="166" customWidth="1"/>
    <col min="4362" max="4362" width="8.81640625" style="166" customWidth="1"/>
    <col min="4363" max="4610" width="9.1796875" style="166"/>
    <col min="4611" max="4611" width="51.453125" style="166" customWidth="1"/>
    <col min="4612" max="4612" width="26.54296875" style="166" customWidth="1"/>
    <col min="4613" max="4617" width="31" style="166" customWidth="1"/>
    <col min="4618" max="4618" width="8.81640625" style="166" customWidth="1"/>
    <col min="4619" max="4866" width="9.1796875" style="166"/>
    <col min="4867" max="4867" width="51.453125" style="166" customWidth="1"/>
    <col min="4868" max="4868" width="26.54296875" style="166" customWidth="1"/>
    <col min="4869" max="4873" width="31" style="166" customWidth="1"/>
    <col min="4874" max="4874" width="8.81640625" style="166" customWidth="1"/>
    <col min="4875" max="5122" width="9.1796875" style="166"/>
    <col min="5123" max="5123" width="51.453125" style="166" customWidth="1"/>
    <col min="5124" max="5124" width="26.54296875" style="166" customWidth="1"/>
    <col min="5125" max="5129" width="31" style="166" customWidth="1"/>
    <col min="5130" max="5130" width="8.81640625" style="166" customWidth="1"/>
    <col min="5131" max="5378" width="9.1796875" style="166"/>
    <col min="5379" max="5379" width="51.453125" style="166" customWidth="1"/>
    <col min="5380" max="5380" width="26.54296875" style="166" customWidth="1"/>
    <col min="5381" max="5385" width="31" style="166" customWidth="1"/>
    <col min="5386" max="5386" width="8.81640625" style="166" customWidth="1"/>
    <col min="5387" max="5634" width="9.1796875" style="166"/>
    <col min="5635" max="5635" width="51.453125" style="166" customWidth="1"/>
    <col min="5636" max="5636" width="26.54296875" style="166" customWidth="1"/>
    <col min="5637" max="5641" width="31" style="166" customWidth="1"/>
    <col min="5642" max="5642" width="8.81640625" style="166" customWidth="1"/>
    <col min="5643" max="5890" width="9.1796875" style="166"/>
    <col min="5891" max="5891" width="51.453125" style="166" customWidth="1"/>
    <col min="5892" max="5892" width="26.54296875" style="166" customWidth="1"/>
    <col min="5893" max="5897" width="31" style="166" customWidth="1"/>
    <col min="5898" max="5898" width="8.81640625" style="166" customWidth="1"/>
    <col min="5899" max="6146" width="9.1796875" style="166"/>
    <col min="6147" max="6147" width="51.453125" style="166" customWidth="1"/>
    <col min="6148" max="6148" width="26.54296875" style="166" customWidth="1"/>
    <col min="6149" max="6153" width="31" style="166" customWidth="1"/>
    <col min="6154" max="6154" width="8.81640625" style="166" customWidth="1"/>
    <col min="6155" max="6402" width="9.1796875" style="166"/>
    <col min="6403" max="6403" width="51.453125" style="166" customWidth="1"/>
    <col min="6404" max="6404" width="26.54296875" style="166" customWidth="1"/>
    <col min="6405" max="6409" width="31" style="166" customWidth="1"/>
    <col min="6410" max="6410" width="8.81640625" style="166" customWidth="1"/>
    <col min="6411" max="6658" width="9.1796875" style="166"/>
    <col min="6659" max="6659" width="51.453125" style="166" customWidth="1"/>
    <col min="6660" max="6660" width="26.54296875" style="166" customWidth="1"/>
    <col min="6661" max="6665" width="31" style="166" customWidth="1"/>
    <col min="6666" max="6666" width="8.81640625" style="166" customWidth="1"/>
    <col min="6667" max="6914" width="9.1796875" style="166"/>
    <col min="6915" max="6915" width="51.453125" style="166" customWidth="1"/>
    <col min="6916" max="6916" width="26.54296875" style="166" customWidth="1"/>
    <col min="6917" max="6921" width="31" style="166" customWidth="1"/>
    <col min="6922" max="6922" width="8.81640625" style="166" customWidth="1"/>
    <col min="6923" max="7170" width="9.1796875" style="166"/>
    <col min="7171" max="7171" width="51.453125" style="166" customWidth="1"/>
    <col min="7172" max="7172" width="26.54296875" style="166" customWidth="1"/>
    <col min="7173" max="7177" width="31" style="166" customWidth="1"/>
    <col min="7178" max="7178" width="8.81640625" style="166" customWidth="1"/>
    <col min="7179" max="7426" width="9.1796875" style="166"/>
    <col min="7427" max="7427" width="51.453125" style="166" customWidth="1"/>
    <col min="7428" max="7428" width="26.54296875" style="166" customWidth="1"/>
    <col min="7429" max="7433" width="31" style="166" customWidth="1"/>
    <col min="7434" max="7434" width="8.81640625" style="166" customWidth="1"/>
    <col min="7435" max="7682" width="9.1796875" style="166"/>
    <col min="7683" max="7683" width="51.453125" style="166" customWidth="1"/>
    <col min="7684" max="7684" width="26.54296875" style="166" customWidth="1"/>
    <col min="7685" max="7689" width="31" style="166" customWidth="1"/>
    <col min="7690" max="7690" width="8.81640625" style="166" customWidth="1"/>
    <col min="7691" max="7938" width="9.1796875" style="166"/>
    <col min="7939" max="7939" width="51.453125" style="166" customWidth="1"/>
    <col min="7940" max="7940" width="26.54296875" style="166" customWidth="1"/>
    <col min="7941" max="7945" width="31" style="166" customWidth="1"/>
    <col min="7946" max="7946" width="8.81640625" style="166" customWidth="1"/>
    <col min="7947" max="8194" width="9.1796875" style="166"/>
    <col min="8195" max="8195" width="51.453125" style="166" customWidth="1"/>
    <col min="8196" max="8196" width="26.54296875" style="166" customWidth="1"/>
    <col min="8197" max="8201" width="31" style="166" customWidth="1"/>
    <col min="8202" max="8202" width="8.81640625" style="166" customWidth="1"/>
    <col min="8203" max="8450" width="9.1796875" style="166"/>
    <col min="8451" max="8451" width="51.453125" style="166" customWidth="1"/>
    <col min="8452" max="8452" width="26.54296875" style="166" customWidth="1"/>
    <col min="8453" max="8457" width="31" style="166" customWidth="1"/>
    <col min="8458" max="8458" width="8.81640625" style="166" customWidth="1"/>
    <col min="8459" max="8706" width="9.1796875" style="166"/>
    <col min="8707" max="8707" width="51.453125" style="166" customWidth="1"/>
    <col min="8708" max="8708" width="26.54296875" style="166" customWidth="1"/>
    <col min="8709" max="8713" width="31" style="166" customWidth="1"/>
    <col min="8714" max="8714" width="8.81640625" style="166" customWidth="1"/>
    <col min="8715" max="8962" width="9.1796875" style="166"/>
    <col min="8963" max="8963" width="51.453125" style="166" customWidth="1"/>
    <col min="8964" max="8964" width="26.54296875" style="166" customWidth="1"/>
    <col min="8965" max="8969" width="31" style="166" customWidth="1"/>
    <col min="8970" max="8970" width="8.81640625" style="166" customWidth="1"/>
    <col min="8971" max="9218" width="9.1796875" style="166"/>
    <col min="9219" max="9219" width="51.453125" style="166" customWidth="1"/>
    <col min="9220" max="9220" width="26.54296875" style="166" customWidth="1"/>
    <col min="9221" max="9225" width="31" style="166" customWidth="1"/>
    <col min="9226" max="9226" width="8.81640625" style="166" customWidth="1"/>
    <col min="9227" max="9474" width="9.1796875" style="166"/>
    <col min="9475" max="9475" width="51.453125" style="166" customWidth="1"/>
    <col min="9476" max="9476" width="26.54296875" style="166" customWidth="1"/>
    <col min="9477" max="9481" width="31" style="166" customWidth="1"/>
    <col min="9482" max="9482" width="8.81640625" style="166" customWidth="1"/>
    <col min="9483" max="9730" width="9.1796875" style="166"/>
    <col min="9731" max="9731" width="51.453125" style="166" customWidth="1"/>
    <col min="9732" max="9732" width="26.54296875" style="166" customWidth="1"/>
    <col min="9733" max="9737" width="31" style="166" customWidth="1"/>
    <col min="9738" max="9738" width="8.81640625" style="166" customWidth="1"/>
    <col min="9739" max="9986" width="9.1796875" style="166"/>
    <col min="9987" max="9987" width="51.453125" style="166" customWidth="1"/>
    <col min="9988" max="9988" width="26.54296875" style="166" customWidth="1"/>
    <col min="9989" max="9993" width="31" style="166" customWidth="1"/>
    <col min="9994" max="9994" width="8.81640625" style="166" customWidth="1"/>
    <col min="9995" max="10242" width="9.1796875" style="166"/>
    <col min="10243" max="10243" width="51.453125" style="166" customWidth="1"/>
    <col min="10244" max="10244" width="26.54296875" style="166" customWidth="1"/>
    <col min="10245" max="10249" width="31" style="166" customWidth="1"/>
    <col min="10250" max="10250" width="8.81640625" style="166" customWidth="1"/>
    <col min="10251" max="10498" width="9.1796875" style="166"/>
    <col min="10499" max="10499" width="51.453125" style="166" customWidth="1"/>
    <col min="10500" max="10500" width="26.54296875" style="166" customWidth="1"/>
    <col min="10501" max="10505" width="31" style="166" customWidth="1"/>
    <col min="10506" max="10506" width="8.81640625" style="166" customWidth="1"/>
    <col min="10507" max="10754" width="9.1796875" style="166"/>
    <col min="10755" max="10755" width="51.453125" style="166" customWidth="1"/>
    <col min="10756" max="10756" width="26.54296875" style="166" customWidth="1"/>
    <col min="10757" max="10761" width="31" style="166" customWidth="1"/>
    <col min="10762" max="10762" width="8.81640625" style="166" customWidth="1"/>
    <col min="10763" max="11010" width="9.1796875" style="166"/>
    <col min="11011" max="11011" width="51.453125" style="166" customWidth="1"/>
    <col min="11012" max="11012" width="26.54296875" style="166" customWidth="1"/>
    <col min="11013" max="11017" width="31" style="166" customWidth="1"/>
    <col min="11018" max="11018" width="8.81640625" style="166" customWidth="1"/>
    <col min="11019" max="11266" width="9.1796875" style="166"/>
    <col min="11267" max="11267" width="51.453125" style="166" customWidth="1"/>
    <col min="11268" max="11268" width="26.54296875" style="166" customWidth="1"/>
    <col min="11269" max="11273" width="31" style="166" customWidth="1"/>
    <col min="11274" max="11274" width="8.81640625" style="166" customWidth="1"/>
    <col min="11275" max="11522" width="9.1796875" style="166"/>
    <col min="11523" max="11523" width="51.453125" style="166" customWidth="1"/>
    <col min="11524" max="11524" width="26.54296875" style="166" customWidth="1"/>
    <col min="11525" max="11529" width="31" style="166" customWidth="1"/>
    <col min="11530" max="11530" width="8.81640625" style="166" customWidth="1"/>
    <col min="11531" max="11778" width="9.1796875" style="166"/>
    <col min="11779" max="11779" width="51.453125" style="166" customWidth="1"/>
    <col min="11780" max="11780" width="26.54296875" style="166" customWidth="1"/>
    <col min="11781" max="11785" width="31" style="166" customWidth="1"/>
    <col min="11786" max="11786" width="8.81640625" style="166" customWidth="1"/>
    <col min="11787" max="12034" width="9.1796875" style="166"/>
    <col min="12035" max="12035" width="51.453125" style="166" customWidth="1"/>
    <col min="12036" max="12036" width="26.54296875" style="166" customWidth="1"/>
    <col min="12037" max="12041" width="31" style="166" customWidth="1"/>
    <col min="12042" max="12042" width="8.81640625" style="166" customWidth="1"/>
    <col min="12043" max="12290" width="9.1796875" style="166"/>
    <col min="12291" max="12291" width="51.453125" style="166" customWidth="1"/>
    <col min="12292" max="12292" width="26.54296875" style="166" customWidth="1"/>
    <col min="12293" max="12297" width="31" style="166" customWidth="1"/>
    <col min="12298" max="12298" width="8.81640625" style="166" customWidth="1"/>
    <col min="12299" max="12546" width="9.1796875" style="166"/>
    <col min="12547" max="12547" width="51.453125" style="166" customWidth="1"/>
    <col min="12548" max="12548" width="26.54296875" style="166" customWidth="1"/>
    <col min="12549" max="12553" width="31" style="166" customWidth="1"/>
    <col min="12554" max="12554" width="8.81640625" style="166" customWidth="1"/>
    <col min="12555" max="12802" width="9.1796875" style="166"/>
    <col min="12803" max="12803" width="51.453125" style="166" customWidth="1"/>
    <col min="12804" max="12804" width="26.54296875" style="166" customWidth="1"/>
    <col min="12805" max="12809" width="31" style="166" customWidth="1"/>
    <col min="12810" max="12810" width="8.81640625" style="166" customWidth="1"/>
    <col min="12811" max="13058" width="9.1796875" style="166"/>
    <col min="13059" max="13059" width="51.453125" style="166" customWidth="1"/>
    <col min="13060" max="13060" width="26.54296875" style="166" customWidth="1"/>
    <col min="13061" max="13065" width="31" style="166" customWidth="1"/>
    <col min="13066" max="13066" width="8.81640625" style="166" customWidth="1"/>
    <col min="13067" max="13314" width="9.1796875" style="166"/>
    <col min="13315" max="13315" width="51.453125" style="166" customWidth="1"/>
    <col min="13316" max="13316" width="26.54296875" style="166" customWidth="1"/>
    <col min="13317" max="13321" width="31" style="166" customWidth="1"/>
    <col min="13322" max="13322" width="8.81640625" style="166" customWidth="1"/>
    <col min="13323" max="13570" width="9.1796875" style="166"/>
    <col min="13571" max="13571" width="51.453125" style="166" customWidth="1"/>
    <col min="13572" max="13572" width="26.54296875" style="166" customWidth="1"/>
    <col min="13573" max="13577" width="31" style="166" customWidth="1"/>
    <col min="13578" max="13578" width="8.81640625" style="166" customWidth="1"/>
    <col min="13579" max="13826" width="9.1796875" style="166"/>
    <col min="13827" max="13827" width="51.453125" style="166" customWidth="1"/>
    <col min="13828" max="13828" width="26.54296875" style="166" customWidth="1"/>
    <col min="13829" max="13833" width="31" style="166" customWidth="1"/>
    <col min="13834" max="13834" width="8.81640625" style="166" customWidth="1"/>
    <col min="13835" max="14082" width="9.1796875" style="166"/>
    <col min="14083" max="14083" width="51.453125" style="166" customWidth="1"/>
    <col min="14084" max="14084" width="26.54296875" style="166" customWidth="1"/>
    <col min="14085" max="14089" width="31" style="166" customWidth="1"/>
    <col min="14090" max="14090" width="8.81640625" style="166" customWidth="1"/>
    <col min="14091" max="14338" width="9.1796875" style="166"/>
    <col min="14339" max="14339" width="51.453125" style="166" customWidth="1"/>
    <col min="14340" max="14340" width="26.54296875" style="166" customWidth="1"/>
    <col min="14341" max="14345" width="31" style="166" customWidth="1"/>
    <col min="14346" max="14346" width="8.81640625" style="166" customWidth="1"/>
    <col min="14347" max="14594" width="9.1796875" style="166"/>
    <col min="14595" max="14595" width="51.453125" style="166" customWidth="1"/>
    <col min="14596" max="14596" width="26.54296875" style="166" customWidth="1"/>
    <col min="14597" max="14601" width="31" style="166" customWidth="1"/>
    <col min="14602" max="14602" width="8.81640625" style="166" customWidth="1"/>
    <col min="14603" max="14850" width="9.1796875" style="166"/>
    <col min="14851" max="14851" width="51.453125" style="166" customWidth="1"/>
    <col min="14852" max="14852" width="26.54296875" style="166" customWidth="1"/>
    <col min="14853" max="14857" width="31" style="166" customWidth="1"/>
    <col min="14858" max="14858" width="8.81640625" style="166" customWidth="1"/>
    <col min="14859" max="15106" width="9.1796875" style="166"/>
    <col min="15107" max="15107" width="51.453125" style="166" customWidth="1"/>
    <col min="15108" max="15108" width="26.54296875" style="166" customWidth="1"/>
    <col min="15109" max="15113" width="31" style="166" customWidth="1"/>
    <col min="15114" max="15114" width="8.81640625" style="166" customWidth="1"/>
    <col min="15115" max="15362" width="9.1796875" style="166"/>
    <col min="15363" max="15363" width="51.453125" style="166" customWidth="1"/>
    <col min="15364" max="15364" width="26.54296875" style="166" customWidth="1"/>
    <col min="15365" max="15369" width="31" style="166" customWidth="1"/>
    <col min="15370" max="15370" width="8.81640625" style="166" customWidth="1"/>
    <col min="15371" max="15618" width="9.1796875" style="166"/>
    <col min="15619" max="15619" width="51.453125" style="166" customWidth="1"/>
    <col min="15620" max="15620" width="26.54296875" style="166" customWidth="1"/>
    <col min="15621" max="15625" width="31" style="166" customWidth="1"/>
    <col min="15626" max="15626" width="8.81640625" style="166" customWidth="1"/>
    <col min="15627" max="15874" width="9.1796875" style="166"/>
    <col min="15875" max="15875" width="51.453125" style="166" customWidth="1"/>
    <col min="15876" max="15876" width="26.54296875" style="166" customWidth="1"/>
    <col min="15877" max="15881" width="31" style="166" customWidth="1"/>
    <col min="15882" max="15882" width="8.81640625" style="166" customWidth="1"/>
    <col min="15883" max="16130" width="9.1796875" style="166"/>
    <col min="16131" max="16131" width="51.453125" style="166" customWidth="1"/>
    <col min="16132" max="16132" width="26.54296875" style="166" customWidth="1"/>
    <col min="16133" max="16137" width="31" style="166" customWidth="1"/>
    <col min="16138" max="16138" width="8.81640625" style="166" customWidth="1"/>
    <col min="16139" max="16384" width="9.1796875" style="166"/>
  </cols>
  <sheetData>
    <row r="1" spans="1:28" ht="26.5" customHeight="1" thickBot="1" x14ac:dyDescent="0.3">
      <c r="A1" s="1182" t="s">
        <v>428</v>
      </c>
      <c r="B1" s="1183"/>
      <c r="C1" s="1183"/>
      <c r="D1" s="1183"/>
      <c r="E1" s="1183"/>
      <c r="F1" s="1183"/>
      <c r="G1" s="1183"/>
      <c r="H1" s="1184"/>
      <c r="I1" s="291"/>
      <c r="J1" s="291"/>
      <c r="K1" s="203" t="str">
        <f>+TITELBLAD!C10</f>
        <v>elektriciteit</v>
      </c>
      <c r="L1" s="291"/>
      <c r="M1" s="291"/>
      <c r="N1" s="291"/>
      <c r="O1" s="291"/>
      <c r="P1" s="291"/>
      <c r="Q1" s="291"/>
      <c r="R1" s="291"/>
      <c r="S1" s="291"/>
      <c r="T1" s="291"/>
      <c r="U1" s="291"/>
      <c r="V1" s="291"/>
      <c r="W1" s="291"/>
      <c r="X1" s="291"/>
      <c r="Y1" s="291"/>
      <c r="Z1" s="291"/>
      <c r="AA1" s="291"/>
      <c r="AB1" s="291"/>
    </row>
    <row r="2" spans="1:28" x14ac:dyDescent="0.25">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row>
    <row r="3" spans="1:28" ht="13" x14ac:dyDescent="0.25">
      <c r="A3" s="291"/>
      <c r="B3" s="291"/>
      <c r="C3" s="884" t="s">
        <v>300</v>
      </c>
      <c r="D3" s="884" t="s">
        <v>301</v>
      </c>
      <c r="E3" s="291"/>
      <c r="F3" s="291"/>
      <c r="G3" s="291"/>
      <c r="H3" s="291"/>
      <c r="I3" s="291"/>
      <c r="J3" s="291"/>
      <c r="K3" s="291"/>
      <c r="L3" s="291"/>
      <c r="M3" s="291"/>
      <c r="N3" s="291"/>
      <c r="O3" s="291"/>
      <c r="P3" s="291"/>
      <c r="Q3" s="291"/>
      <c r="R3" s="291"/>
      <c r="S3" s="291"/>
      <c r="T3" s="291"/>
      <c r="U3" s="291"/>
      <c r="V3" s="291"/>
      <c r="W3" s="291"/>
      <c r="X3" s="291"/>
      <c r="Y3" s="291"/>
      <c r="Z3" s="291"/>
      <c r="AA3" s="291"/>
      <c r="AB3" s="291"/>
    </row>
    <row r="4" spans="1:28" ht="13" x14ac:dyDescent="0.25">
      <c r="A4" s="353" t="s">
        <v>435</v>
      </c>
      <c r="B4" s="895">
        <f>+TITELBLAD!E16</f>
        <v>2022</v>
      </c>
      <c r="C4" s="896">
        <f>-G63</f>
        <v>0</v>
      </c>
      <c r="D4" s="896">
        <f>-G117</f>
        <v>0</v>
      </c>
      <c r="E4" s="897"/>
      <c r="I4" s="291"/>
      <c r="J4" s="291"/>
      <c r="K4" s="291"/>
      <c r="L4" s="291"/>
      <c r="M4" s="291"/>
      <c r="N4" s="291"/>
      <c r="O4" s="291"/>
      <c r="P4" s="291"/>
      <c r="Q4" s="291"/>
      <c r="R4" s="291"/>
      <c r="S4" s="291"/>
      <c r="T4" s="291"/>
      <c r="U4" s="291"/>
      <c r="V4" s="291"/>
      <c r="W4" s="291"/>
      <c r="X4" s="291"/>
      <c r="Y4" s="291"/>
      <c r="Z4" s="291"/>
      <c r="AA4" s="291"/>
      <c r="AB4" s="291"/>
    </row>
    <row r="5" spans="1:28" x14ac:dyDescent="0.25">
      <c r="D5" s="897"/>
      <c r="E5" s="897"/>
      <c r="I5" s="291"/>
      <c r="J5" s="291"/>
      <c r="K5" s="291"/>
      <c r="L5" s="291"/>
      <c r="M5" s="291"/>
      <c r="N5" s="291"/>
      <c r="O5" s="291"/>
      <c r="P5" s="291"/>
      <c r="Q5" s="291"/>
      <c r="R5" s="291"/>
      <c r="S5" s="291"/>
      <c r="T5" s="291"/>
      <c r="U5" s="291"/>
      <c r="V5" s="291"/>
      <c r="W5" s="291"/>
      <c r="X5" s="291"/>
      <c r="Y5" s="291"/>
      <c r="Z5" s="291"/>
      <c r="AA5" s="291"/>
      <c r="AB5" s="291"/>
    </row>
    <row r="6" spans="1:28" x14ac:dyDescent="0.25">
      <c r="I6" s="291"/>
      <c r="J6" s="291"/>
      <c r="K6" s="291"/>
      <c r="L6" s="291"/>
      <c r="M6" s="291"/>
      <c r="N6" s="291"/>
      <c r="O6" s="291"/>
      <c r="P6" s="291"/>
      <c r="Q6" s="291"/>
      <c r="R6" s="291"/>
      <c r="S6" s="291"/>
      <c r="T6" s="291"/>
      <c r="U6" s="291"/>
      <c r="V6" s="291"/>
      <c r="W6" s="291"/>
      <c r="X6" s="291"/>
      <c r="Y6" s="291"/>
      <c r="Z6" s="291"/>
      <c r="AA6" s="291"/>
      <c r="AB6" s="291"/>
    </row>
    <row r="7" spans="1:28" x14ac:dyDescent="0.25">
      <c r="I7" s="291"/>
      <c r="J7" s="291"/>
      <c r="K7" s="291"/>
      <c r="L7" s="291"/>
      <c r="M7" s="291"/>
      <c r="N7" s="291"/>
      <c r="O7" s="291"/>
      <c r="P7" s="291"/>
      <c r="Q7" s="291"/>
      <c r="R7" s="291"/>
      <c r="S7" s="291"/>
      <c r="T7" s="291"/>
      <c r="U7" s="291"/>
      <c r="V7" s="291"/>
      <c r="W7" s="291"/>
      <c r="X7" s="291"/>
      <c r="Y7" s="291"/>
      <c r="Z7" s="291"/>
      <c r="AA7" s="291"/>
      <c r="AB7" s="291"/>
    </row>
    <row r="8" spans="1:28" ht="13" x14ac:dyDescent="0.25">
      <c r="A8" s="353" t="s">
        <v>262</v>
      </c>
      <c r="I8" s="291"/>
      <c r="J8" s="291"/>
      <c r="K8" s="291"/>
      <c r="L8" s="291"/>
      <c r="M8" s="291"/>
      <c r="N8" s="291"/>
      <c r="O8" s="291"/>
      <c r="P8" s="291"/>
      <c r="Q8" s="291"/>
      <c r="R8" s="291"/>
      <c r="S8" s="291"/>
      <c r="T8" s="291"/>
      <c r="U8" s="291"/>
      <c r="V8" s="291"/>
      <c r="W8" s="291"/>
      <c r="X8" s="291"/>
      <c r="Y8" s="291"/>
      <c r="Z8" s="291"/>
      <c r="AA8" s="291"/>
      <c r="AB8" s="291"/>
    </row>
    <row r="9" spans="1:28" ht="13" x14ac:dyDescent="0.25">
      <c r="A9" s="216" t="s">
        <v>263</v>
      </c>
      <c r="I9" s="291"/>
      <c r="J9" s="291"/>
      <c r="K9" s="291"/>
      <c r="L9" s="291"/>
      <c r="M9" s="291"/>
      <c r="N9" s="291"/>
      <c r="O9" s="291"/>
      <c r="P9" s="291"/>
      <c r="Q9" s="291"/>
      <c r="R9" s="291"/>
      <c r="S9" s="291"/>
      <c r="T9" s="291"/>
      <c r="U9" s="291"/>
      <c r="V9" s="291"/>
      <c r="W9" s="291"/>
      <c r="X9" s="291"/>
      <c r="Y9" s="291"/>
      <c r="Z9" s="291"/>
      <c r="AA9" s="291"/>
      <c r="AB9" s="291"/>
    </row>
    <row r="10" spans="1:28" ht="13" x14ac:dyDescent="0.25">
      <c r="A10" s="898" t="s">
        <v>264</v>
      </c>
      <c r="I10" s="291"/>
      <c r="J10" s="291"/>
      <c r="K10" s="291"/>
      <c r="L10" s="291"/>
      <c r="M10" s="291"/>
      <c r="N10" s="291"/>
      <c r="O10" s="291"/>
      <c r="P10" s="291"/>
      <c r="Q10" s="291"/>
      <c r="R10" s="291"/>
      <c r="S10" s="291"/>
      <c r="T10" s="291"/>
      <c r="U10" s="291"/>
      <c r="V10" s="291"/>
      <c r="W10" s="291"/>
      <c r="X10" s="291"/>
      <c r="Y10" s="291"/>
      <c r="Z10" s="291"/>
      <c r="AA10" s="291"/>
      <c r="AB10" s="291"/>
    </row>
    <row r="11" spans="1:28" ht="13" x14ac:dyDescent="0.25">
      <c r="A11" s="898" t="s">
        <v>265</v>
      </c>
      <c r="I11" s="291"/>
      <c r="J11" s="291"/>
      <c r="K11" s="291"/>
      <c r="L11" s="291"/>
      <c r="M11" s="291"/>
      <c r="N11" s="291"/>
      <c r="O11" s="291"/>
      <c r="P11" s="291"/>
      <c r="Q11" s="291"/>
      <c r="R11" s="291"/>
      <c r="S11" s="291"/>
      <c r="T11" s="291"/>
      <c r="U11" s="291"/>
      <c r="V11" s="291"/>
      <c r="W11" s="291"/>
      <c r="X11" s="291"/>
      <c r="Y11" s="291"/>
      <c r="Z11" s="291"/>
      <c r="AA11" s="291"/>
      <c r="AB11" s="291"/>
    </row>
    <row r="12" spans="1:28" x14ac:dyDescent="0.25">
      <c r="I12" s="291"/>
      <c r="J12" s="291"/>
      <c r="K12" s="291"/>
      <c r="L12" s="291"/>
      <c r="M12" s="291"/>
      <c r="N12" s="291"/>
      <c r="O12" s="291"/>
      <c r="P12" s="291"/>
      <c r="Q12" s="291"/>
      <c r="R12" s="291"/>
      <c r="S12" s="291"/>
      <c r="T12" s="291"/>
      <c r="U12" s="291"/>
      <c r="V12" s="291"/>
      <c r="W12" s="291"/>
      <c r="X12" s="291"/>
      <c r="Y12" s="291"/>
      <c r="Z12" s="291"/>
      <c r="AA12" s="291"/>
      <c r="AB12" s="291"/>
    </row>
    <row r="13" spans="1:28" ht="13" thickBot="1" x14ac:dyDescent="0.3"/>
    <row r="14" spans="1:28" ht="16" customHeight="1" thickBot="1" x14ac:dyDescent="0.3">
      <c r="A14" s="1189" t="str">
        <f>"BUDGET "&amp;B4</f>
        <v>BUDGET 2022</v>
      </c>
      <c r="B14" s="1190"/>
      <c r="C14" s="1190"/>
      <c r="D14" s="1190"/>
      <c r="E14" s="1190"/>
      <c r="F14" s="1190"/>
      <c r="G14" s="1190"/>
      <c r="H14" s="1190"/>
      <c r="I14" s="1191"/>
    </row>
    <row r="15" spans="1:28" ht="47.5" customHeight="1" x14ac:dyDescent="0.25">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historische indexatie einde boekjaar "&amp;B4</f>
        <v>Nettoboekwaarde meerwaarde op basis van historische indexatie einde boekjaar 2022</v>
      </c>
    </row>
    <row r="16" spans="1:28" ht="13.5" thickBot="1" x14ac:dyDescent="0.3">
      <c r="A16" s="902"/>
      <c r="B16" s="903"/>
      <c r="C16" s="904" t="s">
        <v>4</v>
      </c>
      <c r="D16" s="904" t="s">
        <v>8</v>
      </c>
      <c r="E16" s="904"/>
      <c r="F16" s="904" t="s">
        <v>4</v>
      </c>
      <c r="G16" s="904" t="s">
        <v>8</v>
      </c>
      <c r="H16" s="904" t="s">
        <v>8</v>
      </c>
      <c r="I16" s="905"/>
    </row>
    <row r="17" spans="1:9" x14ac:dyDescent="0.25">
      <c r="A17" s="906" t="s">
        <v>267</v>
      </c>
      <c r="B17" s="1186">
        <v>0.02</v>
      </c>
      <c r="C17" s="611">
        <v>0</v>
      </c>
      <c r="D17" s="611">
        <v>0</v>
      </c>
      <c r="E17" s="907">
        <f t="shared" ref="E17:E59" si="0">+C17+D17</f>
        <v>0</v>
      </c>
      <c r="F17" s="611">
        <v>0</v>
      </c>
      <c r="G17" s="611">
        <v>0</v>
      </c>
      <c r="H17" s="611">
        <v>0</v>
      </c>
      <c r="I17" s="908">
        <f>+SUM(E17:H17)</f>
        <v>0</v>
      </c>
    </row>
    <row r="18" spans="1:9" x14ac:dyDescent="0.25">
      <c r="A18" s="909" t="s">
        <v>268</v>
      </c>
      <c r="B18" s="1187"/>
      <c r="C18" s="612">
        <v>0</v>
      </c>
      <c r="D18" s="612">
        <v>0</v>
      </c>
      <c r="E18" s="910">
        <f t="shared" si="0"/>
        <v>0</v>
      </c>
      <c r="F18" s="612">
        <v>0</v>
      </c>
      <c r="G18" s="612">
        <v>0</v>
      </c>
      <c r="H18" s="612">
        <v>0</v>
      </c>
      <c r="I18" s="911">
        <f t="shared" ref="I18:I61" si="1">+SUM(E18:H18)</f>
        <v>0</v>
      </c>
    </row>
    <row r="19" spans="1:9" x14ac:dyDescent="0.25">
      <c r="A19" s="909" t="s">
        <v>269</v>
      </c>
      <c r="B19" s="1187"/>
      <c r="C19" s="612">
        <v>0</v>
      </c>
      <c r="D19" s="612">
        <v>0</v>
      </c>
      <c r="E19" s="910">
        <f t="shared" si="0"/>
        <v>0</v>
      </c>
      <c r="F19" s="612">
        <v>0</v>
      </c>
      <c r="G19" s="612">
        <v>0</v>
      </c>
      <c r="H19" s="612">
        <v>0</v>
      </c>
      <c r="I19" s="911">
        <f t="shared" si="1"/>
        <v>0</v>
      </c>
    </row>
    <row r="20" spans="1:9" x14ac:dyDescent="0.25">
      <c r="A20" s="909" t="s">
        <v>270</v>
      </c>
      <c r="B20" s="1187"/>
      <c r="C20" s="612">
        <v>0</v>
      </c>
      <c r="D20" s="612">
        <v>0</v>
      </c>
      <c r="E20" s="910">
        <f t="shared" si="0"/>
        <v>0</v>
      </c>
      <c r="F20" s="612">
        <v>0</v>
      </c>
      <c r="G20" s="612">
        <v>0</v>
      </c>
      <c r="H20" s="612">
        <v>0</v>
      </c>
      <c r="I20" s="911">
        <f t="shared" si="1"/>
        <v>0</v>
      </c>
    </row>
    <row r="21" spans="1:9" x14ac:dyDescent="0.25">
      <c r="A21" s="909" t="s">
        <v>383</v>
      </c>
      <c r="B21" s="1187"/>
      <c r="C21" s="612">
        <v>0</v>
      </c>
      <c r="D21" s="612">
        <v>0</v>
      </c>
      <c r="E21" s="910">
        <f t="shared" si="0"/>
        <v>0</v>
      </c>
      <c r="F21" s="612">
        <v>0</v>
      </c>
      <c r="G21" s="612">
        <v>0</v>
      </c>
      <c r="H21" s="612">
        <v>0</v>
      </c>
      <c r="I21" s="911">
        <f t="shared" si="1"/>
        <v>0</v>
      </c>
    </row>
    <row r="22" spans="1:9" x14ac:dyDescent="0.25">
      <c r="A22" s="909" t="s">
        <v>384</v>
      </c>
      <c r="B22" s="1187"/>
      <c r="C22" s="612">
        <v>0</v>
      </c>
      <c r="D22" s="612">
        <v>0</v>
      </c>
      <c r="E22" s="910">
        <f t="shared" si="0"/>
        <v>0</v>
      </c>
      <c r="F22" s="612">
        <v>0</v>
      </c>
      <c r="G22" s="612">
        <v>0</v>
      </c>
      <c r="H22" s="612">
        <v>0</v>
      </c>
      <c r="I22" s="911">
        <f t="shared" si="1"/>
        <v>0</v>
      </c>
    </row>
    <row r="23" spans="1:9" x14ac:dyDescent="0.25">
      <c r="A23" s="909" t="s">
        <v>271</v>
      </c>
      <c r="B23" s="1187"/>
      <c r="C23" s="612">
        <v>0</v>
      </c>
      <c r="D23" s="612">
        <v>0</v>
      </c>
      <c r="E23" s="910">
        <f t="shared" si="0"/>
        <v>0</v>
      </c>
      <c r="F23" s="612">
        <v>0</v>
      </c>
      <c r="G23" s="612">
        <v>0</v>
      </c>
      <c r="H23" s="612">
        <v>0</v>
      </c>
      <c r="I23" s="911">
        <f t="shared" si="1"/>
        <v>0</v>
      </c>
    </row>
    <row r="24" spans="1:9" x14ac:dyDescent="0.25">
      <c r="A24" s="909" t="s">
        <v>385</v>
      </c>
      <c r="B24" s="1187"/>
      <c r="C24" s="612">
        <v>0</v>
      </c>
      <c r="D24" s="612">
        <v>0</v>
      </c>
      <c r="E24" s="910">
        <f t="shared" si="0"/>
        <v>0</v>
      </c>
      <c r="F24" s="612">
        <v>0</v>
      </c>
      <c r="G24" s="612">
        <v>0</v>
      </c>
      <c r="H24" s="612">
        <v>0</v>
      </c>
      <c r="I24" s="911">
        <f t="shared" si="1"/>
        <v>0</v>
      </c>
    </row>
    <row r="25" spans="1:9" x14ac:dyDescent="0.25">
      <c r="A25" s="909" t="s">
        <v>272</v>
      </c>
      <c r="B25" s="1187"/>
      <c r="C25" s="612">
        <v>0</v>
      </c>
      <c r="D25" s="612">
        <v>0</v>
      </c>
      <c r="E25" s="910">
        <f t="shared" si="0"/>
        <v>0</v>
      </c>
      <c r="F25" s="612">
        <v>0</v>
      </c>
      <c r="G25" s="612">
        <v>0</v>
      </c>
      <c r="H25" s="612">
        <v>0</v>
      </c>
      <c r="I25" s="911">
        <f t="shared" si="1"/>
        <v>0</v>
      </c>
    </row>
    <row r="26" spans="1:9" x14ac:dyDescent="0.25">
      <c r="A26" s="909" t="s">
        <v>386</v>
      </c>
      <c r="B26" s="1187"/>
      <c r="C26" s="612">
        <v>0</v>
      </c>
      <c r="D26" s="612">
        <v>0</v>
      </c>
      <c r="E26" s="910">
        <f t="shared" si="0"/>
        <v>0</v>
      </c>
      <c r="F26" s="612">
        <v>0</v>
      </c>
      <c r="G26" s="612">
        <v>0</v>
      </c>
      <c r="H26" s="612">
        <v>0</v>
      </c>
      <c r="I26" s="911">
        <f t="shared" si="1"/>
        <v>0</v>
      </c>
    </row>
    <row r="27" spans="1:9" x14ac:dyDescent="0.25">
      <c r="A27" s="909" t="s">
        <v>387</v>
      </c>
      <c r="B27" s="1187"/>
      <c r="C27" s="612">
        <v>0</v>
      </c>
      <c r="D27" s="612">
        <v>0</v>
      </c>
      <c r="E27" s="910">
        <f t="shared" si="0"/>
        <v>0</v>
      </c>
      <c r="F27" s="612">
        <v>0</v>
      </c>
      <c r="G27" s="612">
        <v>0</v>
      </c>
      <c r="H27" s="612">
        <v>0</v>
      </c>
      <c r="I27" s="911">
        <f t="shared" si="1"/>
        <v>0</v>
      </c>
    </row>
    <row r="28" spans="1:9" x14ac:dyDescent="0.25">
      <c r="A28" s="909" t="s">
        <v>273</v>
      </c>
      <c r="B28" s="1187"/>
      <c r="C28" s="612">
        <v>0</v>
      </c>
      <c r="D28" s="612">
        <v>0</v>
      </c>
      <c r="E28" s="910">
        <f t="shared" si="0"/>
        <v>0</v>
      </c>
      <c r="F28" s="612">
        <v>0</v>
      </c>
      <c r="G28" s="612">
        <v>0</v>
      </c>
      <c r="H28" s="612">
        <v>0</v>
      </c>
      <c r="I28" s="911">
        <f t="shared" si="1"/>
        <v>0</v>
      </c>
    </row>
    <row r="29" spans="1:9" x14ac:dyDescent="0.25">
      <c r="A29" s="909" t="s">
        <v>388</v>
      </c>
      <c r="B29" s="1187"/>
      <c r="C29" s="612">
        <v>0</v>
      </c>
      <c r="D29" s="612">
        <v>0</v>
      </c>
      <c r="E29" s="910">
        <f t="shared" si="0"/>
        <v>0</v>
      </c>
      <c r="F29" s="612">
        <v>0</v>
      </c>
      <c r="G29" s="612">
        <v>0</v>
      </c>
      <c r="H29" s="612">
        <v>0</v>
      </c>
      <c r="I29" s="911">
        <f t="shared" si="1"/>
        <v>0</v>
      </c>
    </row>
    <row r="30" spans="1:9" x14ac:dyDescent="0.25">
      <c r="A30" s="909" t="s">
        <v>274</v>
      </c>
      <c r="B30" s="1187"/>
      <c r="C30" s="612">
        <v>0</v>
      </c>
      <c r="D30" s="612">
        <v>0</v>
      </c>
      <c r="E30" s="910">
        <f t="shared" si="0"/>
        <v>0</v>
      </c>
      <c r="F30" s="612">
        <v>0</v>
      </c>
      <c r="G30" s="612">
        <v>0</v>
      </c>
      <c r="H30" s="612">
        <v>0</v>
      </c>
      <c r="I30" s="911">
        <f t="shared" si="1"/>
        <v>0</v>
      </c>
    </row>
    <row r="31" spans="1:9" x14ac:dyDescent="0.25">
      <c r="A31" s="909" t="s">
        <v>389</v>
      </c>
      <c r="B31" s="1187"/>
      <c r="C31" s="612">
        <v>0</v>
      </c>
      <c r="D31" s="612">
        <v>0</v>
      </c>
      <c r="E31" s="910">
        <f t="shared" si="0"/>
        <v>0</v>
      </c>
      <c r="F31" s="612">
        <v>0</v>
      </c>
      <c r="G31" s="612">
        <v>0</v>
      </c>
      <c r="H31" s="612">
        <v>0</v>
      </c>
      <c r="I31" s="911">
        <f t="shared" si="1"/>
        <v>0</v>
      </c>
    </row>
    <row r="32" spans="1:9" x14ac:dyDescent="0.25">
      <c r="A32" s="909" t="s">
        <v>390</v>
      </c>
      <c r="B32" s="1187"/>
      <c r="C32" s="612">
        <v>0</v>
      </c>
      <c r="D32" s="612">
        <v>0</v>
      </c>
      <c r="E32" s="910">
        <f t="shared" si="0"/>
        <v>0</v>
      </c>
      <c r="F32" s="612">
        <v>0</v>
      </c>
      <c r="G32" s="612">
        <v>0</v>
      </c>
      <c r="H32" s="612">
        <v>0</v>
      </c>
      <c r="I32" s="911">
        <f t="shared" si="1"/>
        <v>0</v>
      </c>
    </row>
    <row r="33" spans="1:9" x14ac:dyDescent="0.25">
      <c r="A33" s="909" t="s">
        <v>275</v>
      </c>
      <c r="B33" s="1187"/>
      <c r="C33" s="612">
        <v>0</v>
      </c>
      <c r="D33" s="612">
        <v>0</v>
      </c>
      <c r="E33" s="910">
        <f t="shared" si="0"/>
        <v>0</v>
      </c>
      <c r="F33" s="612">
        <v>0</v>
      </c>
      <c r="G33" s="612">
        <v>0</v>
      </c>
      <c r="H33" s="612">
        <v>0</v>
      </c>
      <c r="I33" s="911">
        <f t="shared" si="1"/>
        <v>0</v>
      </c>
    </row>
    <row r="34" spans="1:9" x14ac:dyDescent="0.25">
      <c r="A34" s="909" t="s">
        <v>391</v>
      </c>
      <c r="B34" s="1187"/>
      <c r="C34" s="612">
        <v>0</v>
      </c>
      <c r="D34" s="612">
        <v>0</v>
      </c>
      <c r="E34" s="910">
        <f t="shared" si="0"/>
        <v>0</v>
      </c>
      <c r="F34" s="612">
        <v>0</v>
      </c>
      <c r="G34" s="612">
        <v>0</v>
      </c>
      <c r="H34" s="612">
        <v>0</v>
      </c>
      <c r="I34" s="911">
        <f t="shared" si="1"/>
        <v>0</v>
      </c>
    </row>
    <row r="35" spans="1:9" x14ac:dyDescent="0.25">
      <c r="A35" s="909" t="s">
        <v>276</v>
      </c>
      <c r="B35" s="1187"/>
      <c r="C35" s="612">
        <v>0</v>
      </c>
      <c r="D35" s="612">
        <v>0</v>
      </c>
      <c r="E35" s="910">
        <f>+C35+D35</f>
        <v>0</v>
      </c>
      <c r="F35" s="612">
        <v>0</v>
      </c>
      <c r="G35" s="612">
        <v>0</v>
      </c>
      <c r="H35" s="612">
        <v>0</v>
      </c>
      <c r="I35" s="911">
        <f t="shared" si="1"/>
        <v>0</v>
      </c>
    </row>
    <row r="36" spans="1:9" x14ac:dyDescent="0.25">
      <c r="A36" s="909" t="s">
        <v>277</v>
      </c>
      <c r="B36" s="1187"/>
      <c r="C36" s="612">
        <v>0</v>
      </c>
      <c r="D36" s="612">
        <v>0</v>
      </c>
      <c r="E36" s="910">
        <f t="shared" si="0"/>
        <v>0</v>
      </c>
      <c r="F36" s="612">
        <v>0</v>
      </c>
      <c r="G36" s="612">
        <v>0</v>
      </c>
      <c r="H36" s="612">
        <v>0</v>
      </c>
      <c r="I36" s="911">
        <f t="shared" si="1"/>
        <v>0</v>
      </c>
    </row>
    <row r="37" spans="1:9" x14ac:dyDescent="0.25">
      <c r="A37" s="909" t="s">
        <v>392</v>
      </c>
      <c r="B37" s="1187"/>
      <c r="C37" s="612">
        <v>0</v>
      </c>
      <c r="D37" s="612">
        <v>0</v>
      </c>
      <c r="E37" s="910">
        <f t="shared" si="0"/>
        <v>0</v>
      </c>
      <c r="F37" s="612">
        <v>0</v>
      </c>
      <c r="G37" s="612">
        <v>0</v>
      </c>
      <c r="H37" s="612">
        <v>0</v>
      </c>
      <c r="I37" s="911">
        <f t="shared" si="1"/>
        <v>0</v>
      </c>
    </row>
    <row r="38" spans="1:9" x14ac:dyDescent="0.25">
      <c r="A38" s="909" t="s">
        <v>393</v>
      </c>
      <c r="B38" s="1187"/>
      <c r="C38" s="612">
        <v>0</v>
      </c>
      <c r="D38" s="612">
        <v>0</v>
      </c>
      <c r="E38" s="910">
        <f t="shared" si="0"/>
        <v>0</v>
      </c>
      <c r="F38" s="612">
        <v>0</v>
      </c>
      <c r="G38" s="612">
        <v>0</v>
      </c>
      <c r="H38" s="612">
        <v>0</v>
      </c>
      <c r="I38" s="911">
        <f t="shared" si="1"/>
        <v>0</v>
      </c>
    </row>
    <row r="39" spans="1:9" x14ac:dyDescent="0.25">
      <c r="A39" s="909" t="s">
        <v>278</v>
      </c>
      <c r="B39" s="1187"/>
      <c r="C39" s="612">
        <v>0</v>
      </c>
      <c r="D39" s="612">
        <v>0</v>
      </c>
      <c r="E39" s="910">
        <f t="shared" si="0"/>
        <v>0</v>
      </c>
      <c r="F39" s="612">
        <v>0</v>
      </c>
      <c r="G39" s="612">
        <v>0</v>
      </c>
      <c r="H39" s="612">
        <v>0</v>
      </c>
      <c r="I39" s="911">
        <f t="shared" si="1"/>
        <v>0</v>
      </c>
    </row>
    <row r="40" spans="1:9" x14ac:dyDescent="0.25">
      <c r="A40" s="909" t="s">
        <v>394</v>
      </c>
      <c r="B40" s="1187"/>
      <c r="C40" s="612">
        <v>0</v>
      </c>
      <c r="D40" s="612">
        <v>0</v>
      </c>
      <c r="E40" s="910">
        <f t="shared" si="0"/>
        <v>0</v>
      </c>
      <c r="F40" s="612">
        <v>0</v>
      </c>
      <c r="G40" s="612">
        <v>0</v>
      </c>
      <c r="H40" s="612">
        <v>0</v>
      </c>
      <c r="I40" s="911">
        <f t="shared" si="1"/>
        <v>0</v>
      </c>
    </row>
    <row r="41" spans="1:9" x14ac:dyDescent="0.25">
      <c r="A41" s="909" t="s">
        <v>279</v>
      </c>
      <c r="B41" s="1187"/>
      <c r="C41" s="612">
        <v>0</v>
      </c>
      <c r="D41" s="612">
        <v>0</v>
      </c>
      <c r="E41" s="910">
        <f t="shared" si="0"/>
        <v>0</v>
      </c>
      <c r="F41" s="612">
        <v>0</v>
      </c>
      <c r="G41" s="612">
        <v>0</v>
      </c>
      <c r="H41" s="612">
        <v>0</v>
      </c>
      <c r="I41" s="911">
        <f t="shared" si="1"/>
        <v>0</v>
      </c>
    </row>
    <row r="42" spans="1:9" x14ac:dyDescent="0.25">
      <c r="A42" s="909" t="s">
        <v>395</v>
      </c>
      <c r="B42" s="1187"/>
      <c r="C42" s="612">
        <v>0</v>
      </c>
      <c r="D42" s="612">
        <v>0</v>
      </c>
      <c r="E42" s="910">
        <f t="shared" si="0"/>
        <v>0</v>
      </c>
      <c r="F42" s="612">
        <v>0</v>
      </c>
      <c r="G42" s="612">
        <v>0</v>
      </c>
      <c r="H42" s="612">
        <v>0</v>
      </c>
      <c r="I42" s="911">
        <f t="shared" si="1"/>
        <v>0</v>
      </c>
    </row>
    <row r="43" spans="1:9" x14ac:dyDescent="0.25">
      <c r="A43" s="909" t="s">
        <v>396</v>
      </c>
      <c r="B43" s="1187"/>
      <c r="C43" s="612">
        <v>0</v>
      </c>
      <c r="D43" s="612">
        <v>0</v>
      </c>
      <c r="E43" s="910">
        <f t="shared" si="0"/>
        <v>0</v>
      </c>
      <c r="F43" s="612">
        <v>0</v>
      </c>
      <c r="G43" s="612">
        <v>0</v>
      </c>
      <c r="H43" s="612">
        <v>0</v>
      </c>
      <c r="I43" s="911">
        <f t="shared" si="1"/>
        <v>0</v>
      </c>
    </row>
    <row r="44" spans="1:9" x14ac:dyDescent="0.25">
      <c r="A44" s="909" t="s">
        <v>280</v>
      </c>
      <c r="B44" s="1187"/>
      <c r="C44" s="612">
        <v>0</v>
      </c>
      <c r="D44" s="612">
        <v>0</v>
      </c>
      <c r="E44" s="910">
        <f t="shared" si="0"/>
        <v>0</v>
      </c>
      <c r="F44" s="612">
        <v>0</v>
      </c>
      <c r="G44" s="612">
        <v>0</v>
      </c>
      <c r="H44" s="612">
        <v>0</v>
      </c>
      <c r="I44" s="911">
        <f t="shared" si="1"/>
        <v>0</v>
      </c>
    </row>
    <row r="45" spans="1:9" x14ac:dyDescent="0.25">
      <c r="A45" s="909" t="s">
        <v>397</v>
      </c>
      <c r="B45" s="1187"/>
      <c r="C45" s="612">
        <v>0</v>
      </c>
      <c r="D45" s="612">
        <v>0</v>
      </c>
      <c r="E45" s="910">
        <f t="shared" si="0"/>
        <v>0</v>
      </c>
      <c r="F45" s="612">
        <v>0</v>
      </c>
      <c r="G45" s="612">
        <v>0</v>
      </c>
      <c r="H45" s="612">
        <v>0</v>
      </c>
      <c r="I45" s="911">
        <f t="shared" si="1"/>
        <v>0</v>
      </c>
    </row>
    <row r="46" spans="1:9" x14ac:dyDescent="0.25">
      <c r="A46" s="909" t="s">
        <v>281</v>
      </c>
      <c r="B46" s="1187"/>
      <c r="C46" s="612">
        <v>0</v>
      </c>
      <c r="D46" s="612">
        <v>0</v>
      </c>
      <c r="E46" s="910">
        <f t="shared" si="0"/>
        <v>0</v>
      </c>
      <c r="F46" s="612">
        <v>0</v>
      </c>
      <c r="G46" s="612">
        <v>0</v>
      </c>
      <c r="H46" s="612">
        <v>0</v>
      </c>
      <c r="I46" s="911">
        <f t="shared" si="1"/>
        <v>0</v>
      </c>
    </row>
    <row r="47" spans="1:9" x14ac:dyDescent="0.25">
      <c r="A47" s="909" t="s">
        <v>282</v>
      </c>
      <c r="B47" s="1187"/>
      <c r="C47" s="612">
        <v>0</v>
      </c>
      <c r="D47" s="612">
        <v>0</v>
      </c>
      <c r="E47" s="910">
        <f t="shared" si="0"/>
        <v>0</v>
      </c>
      <c r="F47" s="612">
        <v>0</v>
      </c>
      <c r="G47" s="612">
        <v>0</v>
      </c>
      <c r="H47" s="612">
        <v>0</v>
      </c>
      <c r="I47" s="911">
        <f t="shared" si="1"/>
        <v>0</v>
      </c>
    </row>
    <row r="48" spans="1:9" x14ac:dyDescent="0.25">
      <c r="A48" s="909" t="s">
        <v>283</v>
      </c>
      <c r="B48" s="1187"/>
      <c r="C48" s="612">
        <v>0</v>
      </c>
      <c r="D48" s="612">
        <v>0</v>
      </c>
      <c r="E48" s="910">
        <f t="shared" si="0"/>
        <v>0</v>
      </c>
      <c r="F48" s="612">
        <v>0</v>
      </c>
      <c r="G48" s="612">
        <v>0</v>
      </c>
      <c r="H48" s="612">
        <v>0</v>
      </c>
      <c r="I48" s="911">
        <f t="shared" si="1"/>
        <v>0</v>
      </c>
    </row>
    <row r="49" spans="1:9" x14ac:dyDescent="0.25">
      <c r="A49" s="909" t="s">
        <v>284</v>
      </c>
      <c r="B49" s="1187"/>
      <c r="C49" s="612">
        <v>0</v>
      </c>
      <c r="D49" s="612">
        <v>0</v>
      </c>
      <c r="E49" s="910">
        <f t="shared" si="0"/>
        <v>0</v>
      </c>
      <c r="F49" s="612">
        <v>0</v>
      </c>
      <c r="G49" s="612">
        <v>0</v>
      </c>
      <c r="H49" s="612">
        <v>0</v>
      </c>
      <c r="I49" s="911">
        <f t="shared" si="1"/>
        <v>0</v>
      </c>
    </row>
    <row r="50" spans="1:9" x14ac:dyDescent="0.25">
      <c r="A50" s="909" t="s">
        <v>285</v>
      </c>
      <c r="B50" s="1187"/>
      <c r="C50" s="612">
        <v>0</v>
      </c>
      <c r="D50" s="612">
        <v>0</v>
      </c>
      <c r="E50" s="910">
        <f t="shared" si="0"/>
        <v>0</v>
      </c>
      <c r="F50" s="612">
        <v>0</v>
      </c>
      <c r="G50" s="612">
        <v>0</v>
      </c>
      <c r="H50" s="612">
        <v>0</v>
      </c>
      <c r="I50" s="911">
        <f t="shared" si="1"/>
        <v>0</v>
      </c>
    </row>
    <row r="51" spans="1:9" x14ac:dyDescent="0.25">
      <c r="A51" s="909" t="s">
        <v>286</v>
      </c>
      <c r="B51" s="1187"/>
      <c r="C51" s="612">
        <v>0</v>
      </c>
      <c r="D51" s="612">
        <v>0</v>
      </c>
      <c r="E51" s="910">
        <f t="shared" si="0"/>
        <v>0</v>
      </c>
      <c r="F51" s="612">
        <v>0</v>
      </c>
      <c r="G51" s="612">
        <v>0</v>
      </c>
      <c r="H51" s="612">
        <v>0</v>
      </c>
      <c r="I51" s="911">
        <f t="shared" si="1"/>
        <v>0</v>
      </c>
    </row>
    <row r="52" spans="1:9" x14ac:dyDescent="0.25">
      <c r="A52" s="909" t="s">
        <v>287</v>
      </c>
      <c r="B52" s="1187"/>
      <c r="C52" s="612">
        <v>0</v>
      </c>
      <c r="D52" s="612">
        <v>0</v>
      </c>
      <c r="E52" s="910">
        <f t="shared" si="0"/>
        <v>0</v>
      </c>
      <c r="F52" s="612">
        <v>0</v>
      </c>
      <c r="G52" s="612">
        <v>0</v>
      </c>
      <c r="H52" s="612">
        <v>0</v>
      </c>
      <c r="I52" s="911">
        <f t="shared" si="1"/>
        <v>0</v>
      </c>
    </row>
    <row r="53" spans="1:9" x14ac:dyDescent="0.25">
      <c r="A53" s="909" t="s">
        <v>298</v>
      </c>
      <c r="B53" s="1187"/>
      <c r="C53" s="612">
        <v>0</v>
      </c>
      <c r="D53" s="612">
        <v>0</v>
      </c>
      <c r="E53" s="910">
        <f t="shared" ref="E53" si="2">+C53+D53</f>
        <v>0</v>
      </c>
      <c r="F53" s="612">
        <v>0</v>
      </c>
      <c r="G53" s="612">
        <v>0</v>
      </c>
      <c r="H53" s="612">
        <v>0</v>
      </c>
      <c r="I53" s="911">
        <f t="shared" ref="I53" si="3">+SUM(E53:H53)</f>
        <v>0</v>
      </c>
    </row>
    <row r="54" spans="1:9" x14ac:dyDescent="0.25">
      <c r="A54" s="909" t="s">
        <v>288</v>
      </c>
      <c r="B54" s="1187"/>
      <c r="C54" s="612">
        <v>0</v>
      </c>
      <c r="D54" s="612">
        <v>0</v>
      </c>
      <c r="E54" s="910">
        <f t="shared" si="0"/>
        <v>0</v>
      </c>
      <c r="F54" s="612">
        <v>0</v>
      </c>
      <c r="G54" s="612">
        <v>0</v>
      </c>
      <c r="H54" s="612">
        <v>0</v>
      </c>
      <c r="I54" s="911">
        <f t="shared" si="1"/>
        <v>0</v>
      </c>
    </row>
    <row r="55" spans="1:9" x14ac:dyDescent="0.25">
      <c r="A55" s="909" t="s">
        <v>289</v>
      </c>
      <c r="B55" s="1187"/>
      <c r="C55" s="612">
        <v>0</v>
      </c>
      <c r="D55" s="612">
        <v>0</v>
      </c>
      <c r="E55" s="910">
        <f t="shared" si="0"/>
        <v>0</v>
      </c>
      <c r="F55" s="612">
        <v>0</v>
      </c>
      <c r="G55" s="612">
        <v>0</v>
      </c>
      <c r="H55" s="612">
        <v>0</v>
      </c>
      <c r="I55" s="911">
        <f t="shared" si="1"/>
        <v>0</v>
      </c>
    </row>
    <row r="56" spans="1:9" x14ac:dyDescent="0.25">
      <c r="A56" s="909" t="s">
        <v>290</v>
      </c>
      <c r="B56" s="1187"/>
      <c r="C56" s="612">
        <v>0</v>
      </c>
      <c r="D56" s="612">
        <v>0</v>
      </c>
      <c r="E56" s="910">
        <f t="shared" si="0"/>
        <v>0</v>
      </c>
      <c r="F56" s="612">
        <v>0</v>
      </c>
      <c r="G56" s="612">
        <v>0</v>
      </c>
      <c r="H56" s="612">
        <v>0</v>
      </c>
      <c r="I56" s="911">
        <f t="shared" si="1"/>
        <v>0</v>
      </c>
    </row>
    <row r="57" spans="1:9" x14ac:dyDescent="0.25">
      <c r="A57" s="909" t="s">
        <v>291</v>
      </c>
      <c r="B57" s="1187"/>
      <c r="C57" s="612">
        <v>0</v>
      </c>
      <c r="D57" s="612">
        <v>0</v>
      </c>
      <c r="E57" s="910">
        <f t="shared" si="0"/>
        <v>0</v>
      </c>
      <c r="F57" s="612">
        <v>0</v>
      </c>
      <c r="G57" s="612">
        <v>0</v>
      </c>
      <c r="H57" s="612">
        <v>0</v>
      </c>
      <c r="I57" s="911">
        <f t="shared" si="1"/>
        <v>0</v>
      </c>
    </row>
    <row r="58" spans="1:9" x14ac:dyDescent="0.25">
      <c r="A58" s="909" t="s">
        <v>292</v>
      </c>
      <c r="B58" s="1187"/>
      <c r="C58" s="612">
        <v>0</v>
      </c>
      <c r="D58" s="612">
        <v>0</v>
      </c>
      <c r="E58" s="910">
        <f t="shared" si="0"/>
        <v>0</v>
      </c>
      <c r="F58" s="612">
        <v>0</v>
      </c>
      <c r="G58" s="612">
        <v>0</v>
      </c>
      <c r="H58" s="612">
        <v>0</v>
      </c>
      <c r="I58" s="911">
        <f t="shared" si="1"/>
        <v>0</v>
      </c>
    </row>
    <row r="59" spans="1:9" x14ac:dyDescent="0.25">
      <c r="A59" s="909" t="s">
        <v>293</v>
      </c>
      <c r="B59" s="1187"/>
      <c r="C59" s="613">
        <v>0</v>
      </c>
      <c r="D59" s="612">
        <v>0</v>
      </c>
      <c r="E59" s="910">
        <f t="shared" si="0"/>
        <v>0</v>
      </c>
      <c r="F59" s="612">
        <v>0</v>
      </c>
      <c r="G59" s="612">
        <v>0</v>
      </c>
      <c r="H59" s="612">
        <v>0</v>
      </c>
      <c r="I59" s="911">
        <f t="shared" si="1"/>
        <v>0</v>
      </c>
    </row>
    <row r="60" spans="1:9" x14ac:dyDescent="0.25">
      <c r="A60" s="909" t="s">
        <v>294</v>
      </c>
      <c r="B60" s="1187"/>
      <c r="C60" s="612">
        <v>0</v>
      </c>
      <c r="D60" s="612">
        <v>0</v>
      </c>
      <c r="E60" s="910">
        <f t="shared" ref="E60" si="4">+C60+D60</f>
        <v>0</v>
      </c>
      <c r="F60" s="612">
        <v>0</v>
      </c>
      <c r="G60" s="612">
        <v>0</v>
      </c>
      <c r="H60" s="612">
        <v>0</v>
      </c>
      <c r="I60" s="911">
        <f t="shared" ref="I60" si="5">+SUM(E60:H60)</f>
        <v>0</v>
      </c>
    </row>
    <row r="61" spans="1:9" ht="13" thickBot="1" x14ac:dyDescent="0.3">
      <c r="A61" s="912" t="s">
        <v>295</v>
      </c>
      <c r="B61" s="1188"/>
      <c r="C61" s="614">
        <v>0</v>
      </c>
      <c r="D61" s="614">
        <v>0</v>
      </c>
      <c r="E61" s="913">
        <f>+C61+D61</f>
        <v>0</v>
      </c>
      <c r="F61" s="614">
        <v>0</v>
      </c>
      <c r="G61" s="614">
        <v>0</v>
      </c>
      <c r="H61" s="614">
        <v>0</v>
      </c>
      <c r="I61" s="914">
        <f t="shared" si="1"/>
        <v>0</v>
      </c>
    </row>
    <row r="62" spans="1:9" ht="13" x14ac:dyDescent="0.25">
      <c r="A62" s="915"/>
      <c r="B62" s="916"/>
      <c r="C62" s="917"/>
      <c r="D62" s="917"/>
      <c r="E62" s="917"/>
      <c r="F62" s="917"/>
      <c r="G62" s="917"/>
      <c r="H62" s="917"/>
      <c r="I62" s="917"/>
    </row>
    <row r="63" spans="1:9" ht="13" x14ac:dyDescent="0.25">
      <c r="A63" s="915" t="s">
        <v>296</v>
      </c>
      <c r="B63" s="916"/>
      <c r="C63" s="918">
        <f t="shared" ref="C63:I63" si="6">SUM(C17:C61)</f>
        <v>0</v>
      </c>
      <c r="D63" s="918">
        <f t="shared" si="6"/>
        <v>0</v>
      </c>
      <c r="E63" s="918">
        <f t="shared" si="6"/>
        <v>0</v>
      </c>
      <c r="F63" s="918">
        <f t="shared" ref="F63" si="7">SUM(F17:F61)</f>
        <v>0</v>
      </c>
      <c r="G63" s="918">
        <f t="shared" si="6"/>
        <v>0</v>
      </c>
      <c r="H63" s="918">
        <f t="shared" si="6"/>
        <v>0</v>
      </c>
      <c r="I63" s="918">
        <f t="shared" si="6"/>
        <v>0</v>
      </c>
    </row>
    <row r="64" spans="1:9" ht="13.5" thickBot="1" x14ac:dyDescent="0.3">
      <c r="A64" s="919"/>
      <c r="B64" s="920"/>
      <c r="C64" s="921"/>
      <c r="D64" s="921"/>
      <c r="E64" s="921"/>
      <c r="F64" s="921"/>
      <c r="G64" s="921"/>
      <c r="H64" s="921"/>
      <c r="I64" s="922"/>
    </row>
    <row r="65" spans="1:9" s="924" customFormat="1" ht="12" x14ac:dyDescent="0.25">
      <c r="A65" s="923"/>
      <c r="B65" s="923"/>
    </row>
    <row r="66" spans="1:9" s="924" customFormat="1" ht="12" x14ac:dyDescent="0.25"/>
    <row r="67" spans="1:9" ht="13" thickBot="1" x14ac:dyDescent="0.3"/>
    <row r="68" spans="1:9" ht="16" customHeight="1" thickBot="1" x14ac:dyDescent="0.3">
      <c r="A68" s="1189" t="str">
        <f>"REALITEIT "&amp;B4</f>
        <v>REALITEIT 2022</v>
      </c>
      <c r="B68" s="1190"/>
      <c r="C68" s="1190"/>
      <c r="D68" s="1190"/>
      <c r="E68" s="1190"/>
      <c r="F68" s="1190"/>
      <c r="G68" s="1190"/>
      <c r="H68" s="1190"/>
      <c r="I68" s="1191"/>
    </row>
    <row r="69" spans="1:9" ht="47.5" customHeight="1" x14ac:dyDescent="0.25">
      <c r="A69" s="899" t="s">
        <v>266</v>
      </c>
      <c r="B69" s="900" t="s">
        <v>297</v>
      </c>
      <c r="C69" s="901" t="str">
        <f>"Oorspronkelijke meerwaarde op basis van historische indexatie voor activa einde boekjaar "&amp;B4-1</f>
        <v>Oorspronkelijke meerwaarde op basis van historische indexatie voor activa einde boekjaar 2021</v>
      </c>
      <c r="D69" s="901" t="str">
        <f>"Gecumuleerde afschrijvingen activa einde boekjaar "&amp; B4-1</f>
        <v>Gecumuleerde afschrijvingen activa einde boekjaar 2021</v>
      </c>
      <c r="E69" s="901" t="str">
        <f>"Nettoboekwaarde meerwaarde op basis van historische indexatie einde boekjaar "&amp; B4-1</f>
        <v>Nettoboekwaarde meerwaarde op basis van historische indexatie einde boekjaar 2021</v>
      </c>
      <c r="F69" s="901" t="str">
        <f>"Transfers boekjaar "&amp;B4</f>
        <v>Transfers boekjaar 2022</v>
      </c>
      <c r="G69" s="901" t="str">
        <f>"Afschrijvingen boekjaar "&amp;B4</f>
        <v>Afschrijvingen boekjaar 2022</v>
      </c>
      <c r="H69" s="901" t="str">
        <f>"Desinvesteringen boekjaar "&amp;B4&amp;" (n.a.v. verkoop of structuurwijziging)"</f>
        <v>Desinvesteringen boekjaar 2022 (n.a.v. verkoop of structuurwijziging)</v>
      </c>
      <c r="I69" s="901" t="str">
        <f>"Nettoboekwaarde meerwaarde op basis van historische indexatie einde boekjaar "&amp;B4</f>
        <v>Nettoboekwaarde meerwaarde op basis van historische indexatie einde boekjaar 2022</v>
      </c>
    </row>
    <row r="70" spans="1:9" ht="13.5" thickBot="1" x14ac:dyDescent="0.3">
      <c r="A70" s="902"/>
      <c r="B70" s="903"/>
      <c r="C70" s="904" t="s">
        <v>4</v>
      </c>
      <c r="D70" s="904" t="s">
        <v>8</v>
      </c>
      <c r="E70" s="904"/>
      <c r="F70" s="904" t="s">
        <v>4</v>
      </c>
      <c r="G70" s="904" t="s">
        <v>8</v>
      </c>
      <c r="H70" s="904" t="s">
        <v>8</v>
      </c>
      <c r="I70" s="905"/>
    </row>
    <row r="71" spans="1:9" x14ac:dyDescent="0.25">
      <c r="A71" s="906" t="s">
        <v>267</v>
      </c>
      <c r="B71" s="1186">
        <v>0.02</v>
      </c>
      <c r="C71" s="611">
        <v>0</v>
      </c>
      <c r="D71" s="611">
        <v>0</v>
      </c>
      <c r="E71" s="907">
        <f t="shared" ref="E71:E88" si="8">+C71+D71</f>
        <v>0</v>
      </c>
      <c r="F71" s="611">
        <v>0</v>
      </c>
      <c r="G71" s="611">
        <v>0</v>
      </c>
      <c r="H71" s="611">
        <v>0</v>
      </c>
      <c r="I71" s="908">
        <f>+SUM(E71:H71)</f>
        <v>0</v>
      </c>
    </row>
    <row r="72" spans="1:9" x14ac:dyDescent="0.25">
      <c r="A72" s="909" t="s">
        <v>268</v>
      </c>
      <c r="B72" s="1187"/>
      <c r="C72" s="612">
        <v>0</v>
      </c>
      <c r="D72" s="612">
        <v>0</v>
      </c>
      <c r="E72" s="910">
        <f t="shared" si="8"/>
        <v>0</v>
      </c>
      <c r="F72" s="612">
        <v>0</v>
      </c>
      <c r="G72" s="612">
        <v>0</v>
      </c>
      <c r="H72" s="612">
        <v>0</v>
      </c>
      <c r="I72" s="911">
        <f t="shared" ref="I72:I115" si="9">+SUM(E72:H72)</f>
        <v>0</v>
      </c>
    </row>
    <row r="73" spans="1:9" x14ac:dyDescent="0.25">
      <c r="A73" s="909" t="s">
        <v>269</v>
      </c>
      <c r="B73" s="1187"/>
      <c r="C73" s="612">
        <v>0</v>
      </c>
      <c r="D73" s="612">
        <v>0</v>
      </c>
      <c r="E73" s="910">
        <f t="shared" si="8"/>
        <v>0</v>
      </c>
      <c r="F73" s="612">
        <v>0</v>
      </c>
      <c r="G73" s="612">
        <v>0</v>
      </c>
      <c r="H73" s="612">
        <v>0</v>
      </c>
      <c r="I73" s="911">
        <f t="shared" si="9"/>
        <v>0</v>
      </c>
    </row>
    <row r="74" spans="1:9" x14ac:dyDescent="0.25">
      <c r="A74" s="909" t="s">
        <v>270</v>
      </c>
      <c r="B74" s="1187"/>
      <c r="C74" s="612">
        <v>0</v>
      </c>
      <c r="D74" s="612">
        <v>0</v>
      </c>
      <c r="E74" s="910">
        <f t="shared" si="8"/>
        <v>0</v>
      </c>
      <c r="F74" s="612">
        <v>0</v>
      </c>
      <c r="G74" s="612">
        <v>0</v>
      </c>
      <c r="H74" s="612">
        <v>0</v>
      </c>
      <c r="I74" s="911">
        <f t="shared" si="9"/>
        <v>0</v>
      </c>
    </row>
    <row r="75" spans="1:9" x14ac:dyDescent="0.25">
      <c r="A75" s="909" t="s">
        <v>383</v>
      </c>
      <c r="B75" s="1187"/>
      <c r="C75" s="612">
        <v>0</v>
      </c>
      <c r="D75" s="612">
        <v>0</v>
      </c>
      <c r="E75" s="910">
        <f t="shared" si="8"/>
        <v>0</v>
      </c>
      <c r="F75" s="612">
        <v>0</v>
      </c>
      <c r="G75" s="612">
        <v>0</v>
      </c>
      <c r="H75" s="612">
        <v>0</v>
      </c>
      <c r="I75" s="911">
        <f t="shared" si="9"/>
        <v>0</v>
      </c>
    </row>
    <row r="76" spans="1:9" x14ac:dyDescent="0.25">
      <c r="A76" s="909" t="s">
        <v>384</v>
      </c>
      <c r="B76" s="1187"/>
      <c r="C76" s="612">
        <v>0</v>
      </c>
      <c r="D76" s="612">
        <v>0</v>
      </c>
      <c r="E76" s="910">
        <f t="shared" si="8"/>
        <v>0</v>
      </c>
      <c r="F76" s="612">
        <v>0</v>
      </c>
      <c r="G76" s="612">
        <v>0</v>
      </c>
      <c r="H76" s="612">
        <v>0</v>
      </c>
      <c r="I76" s="911">
        <f t="shared" si="9"/>
        <v>0</v>
      </c>
    </row>
    <row r="77" spans="1:9" x14ac:dyDescent="0.25">
      <c r="A77" s="909" t="s">
        <v>271</v>
      </c>
      <c r="B77" s="1187"/>
      <c r="C77" s="612">
        <v>0</v>
      </c>
      <c r="D77" s="612">
        <v>0</v>
      </c>
      <c r="E77" s="910">
        <f t="shared" si="8"/>
        <v>0</v>
      </c>
      <c r="F77" s="612">
        <v>0</v>
      </c>
      <c r="G77" s="612">
        <v>0</v>
      </c>
      <c r="H77" s="612">
        <v>0</v>
      </c>
      <c r="I77" s="911">
        <f t="shared" si="9"/>
        <v>0</v>
      </c>
    </row>
    <row r="78" spans="1:9" x14ac:dyDescent="0.25">
      <c r="A78" s="909" t="s">
        <v>385</v>
      </c>
      <c r="B78" s="1187"/>
      <c r="C78" s="612">
        <v>0</v>
      </c>
      <c r="D78" s="612">
        <v>0</v>
      </c>
      <c r="E78" s="910">
        <f t="shared" si="8"/>
        <v>0</v>
      </c>
      <c r="F78" s="612">
        <v>0</v>
      </c>
      <c r="G78" s="612">
        <v>0</v>
      </c>
      <c r="H78" s="612">
        <v>0</v>
      </c>
      <c r="I78" s="911">
        <f t="shared" si="9"/>
        <v>0</v>
      </c>
    </row>
    <row r="79" spans="1:9" x14ac:dyDescent="0.25">
      <c r="A79" s="909" t="s">
        <v>272</v>
      </c>
      <c r="B79" s="1187"/>
      <c r="C79" s="612">
        <v>0</v>
      </c>
      <c r="D79" s="612">
        <v>0</v>
      </c>
      <c r="E79" s="910">
        <f t="shared" si="8"/>
        <v>0</v>
      </c>
      <c r="F79" s="612">
        <v>0</v>
      </c>
      <c r="G79" s="612">
        <v>0</v>
      </c>
      <c r="H79" s="612">
        <v>0</v>
      </c>
      <c r="I79" s="911">
        <f t="shared" si="9"/>
        <v>0</v>
      </c>
    </row>
    <row r="80" spans="1:9" x14ac:dyDescent="0.25">
      <c r="A80" s="909" t="s">
        <v>386</v>
      </c>
      <c r="B80" s="1187"/>
      <c r="C80" s="612">
        <v>0</v>
      </c>
      <c r="D80" s="612">
        <v>0</v>
      </c>
      <c r="E80" s="910">
        <f t="shared" si="8"/>
        <v>0</v>
      </c>
      <c r="F80" s="612">
        <v>0</v>
      </c>
      <c r="G80" s="612">
        <v>0</v>
      </c>
      <c r="H80" s="612">
        <v>0</v>
      </c>
      <c r="I80" s="911">
        <f t="shared" si="9"/>
        <v>0</v>
      </c>
    </row>
    <row r="81" spans="1:9" x14ac:dyDescent="0.25">
      <c r="A81" s="909" t="s">
        <v>387</v>
      </c>
      <c r="B81" s="1187"/>
      <c r="C81" s="612">
        <v>0</v>
      </c>
      <c r="D81" s="612">
        <v>0</v>
      </c>
      <c r="E81" s="910">
        <f t="shared" si="8"/>
        <v>0</v>
      </c>
      <c r="F81" s="612">
        <v>0</v>
      </c>
      <c r="G81" s="612">
        <v>0</v>
      </c>
      <c r="H81" s="612">
        <v>0</v>
      </c>
      <c r="I81" s="911">
        <f t="shared" si="9"/>
        <v>0</v>
      </c>
    </row>
    <row r="82" spans="1:9" x14ac:dyDescent="0.25">
      <c r="A82" s="909" t="s">
        <v>273</v>
      </c>
      <c r="B82" s="1187"/>
      <c r="C82" s="612">
        <v>0</v>
      </c>
      <c r="D82" s="612">
        <v>0</v>
      </c>
      <c r="E82" s="910">
        <f t="shared" si="8"/>
        <v>0</v>
      </c>
      <c r="F82" s="612">
        <v>0</v>
      </c>
      <c r="G82" s="612">
        <v>0</v>
      </c>
      <c r="H82" s="612">
        <v>0</v>
      </c>
      <c r="I82" s="911">
        <f t="shared" si="9"/>
        <v>0</v>
      </c>
    </row>
    <row r="83" spans="1:9" x14ac:dyDescent="0.25">
      <c r="A83" s="909" t="s">
        <v>388</v>
      </c>
      <c r="B83" s="1187"/>
      <c r="C83" s="612">
        <v>0</v>
      </c>
      <c r="D83" s="612">
        <v>0</v>
      </c>
      <c r="E83" s="910">
        <f t="shared" si="8"/>
        <v>0</v>
      </c>
      <c r="F83" s="612">
        <v>0</v>
      </c>
      <c r="G83" s="612">
        <v>0</v>
      </c>
      <c r="H83" s="612">
        <v>0</v>
      </c>
      <c r="I83" s="911">
        <f t="shared" si="9"/>
        <v>0</v>
      </c>
    </row>
    <row r="84" spans="1:9" x14ac:dyDescent="0.25">
      <c r="A84" s="909" t="s">
        <v>274</v>
      </c>
      <c r="B84" s="1187"/>
      <c r="C84" s="612">
        <v>0</v>
      </c>
      <c r="D84" s="612">
        <v>0</v>
      </c>
      <c r="E84" s="910">
        <f t="shared" si="8"/>
        <v>0</v>
      </c>
      <c r="F84" s="612">
        <v>0</v>
      </c>
      <c r="G84" s="612">
        <v>0</v>
      </c>
      <c r="H84" s="612">
        <v>0</v>
      </c>
      <c r="I84" s="911">
        <f t="shared" si="9"/>
        <v>0</v>
      </c>
    </row>
    <row r="85" spans="1:9" x14ac:dyDescent="0.25">
      <c r="A85" s="909" t="s">
        <v>389</v>
      </c>
      <c r="B85" s="1187"/>
      <c r="C85" s="612">
        <v>0</v>
      </c>
      <c r="D85" s="612">
        <v>0</v>
      </c>
      <c r="E85" s="910">
        <f t="shared" si="8"/>
        <v>0</v>
      </c>
      <c r="F85" s="612">
        <v>0</v>
      </c>
      <c r="G85" s="612">
        <v>0</v>
      </c>
      <c r="H85" s="612">
        <v>0</v>
      </c>
      <c r="I85" s="911">
        <f t="shared" si="9"/>
        <v>0</v>
      </c>
    </row>
    <row r="86" spans="1:9" x14ac:dyDescent="0.25">
      <c r="A86" s="909" t="s">
        <v>390</v>
      </c>
      <c r="B86" s="1187"/>
      <c r="C86" s="612">
        <v>0</v>
      </c>
      <c r="D86" s="612">
        <v>0</v>
      </c>
      <c r="E86" s="910">
        <f t="shared" si="8"/>
        <v>0</v>
      </c>
      <c r="F86" s="612">
        <v>0</v>
      </c>
      <c r="G86" s="612">
        <v>0</v>
      </c>
      <c r="H86" s="612">
        <v>0</v>
      </c>
      <c r="I86" s="911">
        <f t="shared" si="9"/>
        <v>0</v>
      </c>
    </row>
    <row r="87" spans="1:9" x14ac:dyDescent="0.25">
      <c r="A87" s="909" t="s">
        <v>275</v>
      </c>
      <c r="B87" s="1187"/>
      <c r="C87" s="612">
        <v>0</v>
      </c>
      <c r="D87" s="612">
        <v>0</v>
      </c>
      <c r="E87" s="910">
        <f t="shared" si="8"/>
        <v>0</v>
      </c>
      <c r="F87" s="612">
        <v>0</v>
      </c>
      <c r="G87" s="612">
        <v>0</v>
      </c>
      <c r="H87" s="612">
        <v>0</v>
      </c>
      <c r="I87" s="911">
        <f t="shared" si="9"/>
        <v>0</v>
      </c>
    </row>
    <row r="88" spans="1:9" x14ac:dyDescent="0.25">
      <c r="A88" s="909" t="s">
        <v>391</v>
      </c>
      <c r="B88" s="1187"/>
      <c r="C88" s="612">
        <v>0</v>
      </c>
      <c r="D88" s="612">
        <v>0</v>
      </c>
      <c r="E88" s="910">
        <f t="shared" si="8"/>
        <v>0</v>
      </c>
      <c r="F88" s="612">
        <v>0</v>
      </c>
      <c r="G88" s="612">
        <v>0</v>
      </c>
      <c r="H88" s="612">
        <v>0</v>
      </c>
      <c r="I88" s="911">
        <f t="shared" si="9"/>
        <v>0</v>
      </c>
    </row>
    <row r="89" spans="1:9" x14ac:dyDescent="0.25">
      <c r="A89" s="909" t="s">
        <v>276</v>
      </c>
      <c r="B89" s="1187"/>
      <c r="C89" s="612">
        <v>0</v>
      </c>
      <c r="D89" s="612">
        <v>0</v>
      </c>
      <c r="E89" s="910">
        <f>+C89+D89</f>
        <v>0</v>
      </c>
      <c r="F89" s="612">
        <v>0</v>
      </c>
      <c r="G89" s="612">
        <v>0</v>
      </c>
      <c r="H89" s="612">
        <v>0</v>
      </c>
      <c r="I89" s="911">
        <f t="shared" si="9"/>
        <v>0</v>
      </c>
    </row>
    <row r="90" spans="1:9" x14ac:dyDescent="0.25">
      <c r="A90" s="909" t="s">
        <v>277</v>
      </c>
      <c r="B90" s="1187"/>
      <c r="C90" s="612">
        <v>0</v>
      </c>
      <c r="D90" s="612">
        <v>0</v>
      </c>
      <c r="E90" s="910">
        <f t="shared" ref="E90:E114" si="10">+C90+D90</f>
        <v>0</v>
      </c>
      <c r="F90" s="612">
        <v>0</v>
      </c>
      <c r="G90" s="612">
        <v>0</v>
      </c>
      <c r="H90" s="612">
        <v>0</v>
      </c>
      <c r="I90" s="911">
        <f t="shared" si="9"/>
        <v>0</v>
      </c>
    </row>
    <row r="91" spans="1:9" x14ac:dyDescent="0.25">
      <c r="A91" s="909" t="s">
        <v>392</v>
      </c>
      <c r="B91" s="1187"/>
      <c r="C91" s="612">
        <v>0</v>
      </c>
      <c r="D91" s="612">
        <v>0</v>
      </c>
      <c r="E91" s="910">
        <f t="shared" si="10"/>
        <v>0</v>
      </c>
      <c r="F91" s="612">
        <v>0</v>
      </c>
      <c r="G91" s="612">
        <v>0</v>
      </c>
      <c r="H91" s="612">
        <v>0</v>
      </c>
      <c r="I91" s="911">
        <f t="shared" si="9"/>
        <v>0</v>
      </c>
    </row>
    <row r="92" spans="1:9" x14ac:dyDescent="0.25">
      <c r="A92" s="909" t="s">
        <v>393</v>
      </c>
      <c r="B92" s="1187"/>
      <c r="C92" s="612">
        <v>0</v>
      </c>
      <c r="D92" s="612">
        <v>0</v>
      </c>
      <c r="E92" s="910">
        <f t="shared" si="10"/>
        <v>0</v>
      </c>
      <c r="F92" s="612">
        <v>0</v>
      </c>
      <c r="G92" s="612">
        <v>0</v>
      </c>
      <c r="H92" s="612">
        <v>0</v>
      </c>
      <c r="I92" s="911">
        <f t="shared" si="9"/>
        <v>0</v>
      </c>
    </row>
    <row r="93" spans="1:9" x14ac:dyDescent="0.25">
      <c r="A93" s="909" t="s">
        <v>278</v>
      </c>
      <c r="B93" s="1187"/>
      <c r="C93" s="612">
        <v>0</v>
      </c>
      <c r="D93" s="612">
        <v>0</v>
      </c>
      <c r="E93" s="910">
        <f t="shared" si="10"/>
        <v>0</v>
      </c>
      <c r="F93" s="612">
        <v>0</v>
      </c>
      <c r="G93" s="612">
        <v>0</v>
      </c>
      <c r="H93" s="612">
        <v>0</v>
      </c>
      <c r="I93" s="911">
        <f t="shared" si="9"/>
        <v>0</v>
      </c>
    </row>
    <row r="94" spans="1:9" x14ac:dyDescent="0.25">
      <c r="A94" s="909" t="s">
        <v>394</v>
      </c>
      <c r="B94" s="1187"/>
      <c r="C94" s="612">
        <v>0</v>
      </c>
      <c r="D94" s="612">
        <v>0</v>
      </c>
      <c r="E94" s="910">
        <f t="shared" si="10"/>
        <v>0</v>
      </c>
      <c r="F94" s="612">
        <v>0</v>
      </c>
      <c r="G94" s="612">
        <v>0</v>
      </c>
      <c r="H94" s="612">
        <v>0</v>
      </c>
      <c r="I94" s="911">
        <f t="shared" si="9"/>
        <v>0</v>
      </c>
    </row>
    <row r="95" spans="1:9" x14ac:dyDescent="0.25">
      <c r="A95" s="909" t="s">
        <v>279</v>
      </c>
      <c r="B95" s="1187"/>
      <c r="C95" s="612">
        <v>0</v>
      </c>
      <c r="D95" s="612">
        <v>0</v>
      </c>
      <c r="E95" s="910">
        <f t="shared" si="10"/>
        <v>0</v>
      </c>
      <c r="F95" s="612">
        <v>0</v>
      </c>
      <c r="G95" s="612">
        <v>0</v>
      </c>
      <c r="H95" s="612">
        <v>0</v>
      </c>
      <c r="I95" s="911">
        <f t="shared" si="9"/>
        <v>0</v>
      </c>
    </row>
    <row r="96" spans="1:9" x14ac:dyDescent="0.25">
      <c r="A96" s="909" t="s">
        <v>395</v>
      </c>
      <c r="B96" s="1187"/>
      <c r="C96" s="612">
        <v>0</v>
      </c>
      <c r="D96" s="612">
        <v>0</v>
      </c>
      <c r="E96" s="910">
        <f t="shared" si="10"/>
        <v>0</v>
      </c>
      <c r="F96" s="612">
        <v>0</v>
      </c>
      <c r="G96" s="612">
        <v>0</v>
      </c>
      <c r="H96" s="612">
        <v>0</v>
      </c>
      <c r="I96" s="911">
        <f t="shared" si="9"/>
        <v>0</v>
      </c>
    </row>
    <row r="97" spans="1:9" x14ac:dyDescent="0.25">
      <c r="A97" s="909" t="s">
        <v>396</v>
      </c>
      <c r="B97" s="1187"/>
      <c r="C97" s="612">
        <v>0</v>
      </c>
      <c r="D97" s="612">
        <v>0</v>
      </c>
      <c r="E97" s="910">
        <f t="shared" si="10"/>
        <v>0</v>
      </c>
      <c r="F97" s="612">
        <v>0</v>
      </c>
      <c r="G97" s="612">
        <v>0</v>
      </c>
      <c r="H97" s="612">
        <v>0</v>
      </c>
      <c r="I97" s="911">
        <f t="shared" si="9"/>
        <v>0</v>
      </c>
    </row>
    <row r="98" spans="1:9" x14ac:dyDescent="0.25">
      <c r="A98" s="909" t="s">
        <v>280</v>
      </c>
      <c r="B98" s="1187"/>
      <c r="C98" s="612">
        <v>0</v>
      </c>
      <c r="D98" s="612">
        <v>0</v>
      </c>
      <c r="E98" s="910">
        <f t="shared" si="10"/>
        <v>0</v>
      </c>
      <c r="F98" s="612">
        <v>0</v>
      </c>
      <c r="G98" s="612">
        <v>0</v>
      </c>
      <c r="H98" s="612">
        <v>0</v>
      </c>
      <c r="I98" s="911">
        <f t="shared" si="9"/>
        <v>0</v>
      </c>
    </row>
    <row r="99" spans="1:9" x14ac:dyDescent="0.25">
      <c r="A99" s="909" t="s">
        <v>397</v>
      </c>
      <c r="B99" s="1187"/>
      <c r="C99" s="612">
        <v>0</v>
      </c>
      <c r="D99" s="612">
        <v>0</v>
      </c>
      <c r="E99" s="910">
        <f t="shared" si="10"/>
        <v>0</v>
      </c>
      <c r="F99" s="612">
        <v>0</v>
      </c>
      <c r="G99" s="612">
        <v>0</v>
      </c>
      <c r="H99" s="612">
        <v>0</v>
      </c>
      <c r="I99" s="911">
        <f t="shared" si="9"/>
        <v>0</v>
      </c>
    </row>
    <row r="100" spans="1:9" x14ac:dyDescent="0.25">
      <c r="A100" s="909" t="s">
        <v>281</v>
      </c>
      <c r="B100" s="1187"/>
      <c r="C100" s="612">
        <v>0</v>
      </c>
      <c r="D100" s="612">
        <v>0</v>
      </c>
      <c r="E100" s="910">
        <f t="shared" si="10"/>
        <v>0</v>
      </c>
      <c r="F100" s="612">
        <v>0</v>
      </c>
      <c r="G100" s="612">
        <v>0</v>
      </c>
      <c r="H100" s="612">
        <v>0</v>
      </c>
      <c r="I100" s="911">
        <f t="shared" si="9"/>
        <v>0</v>
      </c>
    </row>
    <row r="101" spans="1:9" x14ac:dyDescent="0.25">
      <c r="A101" s="909" t="s">
        <v>282</v>
      </c>
      <c r="B101" s="1187"/>
      <c r="C101" s="612">
        <v>0</v>
      </c>
      <c r="D101" s="612">
        <v>0</v>
      </c>
      <c r="E101" s="910">
        <f t="shared" si="10"/>
        <v>0</v>
      </c>
      <c r="F101" s="612">
        <v>0</v>
      </c>
      <c r="G101" s="612">
        <v>0</v>
      </c>
      <c r="H101" s="612">
        <v>0</v>
      </c>
      <c r="I101" s="911">
        <f t="shared" si="9"/>
        <v>0</v>
      </c>
    </row>
    <row r="102" spans="1:9" x14ac:dyDescent="0.25">
      <c r="A102" s="909" t="s">
        <v>283</v>
      </c>
      <c r="B102" s="1187"/>
      <c r="C102" s="612">
        <v>0</v>
      </c>
      <c r="D102" s="612">
        <v>0</v>
      </c>
      <c r="E102" s="910">
        <f t="shared" si="10"/>
        <v>0</v>
      </c>
      <c r="F102" s="612">
        <v>0</v>
      </c>
      <c r="G102" s="612">
        <v>0</v>
      </c>
      <c r="H102" s="612">
        <v>0</v>
      </c>
      <c r="I102" s="911">
        <f t="shared" si="9"/>
        <v>0</v>
      </c>
    </row>
    <row r="103" spans="1:9" x14ac:dyDescent="0.25">
      <c r="A103" s="909" t="s">
        <v>284</v>
      </c>
      <c r="B103" s="1187"/>
      <c r="C103" s="612">
        <v>0</v>
      </c>
      <c r="D103" s="612">
        <v>0</v>
      </c>
      <c r="E103" s="910">
        <f t="shared" si="10"/>
        <v>0</v>
      </c>
      <c r="F103" s="612">
        <v>0</v>
      </c>
      <c r="G103" s="612">
        <v>0</v>
      </c>
      <c r="H103" s="612">
        <v>0</v>
      </c>
      <c r="I103" s="911">
        <f t="shared" si="9"/>
        <v>0</v>
      </c>
    </row>
    <row r="104" spans="1:9" x14ac:dyDescent="0.25">
      <c r="A104" s="909" t="s">
        <v>285</v>
      </c>
      <c r="B104" s="1187"/>
      <c r="C104" s="612">
        <v>0</v>
      </c>
      <c r="D104" s="612">
        <v>0</v>
      </c>
      <c r="E104" s="910">
        <f t="shared" si="10"/>
        <v>0</v>
      </c>
      <c r="F104" s="612">
        <v>0</v>
      </c>
      <c r="G104" s="612">
        <v>0</v>
      </c>
      <c r="H104" s="612">
        <v>0</v>
      </c>
      <c r="I104" s="911">
        <f t="shared" si="9"/>
        <v>0</v>
      </c>
    </row>
    <row r="105" spans="1:9" x14ac:dyDescent="0.25">
      <c r="A105" s="909" t="s">
        <v>286</v>
      </c>
      <c r="B105" s="1187"/>
      <c r="C105" s="612">
        <v>0</v>
      </c>
      <c r="D105" s="612">
        <v>0</v>
      </c>
      <c r="E105" s="910">
        <f t="shared" si="10"/>
        <v>0</v>
      </c>
      <c r="F105" s="612">
        <v>0</v>
      </c>
      <c r="G105" s="612">
        <v>0</v>
      </c>
      <c r="H105" s="612">
        <v>0</v>
      </c>
      <c r="I105" s="911">
        <f t="shared" si="9"/>
        <v>0</v>
      </c>
    </row>
    <row r="106" spans="1:9" x14ac:dyDescent="0.25">
      <c r="A106" s="909" t="s">
        <v>287</v>
      </c>
      <c r="B106" s="1187"/>
      <c r="C106" s="612">
        <v>0</v>
      </c>
      <c r="D106" s="612">
        <v>0</v>
      </c>
      <c r="E106" s="910">
        <f t="shared" si="10"/>
        <v>0</v>
      </c>
      <c r="F106" s="612">
        <v>0</v>
      </c>
      <c r="G106" s="612">
        <v>0</v>
      </c>
      <c r="H106" s="612">
        <v>0</v>
      </c>
      <c r="I106" s="911">
        <f t="shared" si="9"/>
        <v>0</v>
      </c>
    </row>
    <row r="107" spans="1:9" x14ac:dyDescent="0.25">
      <c r="A107" s="909" t="s">
        <v>298</v>
      </c>
      <c r="B107" s="1187"/>
      <c r="C107" s="612">
        <v>0</v>
      </c>
      <c r="D107" s="612">
        <v>0</v>
      </c>
      <c r="E107" s="910">
        <f t="shared" si="10"/>
        <v>0</v>
      </c>
      <c r="F107" s="612">
        <v>0</v>
      </c>
      <c r="G107" s="612">
        <v>0</v>
      </c>
      <c r="H107" s="612">
        <v>0</v>
      </c>
      <c r="I107" s="911">
        <f t="shared" si="9"/>
        <v>0</v>
      </c>
    </row>
    <row r="108" spans="1:9" x14ac:dyDescent="0.25">
      <c r="A108" s="909" t="s">
        <v>288</v>
      </c>
      <c r="B108" s="1187"/>
      <c r="C108" s="612">
        <v>0</v>
      </c>
      <c r="D108" s="612">
        <v>0</v>
      </c>
      <c r="E108" s="910">
        <f t="shared" si="10"/>
        <v>0</v>
      </c>
      <c r="F108" s="612">
        <v>0</v>
      </c>
      <c r="G108" s="612">
        <v>0</v>
      </c>
      <c r="H108" s="612">
        <v>0</v>
      </c>
      <c r="I108" s="911">
        <f t="shared" si="9"/>
        <v>0</v>
      </c>
    </row>
    <row r="109" spans="1:9" x14ac:dyDescent="0.25">
      <c r="A109" s="909" t="s">
        <v>289</v>
      </c>
      <c r="B109" s="1187"/>
      <c r="C109" s="612">
        <v>0</v>
      </c>
      <c r="D109" s="612">
        <v>0</v>
      </c>
      <c r="E109" s="910">
        <f t="shared" si="10"/>
        <v>0</v>
      </c>
      <c r="F109" s="612">
        <v>0</v>
      </c>
      <c r="G109" s="612">
        <v>0</v>
      </c>
      <c r="H109" s="612">
        <v>0</v>
      </c>
      <c r="I109" s="911">
        <f t="shared" si="9"/>
        <v>0</v>
      </c>
    </row>
    <row r="110" spans="1:9" x14ac:dyDescent="0.25">
      <c r="A110" s="909" t="s">
        <v>290</v>
      </c>
      <c r="B110" s="1187"/>
      <c r="C110" s="612">
        <v>0</v>
      </c>
      <c r="D110" s="612">
        <v>0</v>
      </c>
      <c r="E110" s="910">
        <f t="shared" si="10"/>
        <v>0</v>
      </c>
      <c r="F110" s="612">
        <v>0</v>
      </c>
      <c r="G110" s="612">
        <v>0</v>
      </c>
      <c r="H110" s="612">
        <v>0</v>
      </c>
      <c r="I110" s="911">
        <f t="shared" si="9"/>
        <v>0</v>
      </c>
    </row>
    <row r="111" spans="1:9" x14ac:dyDescent="0.25">
      <c r="A111" s="909" t="s">
        <v>291</v>
      </c>
      <c r="B111" s="1187"/>
      <c r="C111" s="612">
        <v>0</v>
      </c>
      <c r="D111" s="612">
        <v>0</v>
      </c>
      <c r="E111" s="910">
        <f t="shared" si="10"/>
        <v>0</v>
      </c>
      <c r="F111" s="612">
        <v>0</v>
      </c>
      <c r="G111" s="612">
        <v>0</v>
      </c>
      <c r="H111" s="612">
        <v>0</v>
      </c>
      <c r="I111" s="911">
        <f t="shared" si="9"/>
        <v>0</v>
      </c>
    </row>
    <row r="112" spans="1:9" x14ac:dyDescent="0.25">
      <c r="A112" s="909" t="s">
        <v>292</v>
      </c>
      <c r="B112" s="1187"/>
      <c r="C112" s="612">
        <v>0</v>
      </c>
      <c r="D112" s="612">
        <v>0</v>
      </c>
      <c r="E112" s="910">
        <f t="shared" si="10"/>
        <v>0</v>
      </c>
      <c r="F112" s="612">
        <v>0</v>
      </c>
      <c r="G112" s="612">
        <v>0</v>
      </c>
      <c r="H112" s="612">
        <v>0</v>
      </c>
      <c r="I112" s="911">
        <f t="shared" si="9"/>
        <v>0</v>
      </c>
    </row>
    <row r="113" spans="1:9" x14ac:dyDescent="0.25">
      <c r="A113" s="909" t="s">
        <v>293</v>
      </c>
      <c r="B113" s="1187"/>
      <c r="C113" s="613">
        <v>0</v>
      </c>
      <c r="D113" s="612">
        <v>0</v>
      </c>
      <c r="E113" s="910">
        <f t="shared" si="10"/>
        <v>0</v>
      </c>
      <c r="F113" s="612">
        <v>0</v>
      </c>
      <c r="G113" s="612">
        <v>0</v>
      </c>
      <c r="H113" s="612">
        <v>0</v>
      </c>
      <c r="I113" s="911">
        <f t="shared" si="9"/>
        <v>0</v>
      </c>
    </row>
    <row r="114" spans="1:9" x14ac:dyDescent="0.25">
      <c r="A114" s="909" t="s">
        <v>294</v>
      </c>
      <c r="B114" s="1187"/>
      <c r="C114" s="612">
        <v>0</v>
      </c>
      <c r="D114" s="612">
        <v>0</v>
      </c>
      <c r="E114" s="910">
        <f t="shared" si="10"/>
        <v>0</v>
      </c>
      <c r="F114" s="612">
        <v>0</v>
      </c>
      <c r="G114" s="612">
        <v>0</v>
      </c>
      <c r="H114" s="612">
        <v>0</v>
      </c>
      <c r="I114" s="911">
        <f t="shared" si="9"/>
        <v>0</v>
      </c>
    </row>
    <row r="115" spans="1:9" ht="13" thickBot="1" x14ac:dyDescent="0.3">
      <c r="A115" s="912" t="s">
        <v>295</v>
      </c>
      <c r="B115" s="1188"/>
      <c r="C115" s="614">
        <v>0</v>
      </c>
      <c r="D115" s="614">
        <v>0</v>
      </c>
      <c r="E115" s="913">
        <f>+C115+D115</f>
        <v>0</v>
      </c>
      <c r="F115" s="614">
        <v>0</v>
      </c>
      <c r="G115" s="614">
        <v>0</v>
      </c>
      <c r="H115" s="614">
        <v>0</v>
      </c>
      <c r="I115" s="914">
        <f t="shared" si="9"/>
        <v>0</v>
      </c>
    </row>
    <row r="116" spans="1:9" ht="13" x14ac:dyDescent="0.25">
      <c r="A116" s="915"/>
      <c r="B116" s="916"/>
      <c r="C116" s="917"/>
      <c r="D116" s="917"/>
      <c r="E116" s="917"/>
      <c r="F116" s="917"/>
      <c r="G116" s="917"/>
      <c r="H116" s="917"/>
      <c r="I116" s="917"/>
    </row>
    <row r="117" spans="1:9" ht="13" x14ac:dyDescent="0.25">
      <c r="A117" s="915" t="s">
        <v>296</v>
      </c>
      <c r="B117" s="916"/>
      <c r="C117" s="918">
        <f t="shared" ref="C117:I117" si="11">SUM(C71:C115)</f>
        <v>0</v>
      </c>
      <c r="D117" s="918">
        <f t="shared" si="11"/>
        <v>0</v>
      </c>
      <c r="E117" s="918">
        <f t="shared" si="11"/>
        <v>0</v>
      </c>
      <c r="F117" s="918">
        <f t="shared" ref="F117" si="12">SUM(F71:F115)</f>
        <v>0</v>
      </c>
      <c r="G117" s="918">
        <f t="shared" si="11"/>
        <v>0</v>
      </c>
      <c r="H117" s="918">
        <f t="shared" si="11"/>
        <v>0</v>
      </c>
      <c r="I117" s="918">
        <f t="shared" si="11"/>
        <v>0</v>
      </c>
    </row>
    <row r="118" spans="1:9" ht="13.5" thickBot="1" x14ac:dyDescent="0.3">
      <c r="A118" s="919"/>
      <c r="B118" s="920"/>
      <c r="C118" s="921"/>
      <c r="D118" s="921"/>
      <c r="E118" s="921"/>
      <c r="F118" s="921"/>
      <c r="G118" s="921"/>
      <c r="H118" s="921"/>
      <c r="I118" s="922"/>
    </row>
  </sheetData>
  <sheetProtection algorithmName="SHA-512" hashValue="+v6N4Ck5QwoC2UAg4frTP1poVII9/MTmySitbL1oyvdQNV3MZTOUVKX6/gWryG1HiiL5B4p5FRo17yVpqwXIuA==" saltValue="n9EVbpL71Y8T2ESMXP05dA==" spinCount="100000" sheet="1" objects="1" scenarios="1"/>
  <mergeCells count="5">
    <mergeCell ref="B71:B115"/>
    <mergeCell ref="A14:I14"/>
    <mergeCell ref="A68:I68"/>
    <mergeCell ref="A1:H1"/>
    <mergeCell ref="B17:B61"/>
  </mergeCells>
  <conditionalFormatting sqref="A1:XFD1048576">
    <cfRule type="expression" dxfId="11" priority="5">
      <formula>$K$1="gas"</formula>
    </cfRule>
  </conditionalFormatting>
  <dataValidations count="2">
    <dataValidation type="decimal" operator="greaterThanOrEqual" allowBlank="1" showInputMessage="1" showErrorMessage="1" errorTitle="Negatief bedrag" error="Gelieve een positieve waarde in te geven" sqref="WVM983058:WVM983101 C65554:C65597 JA65554:JA65597 SW65554:SW65597 ACS65554:ACS65597 AMO65554:AMO65597 AWK65554:AWK65597 BGG65554:BGG65597 BQC65554:BQC65597 BZY65554:BZY65597 CJU65554:CJU65597 CTQ65554:CTQ65597 DDM65554:DDM65597 DNI65554:DNI65597 DXE65554:DXE65597 EHA65554:EHA65597 EQW65554:EQW65597 FAS65554:FAS65597 FKO65554:FKO65597 FUK65554:FUK65597 GEG65554:GEG65597 GOC65554:GOC65597 GXY65554:GXY65597 HHU65554:HHU65597 HRQ65554:HRQ65597 IBM65554:IBM65597 ILI65554:ILI65597 IVE65554:IVE65597 JFA65554:JFA65597 JOW65554:JOW65597 JYS65554:JYS65597 KIO65554:KIO65597 KSK65554:KSK65597 LCG65554:LCG65597 LMC65554:LMC65597 LVY65554:LVY65597 MFU65554:MFU65597 MPQ65554:MPQ65597 MZM65554:MZM65597 NJI65554:NJI65597 NTE65554:NTE65597 ODA65554:ODA65597 OMW65554:OMW65597 OWS65554:OWS65597 PGO65554:PGO65597 PQK65554:PQK65597 QAG65554:QAG65597 QKC65554:QKC65597 QTY65554:QTY65597 RDU65554:RDU65597 RNQ65554:RNQ65597 RXM65554:RXM65597 SHI65554:SHI65597 SRE65554:SRE65597 TBA65554:TBA65597 TKW65554:TKW65597 TUS65554:TUS65597 UEO65554:UEO65597 UOK65554:UOK65597 UYG65554:UYG65597 VIC65554:VIC65597 VRY65554:VRY65597 WBU65554:WBU65597 WLQ65554:WLQ65597 WVM65554:WVM65597 C131090:C131133 JA131090:JA131133 SW131090:SW131133 ACS131090:ACS131133 AMO131090:AMO131133 AWK131090:AWK131133 BGG131090:BGG131133 BQC131090:BQC131133 BZY131090:BZY131133 CJU131090:CJU131133 CTQ131090:CTQ131133 DDM131090:DDM131133 DNI131090:DNI131133 DXE131090:DXE131133 EHA131090:EHA131133 EQW131090:EQW131133 FAS131090:FAS131133 FKO131090:FKO131133 FUK131090:FUK131133 GEG131090:GEG131133 GOC131090:GOC131133 GXY131090:GXY131133 HHU131090:HHU131133 HRQ131090:HRQ131133 IBM131090:IBM131133 ILI131090:ILI131133 IVE131090:IVE131133 JFA131090:JFA131133 JOW131090:JOW131133 JYS131090:JYS131133 KIO131090:KIO131133 KSK131090:KSK131133 LCG131090:LCG131133 LMC131090:LMC131133 LVY131090:LVY131133 MFU131090:MFU131133 MPQ131090:MPQ131133 MZM131090:MZM131133 NJI131090:NJI131133 NTE131090:NTE131133 ODA131090:ODA131133 OMW131090:OMW131133 OWS131090:OWS131133 PGO131090:PGO131133 PQK131090:PQK131133 QAG131090:QAG131133 QKC131090:QKC131133 QTY131090:QTY131133 RDU131090:RDU131133 RNQ131090:RNQ131133 RXM131090:RXM131133 SHI131090:SHI131133 SRE131090:SRE131133 TBA131090:TBA131133 TKW131090:TKW131133 TUS131090:TUS131133 UEO131090:UEO131133 UOK131090:UOK131133 UYG131090:UYG131133 VIC131090:VIC131133 VRY131090:VRY131133 WBU131090:WBU131133 WLQ131090:WLQ131133 WVM131090:WVM131133 C196626:C196669 JA196626:JA196669 SW196626:SW196669 ACS196626:ACS196669 AMO196626:AMO196669 AWK196626:AWK196669 BGG196626:BGG196669 BQC196626:BQC196669 BZY196626:BZY196669 CJU196626:CJU196669 CTQ196626:CTQ196669 DDM196626:DDM196669 DNI196626:DNI196669 DXE196626:DXE196669 EHA196626:EHA196669 EQW196626:EQW196669 FAS196626:FAS196669 FKO196626:FKO196669 FUK196626:FUK196669 GEG196626:GEG196669 GOC196626:GOC196669 GXY196626:GXY196669 HHU196626:HHU196669 HRQ196626:HRQ196669 IBM196626:IBM196669 ILI196626:ILI196669 IVE196626:IVE196669 JFA196626:JFA196669 JOW196626:JOW196669 JYS196626:JYS196669 KIO196626:KIO196669 KSK196626:KSK196669 LCG196626:LCG196669 LMC196626:LMC196669 LVY196626:LVY196669 MFU196626:MFU196669 MPQ196626:MPQ196669 MZM196626:MZM196669 NJI196626:NJI196669 NTE196626:NTE196669 ODA196626:ODA196669 OMW196626:OMW196669 OWS196626:OWS196669 PGO196626:PGO196669 PQK196626:PQK196669 QAG196626:QAG196669 QKC196626:QKC196669 QTY196626:QTY196669 RDU196626:RDU196669 RNQ196626:RNQ196669 RXM196626:RXM196669 SHI196626:SHI196669 SRE196626:SRE196669 TBA196626:TBA196669 TKW196626:TKW196669 TUS196626:TUS196669 UEO196626:UEO196669 UOK196626:UOK196669 UYG196626:UYG196669 VIC196626:VIC196669 VRY196626:VRY196669 WBU196626:WBU196669 WLQ196626:WLQ196669 WVM196626:WVM196669 C262162:C262205 JA262162:JA262205 SW262162:SW262205 ACS262162:ACS262205 AMO262162:AMO262205 AWK262162:AWK262205 BGG262162:BGG262205 BQC262162:BQC262205 BZY262162:BZY262205 CJU262162:CJU262205 CTQ262162:CTQ262205 DDM262162:DDM262205 DNI262162:DNI262205 DXE262162:DXE262205 EHA262162:EHA262205 EQW262162:EQW262205 FAS262162:FAS262205 FKO262162:FKO262205 FUK262162:FUK262205 GEG262162:GEG262205 GOC262162:GOC262205 GXY262162:GXY262205 HHU262162:HHU262205 HRQ262162:HRQ262205 IBM262162:IBM262205 ILI262162:ILI262205 IVE262162:IVE262205 JFA262162:JFA262205 JOW262162:JOW262205 JYS262162:JYS262205 KIO262162:KIO262205 KSK262162:KSK262205 LCG262162:LCG262205 LMC262162:LMC262205 LVY262162:LVY262205 MFU262162:MFU262205 MPQ262162:MPQ262205 MZM262162:MZM262205 NJI262162:NJI262205 NTE262162:NTE262205 ODA262162:ODA262205 OMW262162:OMW262205 OWS262162:OWS262205 PGO262162:PGO262205 PQK262162:PQK262205 QAG262162:QAG262205 QKC262162:QKC262205 QTY262162:QTY262205 RDU262162:RDU262205 RNQ262162:RNQ262205 RXM262162:RXM262205 SHI262162:SHI262205 SRE262162:SRE262205 TBA262162:TBA262205 TKW262162:TKW262205 TUS262162:TUS262205 UEO262162:UEO262205 UOK262162:UOK262205 UYG262162:UYG262205 VIC262162:VIC262205 VRY262162:VRY262205 WBU262162:WBU262205 WLQ262162:WLQ262205 WVM262162:WVM262205 C327698:C327741 JA327698:JA327741 SW327698:SW327741 ACS327698:ACS327741 AMO327698:AMO327741 AWK327698:AWK327741 BGG327698:BGG327741 BQC327698:BQC327741 BZY327698:BZY327741 CJU327698:CJU327741 CTQ327698:CTQ327741 DDM327698:DDM327741 DNI327698:DNI327741 DXE327698:DXE327741 EHA327698:EHA327741 EQW327698:EQW327741 FAS327698:FAS327741 FKO327698:FKO327741 FUK327698:FUK327741 GEG327698:GEG327741 GOC327698:GOC327741 GXY327698:GXY327741 HHU327698:HHU327741 HRQ327698:HRQ327741 IBM327698:IBM327741 ILI327698:ILI327741 IVE327698:IVE327741 JFA327698:JFA327741 JOW327698:JOW327741 JYS327698:JYS327741 KIO327698:KIO327741 KSK327698:KSK327741 LCG327698:LCG327741 LMC327698:LMC327741 LVY327698:LVY327741 MFU327698:MFU327741 MPQ327698:MPQ327741 MZM327698:MZM327741 NJI327698:NJI327741 NTE327698:NTE327741 ODA327698:ODA327741 OMW327698:OMW327741 OWS327698:OWS327741 PGO327698:PGO327741 PQK327698:PQK327741 QAG327698:QAG327741 QKC327698:QKC327741 QTY327698:QTY327741 RDU327698:RDU327741 RNQ327698:RNQ327741 RXM327698:RXM327741 SHI327698:SHI327741 SRE327698:SRE327741 TBA327698:TBA327741 TKW327698:TKW327741 TUS327698:TUS327741 UEO327698:UEO327741 UOK327698:UOK327741 UYG327698:UYG327741 VIC327698:VIC327741 VRY327698:VRY327741 WBU327698:WBU327741 WLQ327698:WLQ327741 WVM327698:WVM327741 C393234:C393277 JA393234:JA393277 SW393234:SW393277 ACS393234:ACS393277 AMO393234:AMO393277 AWK393234:AWK393277 BGG393234:BGG393277 BQC393234:BQC393277 BZY393234:BZY393277 CJU393234:CJU393277 CTQ393234:CTQ393277 DDM393234:DDM393277 DNI393234:DNI393277 DXE393234:DXE393277 EHA393234:EHA393277 EQW393234:EQW393277 FAS393234:FAS393277 FKO393234:FKO393277 FUK393234:FUK393277 GEG393234:GEG393277 GOC393234:GOC393277 GXY393234:GXY393277 HHU393234:HHU393277 HRQ393234:HRQ393277 IBM393234:IBM393277 ILI393234:ILI393277 IVE393234:IVE393277 JFA393234:JFA393277 JOW393234:JOW393277 JYS393234:JYS393277 KIO393234:KIO393277 KSK393234:KSK393277 LCG393234:LCG393277 LMC393234:LMC393277 LVY393234:LVY393277 MFU393234:MFU393277 MPQ393234:MPQ393277 MZM393234:MZM393277 NJI393234:NJI393277 NTE393234:NTE393277 ODA393234:ODA393277 OMW393234:OMW393277 OWS393234:OWS393277 PGO393234:PGO393277 PQK393234:PQK393277 QAG393234:QAG393277 QKC393234:QKC393277 QTY393234:QTY393277 RDU393234:RDU393277 RNQ393234:RNQ393277 RXM393234:RXM393277 SHI393234:SHI393277 SRE393234:SRE393277 TBA393234:TBA393277 TKW393234:TKW393277 TUS393234:TUS393277 UEO393234:UEO393277 UOK393234:UOK393277 UYG393234:UYG393277 VIC393234:VIC393277 VRY393234:VRY393277 WBU393234:WBU393277 WLQ393234:WLQ393277 WVM393234:WVM393277 C458770:C458813 JA458770:JA458813 SW458770:SW458813 ACS458770:ACS458813 AMO458770:AMO458813 AWK458770:AWK458813 BGG458770:BGG458813 BQC458770:BQC458813 BZY458770:BZY458813 CJU458770:CJU458813 CTQ458770:CTQ458813 DDM458770:DDM458813 DNI458770:DNI458813 DXE458770:DXE458813 EHA458770:EHA458813 EQW458770:EQW458813 FAS458770:FAS458813 FKO458770:FKO458813 FUK458770:FUK458813 GEG458770:GEG458813 GOC458770:GOC458813 GXY458770:GXY458813 HHU458770:HHU458813 HRQ458770:HRQ458813 IBM458770:IBM458813 ILI458770:ILI458813 IVE458770:IVE458813 JFA458770:JFA458813 JOW458770:JOW458813 JYS458770:JYS458813 KIO458770:KIO458813 KSK458770:KSK458813 LCG458770:LCG458813 LMC458770:LMC458813 LVY458770:LVY458813 MFU458770:MFU458813 MPQ458770:MPQ458813 MZM458770:MZM458813 NJI458770:NJI458813 NTE458770:NTE458813 ODA458770:ODA458813 OMW458770:OMW458813 OWS458770:OWS458813 PGO458770:PGO458813 PQK458770:PQK458813 QAG458770:QAG458813 QKC458770:QKC458813 QTY458770:QTY458813 RDU458770:RDU458813 RNQ458770:RNQ458813 RXM458770:RXM458813 SHI458770:SHI458813 SRE458770:SRE458813 TBA458770:TBA458813 TKW458770:TKW458813 TUS458770:TUS458813 UEO458770:UEO458813 UOK458770:UOK458813 UYG458770:UYG458813 VIC458770:VIC458813 VRY458770:VRY458813 WBU458770:WBU458813 WLQ458770:WLQ458813 WVM458770:WVM458813 C524306:C524349 JA524306:JA524349 SW524306:SW524349 ACS524306:ACS524349 AMO524306:AMO524349 AWK524306:AWK524349 BGG524306:BGG524349 BQC524306:BQC524349 BZY524306:BZY524349 CJU524306:CJU524349 CTQ524306:CTQ524349 DDM524306:DDM524349 DNI524306:DNI524349 DXE524306:DXE524349 EHA524306:EHA524349 EQW524306:EQW524349 FAS524306:FAS524349 FKO524306:FKO524349 FUK524306:FUK524349 GEG524306:GEG524349 GOC524306:GOC524349 GXY524306:GXY524349 HHU524306:HHU524349 HRQ524306:HRQ524349 IBM524306:IBM524349 ILI524306:ILI524349 IVE524306:IVE524349 JFA524306:JFA524349 JOW524306:JOW524349 JYS524306:JYS524349 KIO524306:KIO524349 KSK524306:KSK524349 LCG524306:LCG524349 LMC524306:LMC524349 LVY524306:LVY524349 MFU524306:MFU524349 MPQ524306:MPQ524349 MZM524306:MZM524349 NJI524306:NJI524349 NTE524306:NTE524349 ODA524306:ODA524349 OMW524306:OMW524349 OWS524306:OWS524349 PGO524306:PGO524349 PQK524306:PQK524349 QAG524306:QAG524349 QKC524306:QKC524349 QTY524306:QTY524349 RDU524306:RDU524349 RNQ524306:RNQ524349 RXM524306:RXM524349 SHI524306:SHI524349 SRE524306:SRE524349 TBA524306:TBA524349 TKW524306:TKW524349 TUS524306:TUS524349 UEO524306:UEO524349 UOK524306:UOK524349 UYG524306:UYG524349 VIC524306:VIC524349 VRY524306:VRY524349 WBU524306:WBU524349 WLQ524306:WLQ524349 WVM524306:WVM524349 C589842:C589885 JA589842:JA589885 SW589842:SW589885 ACS589842:ACS589885 AMO589842:AMO589885 AWK589842:AWK589885 BGG589842:BGG589885 BQC589842:BQC589885 BZY589842:BZY589885 CJU589842:CJU589885 CTQ589842:CTQ589885 DDM589842:DDM589885 DNI589842:DNI589885 DXE589842:DXE589885 EHA589842:EHA589885 EQW589842:EQW589885 FAS589842:FAS589885 FKO589842:FKO589885 FUK589842:FUK589885 GEG589842:GEG589885 GOC589842:GOC589885 GXY589842:GXY589885 HHU589842:HHU589885 HRQ589842:HRQ589885 IBM589842:IBM589885 ILI589842:ILI589885 IVE589842:IVE589885 JFA589842:JFA589885 JOW589842:JOW589885 JYS589842:JYS589885 KIO589842:KIO589885 KSK589842:KSK589885 LCG589842:LCG589885 LMC589842:LMC589885 LVY589842:LVY589885 MFU589842:MFU589885 MPQ589842:MPQ589885 MZM589842:MZM589885 NJI589842:NJI589885 NTE589842:NTE589885 ODA589842:ODA589885 OMW589842:OMW589885 OWS589842:OWS589885 PGO589842:PGO589885 PQK589842:PQK589885 QAG589842:QAG589885 QKC589842:QKC589885 QTY589842:QTY589885 RDU589842:RDU589885 RNQ589842:RNQ589885 RXM589842:RXM589885 SHI589842:SHI589885 SRE589842:SRE589885 TBA589842:TBA589885 TKW589842:TKW589885 TUS589842:TUS589885 UEO589842:UEO589885 UOK589842:UOK589885 UYG589842:UYG589885 VIC589842:VIC589885 VRY589842:VRY589885 WBU589842:WBU589885 WLQ589842:WLQ589885 WVM589842:WVM589885 C655378:C655421 JA655378:JA655421 SW655378:SW655421 ACS655378:ACS655421 AMO655378:AMO655421 AWK655378:AWK655421 BGG655378:BGG655421 BQC655378:BQC655421 BZY655378:BZY655421 CJU655378:CJU655421 CTQ655378:CTQ655421 DDM655378:DDM655421 DNI655378:DNI655421 DXE655378:DXE655421 EHA655378:EHA655421 EQW655378:EQW655421 FAS655378:FAS655421 FKO655378:FKO655421 FUK655378:FUK655421 GEG655378:GEG655421 GOC655378:GOC655421 GXY655378:GXY655421 HHU655378:HHU655421 HRQ655378:HRQ655421 IBM655378:IBM655421 ILI655378:ILI655421 IVE655378:IVE655421 JFA655378:JFA655421 JOW655378:JOW655421 JYS655378:JYS655421 KIO655378:KIO655421 KSK655378:KSK655421 LCG655378:LCG655421 LMC655378:LMC655421 LVY655378:LVY655421 MFU655378:MFU655421 MPQ655378:MPQ655421 MZM655378:MZM655421 NJI655378:NJI655421 NTE655378:NTE655421 ODA655378:ODA655421 OMW655378:OMW655421 OWS655378:OWS655421 PGO655378:PGO655421 PQK655378:PQK655421 QAG655378:QAG655421 QKC655378:QKC655421 QTY655378:QTY655421 RDU655378:RDU655421 RNQ655378:RNQ655421 RXM655378:RXM655421 SHI655378:SHI655421 SRE655378:SRE655421 TBA655378:TBA655421 TKW655378:TKW655421 TUS655378:TUS655421 UEO655378:UEO655421 UOK655378:UOK655421 UYG655378:UYG655421 VIC655378:VIC655421 VRY655378:VRY655421 WBU655378:WBU655421 WLQ655378:WLQ655421 WVM655378:WVM655421 C720914:C720957 JA720914:JA720957 SW720914:SW720957 ACS720914:ACS720957 AMO720914:AMO720957 AWK720914:AWK720957 BGG720914:BGG720957 BQC720914:BQC720957 BZY720914:BZY720957 CJU720914:CJU720957 CTQ720914:CTQ720957 DDM720914:DDM720957 DNI720914:DNI720957 DXE720914:DXE720957 EHA720914:EHA720957 EQW720914:EQW720957 FAS720914:FAS720957 FKO720914:FKO720957 FUK720914:FUK720957 GEG720914:GEG720957 GOC720914:GOC720957 GXY720914:GXY720957 HHU720914:HHU720957 HRQ720914:HRQ720957 IBM720914:IBM720957 ILI720914:ILI720957 IVE720914:IVE720957 JFA720914:JFA720957 JOW720914:JOW720957 JYS720914:JYS720957 KIO720914:KIO720957 KSK720914:KSK720957 LCG720914:LCG720957 LMC720914:LMC720957 LVY720914:LVY720957 MFU720914:MFU720957 MPQ720914:MPQ720957 MZM720914:MZM720957 NJI720914:NJI720957 NTE720914:NTE720957 ODA720914:ODA720957 OMW720914:OMW720957 OWS720914:OWS720957 PGO720914:PGO720957 PQK720914:PQK720957 QAG720914:QAG720957 QKC720914:QKC720957 QTY720914:QTY720957 RDU720914:RDU720957 RNQ720914:RNQ720957 RXM720914:RXM720957 SHI720914:SHI720957 SRE720914:SRE720957 TBA720914:TBA720957 TKW720914:TKW720957 TUS720914:TUS720957 UEO720914:UEO720957 UOK720914:UOK720957 UYG720914:UYG720957 VIC720914:VIC720957 VRY720914:VRY720957 WBU720914:WBU720957 WLQ720914:WLQ720957 WVM720914:WVM720957 C786450:C786493 JA786450:JA786493 SW786450:SW786493 ACS786450:ACS786493 AMO786450:AMO786493 AWK786450:AWK786493 BGG786450:BGG786493 BQC786450:BQC786493 BZY786450:BZY786493 CJU786450:CJU786493 CTQ786450:CTQ786493 DDM786450:DDM786493 DNI786450:DNI786493 DXE786450:DXE786493 EHA786450:EHA786493 EQW786450:EQW786493 FAS786450:FAS786493 FKO786450:FKO786493 FUK786450:FUK786493 GEG786450:GEG786493 GOC786450:GOC786493 GXY786450:GXY786493 HHU786450:HHU786493 HRQ786450:HRQ786493 IBM786450:IBM786493 ILI786450:ILI786493 IVE786450:IVE786493 JFA786450:JFA786493 JOW786450:JOW786493 JYS786450:JYS786493 KIO786450:KIO786493 KSK786450:KSK786493 LCG786450:LCG786493 LMC786450:LMC786493 LVY786450:LVY786493 MFU786450:MFU786493 MPQ786450:MPQ786493 MZM786450:MZM786493 NJI786450:NJI786493 NTE786450:NTE786493 ODA786450:ODA786493 OMW786450:OMW786493 OWS786450:OWS786493 PGO786450:PGO786493 PQK786450:PQK786493 QAG786450:QAG786493 QKC786450:QKC786493 QTY786450:QTY786493 RDU786450:RDU786493 RNQ786450:RNQ786493 RXM786450:RXM786493 SHI786450:SHI786493 SRE786450:SRE786493 TBA786450:TBA786493 TKW786450:TKW786493 TUS786450:TUS786493 UEO786450:UEO786493 UOK786450:UOK786493 UYG786450:UYG786493 VIC786450:VIC786493 VRY786450:VRY786493 WBU786450:WBU786493 WLQ786450:WLQ786493 WVM786450:WVM786493 C851986:C852029 JA851986:JA852029 SW851986:SW852029 ACS851986:ACS852029 AMO851986:AMO852029 AWK851986:AWK852029 BGG851986:BGG852029 BQC851986:BQC852029 BZY851986:BZY852029 CJU851986:CJU852029 CTQ851986:CTQ852029 DDM851986:DDM852029 DNI851986:DNI852029 DXE851986:DXE852029 EHA851986:EHA852029 EQW851986:EQW852029 FAS851986:FAS852029 FKO851986:FKO852029 FUK851986:FUK852029 GEG851986:GEG852029 GOC851986:GOC852029 GXY851986:GXY852029 HHU851986:HHU852029 HRQ851986:HRQ852029 IBM851986:IBM852029 ILI851986:ILI852029 IVE851986:IVE852029 JFA851986:JFA852029 JOW851986:JOW852029 JYS851986:JYS852029 KIO851986:KIO852029 KSK851986:KSK852029 LCG851986:LCG852029 LMC851986:LMC852029 LVY851986:LVY852029 MFU851986:MFU852029 MPQ851986:MPQ852029 MZM851986:MZM852029 NJI851986:NJI852029 NTE851986:NTE852029 ODA851986:ODA852029 OMW851986:OMW852029 OWS851986:OWS852029 PGO851986:PGO852029 PQK851986:PQK852029 QAG851986:QAG852029 QKC851986:QKC852029 QTY851986:QTY852029 RDU851986:RDU852029 RNQ851986:RNQ852029 RXM851986:RXM852029 SHI851986:SHI852029 SRE851986:SRE852029 TBA851986:TBA852029 TKW851986:TKW852029 TUS851986:TUS852029 UEO851986:UEO852029 UOK851986:UOK852029 UYG851986:UYG852029 VIC851986:VIC852029 VRY851986:VRY852029 WBU851986:WBU852029 WLQ851986:WLQ852029 WVM851986:WVM852029 C917522:C917565 JA917522:JA917565 SW917522:SW917565 ACS917522:ACS917565 AMO917522:AMO917565 AWK917522:AWK917565 BGG917522:BGG917565 BQC917522:BQC917565 BZY917522:BZY917565 CJU917522:CJU917565 CTQ917522:CTQ917565 DDM917522:DDM917565 DNI917522:DNI917565 DXE917522:DXE917565 EHA917522:EHA917565 EQW917522:EQW917565 FAS917522:FAS917565 FKO917522:FKO917565 FUK917522:FUK917565 GEG917522:GEG917565 GOC917522:GOC917565 GXY917522:GXY917565 HHU917522:HHU917565 HRQ917522:HRQ917565 IBM917522:IBM917565 ILI917522:ILI917565 IVE917522:IVE917565 JFA917522:JFA917565 JOW917522:JOW917565 JYS917522:JYS917565 KIO917522:KIO917565 KSK917522:KSK917565 LCG917522:LCG917565 LMC917522:LMC917565 LVY917522:LVY917565 MFU917522:MFU917565 MPQ917522:MPQ917565 MZM917522:MZM917565 NJI917522:NJI917565 NTE917522:NTE917565 ODA917522:ODA917565 OMW917522:OMW917565 OWS917522:OWS917565 PGO917522:PGO917565 PQK917522:PQK917565 QAG917522:QAG917565 QKC917522:QKC917565 QTY917522:QTY917565 RDU917522:RDU917565 RNQ917522:RNQ917565 RXM917522:RXM917565 SHI917522:SHI917565 SRE917522:SRE917565 TBA917522:TBA917565 TKW917522:TKW917565 TUS917522:TUS917565 UEO917522:UEO917565 UOK917522:UOK917565 UYG917522:UYG917565 VIC917522:VIC917565 VRY917522:VRY917565 WBU917522:WBU917565 WLQ917522:WLQ917565 WVM917522:WVM917565 C983058:C983101 JA983058:JA983101 SW983058:SW983101 ACS983058:ACS983101 AMO983058:AMO983101 AWK983058:AWK983101 BGG983058:BGG983101 BQC983058:BQC983101 BZY983058:BZY983101 CJU983058:CJU983101 CTQ983058:CTQ983101 DDM983058:DDM983101 DNI983058:DNI983101 DXE983058:DXE983101 EHA983058:EHA983101 EQW983058:EQW983101 FAS983058:FAS983101 FKO983058:FKO983101 FUK983058:FUK983101 GEG983058:GEG983101 GOC983058:GOC983101 GXY983058:GXY983101 HHU983058:HHU983101 HRQ983058:HRQ983101 IBM983058:IBM983101 ILI983058:ILI983101 IVE983058:IVE983101 JFA983058:JFA983101 JOW983058:JOW983101 JYS983058:JYS983101 KIO983058:KIO983101 KSK983058:KSK983101 LCG983058:LCG983101 LMC983058:LMC983101 LVY983058:LVY983101 MFU983058:MFU983101 MPQ983058:MPQ983101 MZM983058:MZM983101 NJI983058:NJI983101 NTE983058:NTE983101 ODA983058:ODA983101 OMW983058:OMW983101 OWS983058:OWS983101 PGO983058:PGO983101 PQK983058:PQK983101 QAG983058:QAG983101 QKC983058:QKC983101 QTY983058:QTY983101 RDU983058:RDU983101 RNQ983058:RNQ983101 RXM983058:RXM983101 SHI983058:SHI983101 SRE983058:SRE983101 TBA983058:TBA983101 TKW983058:TKW983101 TUS983058:TUS983101 UEO983058:UEO983101 UOK983058:UOK983101 UYG983058:UYG983101 VIC983058:VIC983101 VRY983058:VRY983101 WBU983058:WBU983101 WLQ983058:WLQ983101 WVM17:WVM61 WLQ17:WLQ61 WBU17:WBU61 VRY17:VRY61 VIC17:VIC61 UYG17:UYG61 UOK17:UOK61 UEO17:UEO61 TUS17:TUS61 TKW17:TKW61 TBA17:TBA61 SRE17:SRE61 SHI17:SHI61 RXM17:RXM61 RNQ17:RNQ61 RDU17:RDU61 QTY17:QTY61 QKC17:QKC61 QAG17:QAG61 PQK17:PQK61 PGO17:PGO61 OWS17:OWS61 OMW17:OMW61 ODA17:ODA61 NTE17:NTE61 NJI17:NJI61 MZM17:MZM61 MPQ17:MPQ61 MFU17:MFU61 LVY17:LVY61 LMC17:LMC61 LCG17:LCG61 KSK17:KSK61 KIO17:KIO61 JYS17:JYS61 JOW17:JOW61 JFA17:JFA61 IVE17:IVE61 ILI17:ILI61 IBM17:IBM61 HRQ17:HRQ61 HHU17:HHU61 GXY17:GXY61 GOC17:GOC61 GEG17:GEG61 FUK17:FUK61 FKO17:FKO61 FAS17:FAS61 EQW17:EQW61 EHA17:EHA61 DXE17:DXE61 DNI17:DNI61 DDM17:DDM61 CTQ17:CTQ61 CJU17:CJU61 BZY17:BZY61 BQC17:BQC61 BGG17:BGG61 AWK17:AWK61 AMO17:AMO61 ACS17:ACS61 SW17:SW61 JA17:JA61 C17:C61 WVM71:WVM115 WLQ71:WLQ115 WBU71:WBU115 VRY71:VRY115 VIC71:VIC115 UYG71:UYG115 UOK71:UOK115 UEO71:UEO115 TUS71:TUS115 TKW71:TKW115 TBA71:TBA115 SRE71:SRE115 SHI71:SHI115 RXM71:RXM115 RNQ71:RNQ115 RDU71:RDU115 QTY71:QTY115 QKC71:QKC115 QAG71:QAG115 PQK71:PQK115 PGO71:PGO115 OWS71:OWS115 OMW71:OMW115 ODA71:ODA115 NTE71:NTE115 NJI71:NJI115 MZM71:MZM115 MPQ71:MPQ115 MFU71:MFU115 LVY71:LVY115 LMC71:LMC115 LCG71:LCG115 KSK71:KSK115 KIO71:KIO115 JYS71:JYS115 JOW71:JOW115 JFA71:JFA115 IVE71:IVE115 ILI71:ILI115 IBM71:IBM115 HRQ71:HRQ115 HHU71:HHU115 GXY71:GXY115 GOC71:GOC115 GEG71:GEG115 FUK71:FUK115 FKO71:FKO115 FAS71:FAS115 EQW71:EQW115 EHA71:EHA115 DXE71:DXE115 DNI71:DNI115 DDM71:DDM115 CTQ71:CTQ115 CJU71:CJU115 BZY71:BZY115 BQC71:BQC115 BGG71:BGG115 AWK71:AWK115 AMO71:AMO115 ACS71:ACS115 SW71:SW115 JA71:JA115 C71:C115" xr:uid="{E6DCB3DE-878F-49AF-ABDC-69E6EC3203C6}">
      <formula1>0</formula1>
    </dataValidation>
    <dataValidation type="decimal" operator="lessThanOrEqual" allowBlank="1" showInputMessage="1" showErrorMessage="1" errorTitle="Positief bedrag" error="Gelieve een negatief bedrag in te geven" sqref="F65554:H65597 JD65554:JD65597 SZ65554:SZ65597 ACV65554:ACV65597 AMR65554:AMR65597 AWN65554:AWN65597 BGJ65554:BGJ65597 BQF65554:BQF65597 CAB65554:CAB65597 CJX65554:CJX65597 CTT65554:CTT65597 DDP65554:DDP65597 DNL65554:DNL65597 DXH65554:DXH65597 EHD65554:EHD65597 EQZ65554:EQZ65597 FAV65554:FAV65597 FKR65554:FKR65597 FUN65554:FUN65597 GEJ65554:GEJ65597 GOF65554:GOF65597 GYB65554:GYB65597 HHX65554:HHX65597 HRT65554:HRT65597 IBP65554:IBP65597 ILL65554:ILL65597 IVH65554:IVH65597 JFD65554:JFD65597 JOZ65554:JOZ65597 JYV65554:JYV65597 KIR65554:KIR65597 KSN65554:KSN65597 LCJ65554:LCJ65597 LMF65554:LMF65597 LWB65554:LWB65597 MFX65554:MFX65597 MPT65554:MPT65597 MZP65554:MZP65597 NJL65554:NJL65597 NTH65554:NTH65597 ODD65554:ODD65597 OMZ65554:OMZ65597 OWV65554:OWV65597 PGR65554:PGR65597 PQN65554:PQN65597 QAJ65554:QAJ65597 QKF65554:QKF65597 QUB65554:QUB65597 RDX65554:RDX65597 RNT65554:RNT65597 RXP65554:RXP65597 SHL65554:SHL65597 SRH65554:SRH65597 TBD65554:TBD65597 TKZ65554:TKZ65597 TUV65554:TUV65597 UER65554:UER65597 UON65554:UON65597 UYJ65554:UYJ65597 VIF65554:VIF65597 VSB65554:VSB65597 WBX65554:WBX65597 WLT65554:WLT65597 WVP65554:WVP65597 F131090:H131133 JD131090:JD131133 SZ131090:SZ131133 ACV131090:ACV131133 AMR131090:AMR131133 AWN131090:AWN131133 BGJ131090:BGJ131133 BQF131090:BQF131133 CAB131090:CAB131133 CJX131090:CJX131133 CTT131090:CTT131133 DDP131090:DDP131133 DNL131090:DNL131133 DXH131090:DXH131133 EHD131090:EHD131133 EQZ131090:EQZ131133 FAV131090:FAV131133 FKR131090:FKR131133 FUN131090:FUN131133 GEJ131090:GEJ131133 GOF131090:GOF131133 GYB131090:GYB131133 HHX131090:HHX131133 HRT131090:HRT131133 IBP131090:IBP131133 ILL131090:ILL131133 IVH131090:IVH131133 JFD131090:JFD131133 JOZ131090:JOZ131133 JYV131090:JYV131133 KIR131090:KIR131133 KSN131090:KSN131133 LCJ131090:LCJ131133 LMF131090:LMF131133 LWB131090:LWB131133 MFX131090:MFX131133 MPT131090:MPT131133 MZP131090:MZP131133 NJL131090:NJL131133 NTH131090:NTH131133 ODD131090:ODD131133 OMZ131090:OMZ131133 OWV131090:OWV131133 PGR131090:PGR131133 PQN131090:PQN131133 QAJ131090:QAJ131133 QKF131090:QKF131133 QUB131090:QUB131133 RDX131090:RDX131133 RNT131090:RNT131133 RXP131090:RXP131133 SHL131090:SHL131133 SRH131090:SRH131133 TBD131090:TBD131133 TKZ131090:TKZ131133 TUV131090:TUV131133 UER131090:UER131133 UON131090:UON131133 UYJ131090:UYJ131133 VIF131090:VIF131133 VSB131090:VSB131133 WBX131090:WBX131133 WLT131090:WLT131133 WVP131090:WVP131133 F196626:H196669 JD196626:JD196669 SZ196626:SZ196669 ACV196626:ACV196669 AMR196626:AMR196669 AWN196626:AWN196669 BGJ196626:BGJ196669 BQF196626:BQF196669 CAB196626:CAB196669 CJX196626:CJX196669 CTT196626:CTT196669 DDP196626:DDP196669 DNL196626:DNL196669 DXH196626:DXH196669 EHD196626:EHD196669 EQZ196626:EQZ196669 FAV196626:FAV196669 FKR196626:FKR196669 FUN196626:FUN196669 GEJ196626:GEJ196669 GOF196626:GOF196669 GYB196626:GYB196669 HHX196626:HHX196669 HRT196626:HRT196669 IBP196626:IBP196669 ILL196626:ILL196669 IVH196626:IVH196669 JFD196626:JFD196669 JOZ196626:JOZ196669 JYV196626:JYV196669 KIR196626:KIR196669 KSN196626:KSN196669 LCJ196626:LCJ196669 LMF196626:LMF196669 LWB196626:LWB196669 MFX196626:MFX196669 MPT196626:MPT196669 MZP196626:MZP196669 NJL196626:NJL196669 NTH196626:NTH196669 ODD196626:ODD196669 OMZ196626:OMZ196669 OWV196626:OWV196669 PGR196626:PGR196669 PQN196626:PQN196669 QAJ196626:QAJ196669 QKF196626:QKF196669 QUB196626:QUB196669 RDX196626:RDX196669 RNT196626:RNT196669 RXP196626:RXP196669 SHL196626:SHL196669 SRH196626:SRH196669 TBD196626:TBD196669 TKZ196626:TKZ196669 TUV196626:TUV196669 UER196626:UER196669 UON196626:UON196669 UYJ196626:UYJ196669 VIF196626:VIF196669 VSB196626:VSB196669 WBX196626:WBX196669 WLT196626:WLT196669 WVP196626:WVP196669 F262162:H262205 JD262162:JD262205 SZ262162:SZ262205 ACV262162:ACV262205 AMR262162:AMR262205 AWN262162:AWN262205 BGJ262162:BGJ262205 BQF262162:BQF262205 CAB262162:CAB262205 CJX262162:CJX262205 CTT262162:CTT262205 DDP262162:DDP262205 DNL262162:DNL262205 DXH262162:DXH262205 EHD262162:EHD262205 EQZ262162:EQZ262205 FAV262162:FAV262205 FKR262162:FKR262205 FUN262162:FUN262205 GEJ262162:GEJ262205 GOF262162:GOF262205 GYB262162:GYB262205 HHX262162:HHX262205 HRT262162:HRT262205 IBP262162:IBP262205 ILL262162:ILL262205 IVH262162:IVH262205 JFD262162:JFD262205 JOZ262162:JOZ262205 JYV262162:JYV262205 KIR262162:KIR262205 KSN262162:KSN262205 LCJ262162:LCJ262205 LMF262162:LMF262205 LWB262162:LWB262205 MFX262162:MFX262205 MPT262162:MPT262205 MZP262162:MZP262205 NJL262162:NJL262205 NTH262162:NTH262205 ODD262162:ODD262205 OMZ262162:OMZ262205 OWV262162:OWV262205 PGR262162:PGR262205 PQN262162:PQN262205 QAJ262162:QAJ262205 QKF262162:QKF262205 QUB262162:QUB262205 RDX262162:RDX262205 RNT262162:RNT262205 RXP262162:RXP262205 SHL262162:SHL262205 SRH262162:SRH262205 TBD262162:TBD262205 TKZ262162:TKZ262205 TUV262162:TUV262205 UER262162:UER262205 UON262162:UON262205 UYJ262162:UYJ262205 VIF262162:VIF262205 VSB262162:VSB262205 WBX262162:WBX262205 WLT262162:WLT262205 WVP262162:WVP262205 F327698:H327741 JD327698:JD327741 SZ327698:SZ327741 ACV327698:ACV327741 AMR327698:AMR327741 AWN327698:AWN327741 BGJ327698:BGJ327741 BQF327698:BQF327741 CAB327698:CAB327741 CJX327698:CJX327741 CTT327698:CTT327741 DDP327698:DDP327741 DNL327698:DNL327741 DXH327698:DXH327741 EHD327698:EHD327741 EQZ327698:EQZ327741 FAV327698:FAV327741 FKR327698:FKR327741 FUN327698:FUN327741 GEJ327698:GEJ327741 GOF327698:GOF327741 GYB327698:GYB327741 HHX327698:HHX327741 HRT327698:HRT327741 IBP327698:IBP327741 ILL327698:ILL327741 IVH327698:IVH327741 JFD327698:JFD327741 JOZ327698:JOZ327741 JYV327698:JYV327741 KIR327698:KIR327741 KSN327698:KSN327741 LCJ327698:LCJ327741 LMF327698:LMF327741 LWB327698:LWB327741 MFX327698:MFX327741 MPT327698:MPT327741 MZP327698:MZP327741 NJL327698:NJL327741 NTH327698:NTH327741 ODD327698:ODD327741 OMZ327698:OMZ327741 OWV327698:OWV327741 PGR327698:PGR327741 PQN327698:PQN327741 QAJ327698:QAJ327741 QKF327698:QKF327741 QUB327698:QUB327741 RDX327698:RDX327741 RNT327698:RNT327741 RXP327698:RXP327741 SHL327698:SHL327741 SRH327698:SRH327741 TBD327698:TBD327741 TKZ327698:TKZ327741 TUV327698:TUV327741 UER327698:UER327741 UON327698:UON327741 UYJ327698:UYJ327741 VIF327698:VIF327741 VSB327698:VSB327741 WBX327698:WBX327741 WLT327698:WLT327741 WVP327698:WVP327741 F393234:H393277 JD393234:JD393277 SZ393234:SZ393277 ACV393234:ACV393277 AMR393234:AMR393277 AWN393234:AWN393277 BGJ393234:BGJ393277 BQF393234:BQF393277 CAB393234:CAB393277 CJX393234:CJX393277 CTT393234:CTT393277 DDP393234:DDP393277 DNL393234:DNL393277 DXH393234:DXH393277 EHD393234:EHD393277 EQZ393234:EQZ393277 FAV393234:FAV393277 FKR393234:FKR393277 FUN393234:FUN393277 GEJ393234:GEJ393277 GOF393234:GOF393277 GYB393234:GYB393277 HHX393234:HHX393277 HRT393234:HRT393277 IBP393234:IBP393277 ILL393234:ILL393277 IVH393234:IVH393277 JFD393234:JFD393277 JOZ393234:JOZ393277 JYV393234:JYV393277 KIR393234:KIR393277 KSN393234:KSN393277 LCJ393234:LCJ393277 LMF393234:LMF393277 LWB393234:LWB393277 MFX393234:MFX393277 MPT393234:MPT393277 MZP393234:MZP393277 NJL393234:NJL393277 NTH393234:NTH393277 ODD393234:ODD393277 OMZ393234:OMZ393277 OWV393234:OWV393277 PGR393234:PGR393277 PQN393234:PQN393277 QAJ393234:QAJ393277 QKF393234:QKF393277 QUB393234:QUB393277 RDX393234:RDX393277 RNT393234:RNT393277 RXP393234:RXP393277 SHL393234:SHL393277 SRH393234:SRH393277 TBD393234:TBD393277 TKZ393234:TKZ393277 TUV393234:TUV393277 UER393234:UER393277 UON393234:UON393277 UYJ393234:UYJ393277 VIF393234:VIF393277 VSB393234:VSB393277 WBX393234:WBX393277 WLT393234:WLT393277 WVP393234:WVP393277 F458770:H458813 JD458770:JD458813 SZ458770:SZ458813 ACV458770:ACV458813 AMR458770:AMR458813 AWN458770:AWN458813 BGJ458770:BGJ458813 BQF458770:BQF458813 CAB458770:CAB458813 CJX458770:CJX458813 CTT458770:CTT458813 DDP458770:DDP458813 DNL458770:DNL458813 DXH458770:DXH458813 EHD458770:EHD458813 EQZ458770:EQZ458813 FAV458770:FAV458813 FKR458770:FKR458813 FUN458770:FUN458813 GEJ458770:GEJ458813 GOF458770:GOF458813 GYB458770:GYB458813 HHX458770:HHX458813 HRT458770:HRT458813 IBP458770:IBP458813 ILL458770:ILL458813 IVH458770:IVH458813 JFD458770:JFD458813 JOZ458770:JOZ458813 JYV458770:JYV458813 KIR458770:KIR458813 KSN458770:KSN458813 LCJ458770:LCJ458813 LMF458770:LMF458813 LWB458770:LWB458813 MFX458770:MFX458813 MPT458770:MPT458813 MZP458770:MZP458813 NJL458770:NJL458813 NTH458770:NTH458813 ODD458770:ODD458813 OMZ458770:OMZ458813 OWV458770:OWV458813 PGR458770:PGR458813 PQN458770:PQN458813 QAJ458770:QAJ458813 QKF458770:QKF458813 QUB458770:QUB458813 RDX458770:RDX458813 RNT458770:RNT458813 RXP458770:RXP458813 SHL458770:SHL458813 SRH458770:SRH458813 TBD458770:TBD458813 TKZ458770:TKZ458813 TUV458770:TUV458813 UER458770:UER458813 UON458770:UON458813 UYJ458770:UYJ458813 VIF458770:VIF458813 VSB458770:VSB458813 WBX458770:WBX458813 WLT458770:WLT458813 WVP458770:WVP458813 F524306:H524349 JD524306:JD524349 SZ524306:SZ524349 ACV524306:ACV524349 AMR524306:AMR524349 AWN524306:AWN524349 BGJ524306:BGJ524349 BQF524306:BQF524349 CAB524306:CAB524349 CJX524306:CJX524349 CTT524306:CTT524349 DDP524306:DDP524349 DNL524306:DNL524349 DXH524306:DXH524349 EHD524306:EHD524349 EQZ524306:EQZ524349 FAV524306:FAV524349 FKR524306:FKR524349 FUN524306:FUN524349 GEJ524306:GEJ524349 GOF524306:GOF524349 GYB524306:GYB524349 HHX524306:HHX524349 HRT524306:HRT524349 IBP524306:IBP524349 ILL524306:ILL524349 IVH524306:IVH524349 JFD524306:JFD524349 JOZ524306:JOZ524349 JYV524306:JYV524349 KIR524306:KIR524349 KSN524306:KSN524349 LCJ524306:LCJ524349 LMF524306:LMF524349 LWB524306:LWB524349 MFX524306:MFX524349 MPT524306:MPT524349 MZP524306:MZP524349 NJL524306:NJL524349 NTH524306:NTH524349 ODD524306:ODD524349 OMZ524306:OMZ524349 OWV524306:OWV524349 PGR524306:PGR524349 PQN524306:PQN524349 QAJ524306:QAJ524349 QKF524306:QKF524349 QUB524306:QUB524349 RDX524306:RDX524349 RNT524306:RNT524349 RXP524306:RXP524349 SHL524306:SHL524349 SRH524306:SRH524349 TBD524306:TBD524349 TKZ524306:TKZ524349 TUV524306:TUV524349 UER524306:UER524349 UON524306:UON524349 UYJ524306:UYJ524349 VIF524306:VIF524349 VSB524306:VSB524349 WBX524306:WBX524349 WLT524306:WLT524349 WVP524306:WVP524349 F589842:H589885 JD589842:JD589885 SZ589842:SZ589885 ACV589842:ACV589885 AMR589842:AMR589885 AWN589842:AWN589885 BGJ589842:BGJ589885 BQF589842:BQF589885 CAB589842:CAB589885 CJX589842:CJX589885 CTT589842:CTT589885 DDP589842:DDP589885 DNL589842:DNL589885 DXH589842:DXH589885 EHD589842:EHD589885 EQZ589842:EQZ589885 FAV589842:FAV589885 FKR589842:FKR589885 FUN589842:FUN589885 GEJ589842:GEJ589885 GOF589842:GOF589885 GYB589842:GYB589885 HHX589842:HHX589885 HRT589842:HRT589885 IBP589842:IBP589885 ILL589842:ILL589885 IVH589842:IVH589885 JFD589842:JFD589885 JOZ589842:JOZ589885 JYV589842:JYV589885 KIR589842:KIR589885 KSN589842:KSN589885 LCJ589842:LCJ589885 LMF589842:LMF589885 LWB589842:LWB589885 MFX589842:MFX589885 MPT589842:MPT589885 MZP589842:MZP589885 NJL589842:NJL589885 NTH589842:NTH589885 ODD589842:ODD589885 OMZ589842:OMZ589885 OWV589842:OWV589885 PGR589842:PGR589885 PQN589842:PQN589885 QAJ589842:QAJ589885 QKF589842:QKF589885 QUB589842:QUB589885 RDX589842:RDX589885 RNT589842:RNT589885 RXP589842:RXP589885 SHL589842:SHL589885 SRH589842:SRH589885 TBD589842:TBD589885 TKZ589842:TKZ589885 TUV589842:TUV589885 UER589842:UER589885 UON589842:UON589885 UYJ589842:UYJ589885 VIF589842:VIF589885 VSB589842:VSB589885 WBX589842:WBX589885 WLT589842:WLT589885 WVP589842:WVP589885 F655378:H655421 JD655378:JD655421 SZ655378:SZ655421 ACV655378:ACV655421 AMR655378:AMR655421 AWN655378:AWN655421 BGJ655378:BGJ655421 BQF655378:BQF655421 CAB655378:CAB655421 CJX655378:CJX655421 CTT655378:CTT655421 DDP655378:DDP655421 DNL655378:DNL655421 DXH655378:DXH655421 EHD655378:EHD655421 EQZ655378:EQZ655421 FAV655378:FAV655421 FKR655378:FKR655421 FUN655378:FUN655421 GEJ655378:GEJ655421 GOF655378:GOF655421 GYB655378:GYB655421 HHX655378:HHX655421 HRT655378:HRT655421 IBP655378:IBP655421 ILL655378:ILL655421 IVH655378:IVH655421 JFD655378:JFD655421 JOZ655378:JOZ655421 JYV655378:JYV655421 KIR655378:KIR655421 KSN655378:KSN655421 LCJ655378:LCJ655421 LMF655378:LMF655421 LWB655378:LWB655421 MFX655378:MFX655421 MPT655378:MPT655421 MZP655378:MZP655421 NJL655378:NJL655421 NTH655378:NTH655421 ODD655378:ODD655421 OMZ655378:OMZ655421 OWV655378:OWV655421 PGR655378:PGR655421 PQN655378:PQN655421 QAJ655378:QAJ655421 QKF655378:QKF655421 QUB655378:QUB655421 RDX655378:RDX655421 RNT655378:RNT655421 RXP655378:RXP655421 SHL655378:SHL655421 SRH655378:SRH655421 TBD655378:TBD655421 TKZ655378:TKZ655421 TUV655378:TUV655421 UER655378:UER655421 UON655378:UON655421 UYJ655378:UYJ655421 VIF655378:VIF655421 VSB655378:VSB655421 WBX655378:WBX655421 WLT655378:WLT655421 WVP655378:WVP655421 F720914:H720957 JD720914:JD720957 SZ720914:SZ720957 ACV720914:ACV720957 AMR720914:AMR720957 AWN720914:AWN720957 BGJ720914:BGJ720957 BQF720914:BQF720957 CAB720914:CAB720957 CJX720914:CJX720957 CTT720914:CTT720957 DDP720914:DDP720957 DNL720914:DNL720957 DXH720914:DXH720957 EHD720914:EHD720957 EQZ720914:EQZ720957 FAV720914:FAV720957 FKR720914:FKR720957 FUN720914:FUN720957 GEJ720914:GEJ720957 GOF720914:GOF720957 GYB720914:GYB720957 HHX720914:HHX720957 HRT720914:HRT720957 IBP720914:IBP720957 ILL720914:ILL720957 IVH720914:IVH720957 JFD720914:JFD720957 JOZ720914:JOZ720957 JYV720914:JYV720957 KIR720914:KIR720957 KSN720914:KSN720957 LCJ720914:LCJ720957 LMF720914:LMF720957 LWB720914:LWB720957 MFX720914:MFX720957 MPT720914:MPT720957 MZP720914:MZP720957 NJL720914:NJL720957 NTH720914:NTH720957 ODD720914:ODD720957 OMZ720914:OMZ720957 OWV720914:OWV720957 PGR720914:PGR720957 PQN720914:PQN720957 QAJ720914:QAJ720957 QKF720914:QKF720957 QUB720914:QUB720957 RDX720914:RDX720957 RNT720914:RNT720957 RXP720914:RXP720957 SHL720914:SHL720957 SRH720914:SRH720957 TBD720914:TBD720957 TKZ720914:TKZ720957 TUV720914:TUV720957 UER720914:UER720957 UON720914:UON720957 UYJ720914:UYJ720957 VIF720914:VIF720957 VSB720914:VSB720957 WBX720914:WBX720957 WLT720914:WLT720957 WVP720914:WVP720957 F786450:H786493 JD786450:JD786493 SZ786450:SZ786493 ACV786450:ACV786493 AMR786450:AMR786493 AWN786450:AWN786493 BGJ786450:BGJ786493 BQF786450:BQF786493 CAB786450:CAB786493 CJX786450:CJX786493 CTT786450:CTT786493 DDP786450:DDP786493 DNL786450:DNL786493 DXH786450:DXH786493 EHD786450:EHD786493 EQZ786450:EQZ786493 FAV786450:FAV786493 FKR786450:FKR786493 FUN786450:FUN786493 GEJ786450:GEJ786493 GOF786450:GOF786493 GYB786450:GYB786493 HHX786450:HHX786493 HRT786450:HRT786493 IBP786450:IBP786493 ILL786450:ILL786493 IVH786450:IVH786493 JFD786450:JFD786493 JOZ786450:JOZ786493 JYV786450:JYV786493 KIR786450:KIR786493 KSN786450:KSN786493 LCJ786450:LCJ786493 LMF786450:LMF786493 LWB786450:LWB786493 MFX786450:MFX786493 MPT786450:MPT786493 MZP786450:MZP786493 NJL786450:NJL786493 NTH786450:NTH786493 ODD786450:ODD786493 OMZ786450:OMZ786493 OWV786450:OWV786493 PGR786450:PGR786493 PQN786450:PQN786493 QAJ786450:QAJ786493 QKF786450:QKF786493 QUB786450:QUB786493 RDX786450:RDX786493 RNT786450:RNT786493 RXP786450:RXP786493 SHL786450:SHL786493 SRH786450:SRH786493 TBD786450:TBD786493 TKZ786450:TKZ786493 TUV786450:TUV786493 UER786450:UER786493 UON786450:UON786493 UYJ786450:UYJ786493 VIF786450:VIF786493 VSB786450:VSB786493 WBX786450:WBX786493 WLT786450:WLT786493 WVP786450:WVP786493 F851986:H852029 JD851986:JD852029 SZ851986:SZ852029 ACV851986:ACV852029 AMR851986:AMR852029 AWN851986:AWN852029 BGJ851986:BGJ852029 BQF851986:BQF852029 CAB851986:CAB852029 CJX851986:CJX852029 CTT851986:CTT852029 DDP851986:DDP852029 DNL851986:DNL852029 DXH851986:DXH852029 EHD851986:EHD852029 EQZ851986:EQZ852029 FAV851986:FAV852029 FKR851986:FKR852029 FUN851986:FUN852029 GEJ851986:GEJ852029 GOF851986:GOF852029 GYB851986:GYB852029 HHX851986:HHX852029 HRT851986:HRT852029 IBP851986:IBP852029 ILL851986:ILL852029 IVH851986:IVH852029 JFD851986:JFD852029 JOZ851986:JOZ852029 JYV851986:JYV852029 KIR851986:KIR852029 KSN851986:KSN852029 LCJ851986:LCJ852029 LMF851986:LMF852029 LWB851986:LWB852029 MFX851986:MFX852029 MPT851986:MPT852029 MZP851986:MZP852029 NJL851986:NJL852029 NTH851986:NTH852029 ODD851986:ODD852029 OMZ851986:OMZ852029 OWV851986:OWV852029 PGR851986:PGR852029 PQN851986:PQN852029 QAJ851986:QAJ852029 QKF851986:QKF852029 QUB851986:QUB852029 RDX851986:RDX852029 RNT851986:RNT852029 RXP851986:RXP852029 SHL851986:SHL852029 SRH851986:SRH852029 TBD851986:TBD852029 TKZ851986:TKZ852029 TUV851986:TUV852029 UER851986:UER852029 UON851986:UON852029 UYJ851986:UYJ852029 VIF851986:VIF852029 VSB851986:VSB852029 WBX851986:WBX852029 WLT851986:WLT852029 WVP851986:WVP852029 F917522:H917565 JD917522:JD917565 SZ917522:SZ917565 ACV917522:ACV917565 AMR917522:AMR917565 AWN917522:AWN917565 BGJ917522:BGJ917565 BQF917522:BQF917565 CAB917522:CAB917565 CJX917522:CJX917565 CTT917522:CTT917565 DDP917522:DDP917565 DNL917522:DNL917565 DXH917522:DXH917565 EHD917522:EHD917565 EQZ917522:EQZ917565 FAV917522:FAV917565 FKR917522:FKR917565 FUN917522:FUN917565 GEJ917522:GEJ917565 GOF917522:GOF917565 GYB917522:GYB917565 HHX917522:HHX917565 HRT917522:HRT917565 IBP917522:IBP917565 ILL917522:ILL917565 IVH917522:IVH917565 JFD917522:JFD917565 JOZ917522:JOZ917565 JYV917522:JYV917565 KIR917522:KIR917565 KSN917522:KSN917565 LCJ917522:LCJ917565 LMF917522:LMF917565 LWB917522:LWB917565 MFX917522:MFX917565 MPT917522:MPT917565 MZP917522:MZP917565 NJL917522:NJL917565 NTH917522:NTH917565 ODD917522:ODD917565 OMZ917522:OMZ917565 OWV917522:OWV917565 PGR917522:PGR917565 PQN917522:PQN917565 QAJ917522:QAJ917565 QKF917522:QKF917565 QUB917522:QUB917565 RDX917522:RDX917565 RNT917522:RNT917565 RXP917522:RXP917565 SHL917522:SHL917565 SRH917522:SRH917565 TBD917522:TBD917565 TKZ917522:TKZ917565 TUV917522:TUV917565 UER917522:UER917565 UON917522:UON917565 UYJ917522:UYJ917565 VIF917522:VIF917565 VSB917522:VSB917565 WBX917522:WBX917565 WLT917522:WLT917565 WVP917522:WVP917565 F983058:H983101 JD983058:JD983101 SZ983058:SZ983101 ACV983058:ACV983101 AMR983058:AMR983101 AWN983058:AWN983101 BGJ983058:BGJ983101 BQF983058:BQF983101 CAB983058:CAB983101 CJX983058:CJX983101 CTT983058:CTT983101 DDP983058:DDP983101 DNL983058:DNL983101 DXH983058:DXH983101 EHD983058:EHD983101 EQZ983058:EQZ983101 FAV983058:FAV983101 FKR983058:FKR983101 FUN983058:FUN983101 GEJ983058:GEJ983101 GOF983058:GOF983101 GYB983058:GYB983101 HHX983058:HHX983101 HRT983058:HRT983101 IBP983058:IBP983101 ILL983058:ILL983101 IVH983058:IVH983101 JFD983058:JFD983101 JOZ983058:JOZ983101 JYV983058:JYV983101 KIR983058:KIR983101 KSN983058:KSN983101 LCJ983058:LCJ983101 LMF983058:LMF983101 LWB983058:LWB983101 MFX983058:MFX983101 MPT983058:MPT983101 MZP983058:MZP983101 NJL983058:NJL983101 NTH983058:NTH983101 ODD983058:ODD983101 OMZ983058:OMZ983101 OWV983058:OWV983101 PGR983058:PGR983101 PQN983058:PQN983101 QAJ983058:QAJ983101 QKF983058:QKF983101 QUB983058:QUB983101 RDX983058:RDX983101 RNT983058:RNT983101 RXP983058:RXP983101 SHL983058:SHL983101 SRH983058:SRH983101 TBD983058:TBD983101 TKZ983058:TKZ983101 TUV983058:TUV983101 UER983058:UER983101 UON983058:UON983101 UYJ983058:UYJ983101 VIF983058:VIF983101 VSB983058:VSB983101 WBX983058:WBX983101 WLT983058:WLT983101 WVP983058:WVP983101 WVN983058:WVN983101 D65554:D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D131090:D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D196626:D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D262162:D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D327698:D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D393234:D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D458770:D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D524306:D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D589842:D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D655378:D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D720914:D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D786450:D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D851986:D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D917522:D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D983058:D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WVP17:WVP61 WLT17:WLT61 WBX17:WBX61 VSB17:VSB61 VIF17:VIF61 UYJ17:UYJ61 UON17:UON61 UER17:UER61 TUV17:TUV61 TKZ17:TKZ61 TBD17:TBD61 SRH17:SRH61 SHL17:SHL61 RXP17:RXP61 RNT17:RNT61 RDX17:RDX61 QUB17:QUB61 QKF17:QKF61 QAJ17:QAJ61 PQN17:PQN61 PGR17:PGR61 OWV17:OWV61 OMZ17:OMZ61 ODD17:ODD61 NTH17:NTH61 NJL17:NJL61 MZP17:MZP61 MPT17:MPT61 MFX17:MFX61 LWB17:LWB61 LMF17:LMF61 LCJ17:LCJ61 KSN17:KSN61 KIR17:KIR61 JYV17:JYV61 JOZ17:JOZ61 JFD17:JFD61 IVH17:IVH61 ILL17:ILL61 IBP17:IBP61 HRT17:HRT61 HHX17:HHX61 GYB17:GYB61 GOF17:GOF61 GEJ17:GEJ61 FUN17:FUN61 FKR17:FKR61 FAV17:FAV61 EQZ17:EQZ61 EHD17:EHD61 DXH17:DXH61 DNL17:DNL61 DDP17:DDP61 CTT17:CTT61 CJX17:CJX61 CAB17:CAB61 BQF17:BQF61 BGJ17:BGJ61 AWN17:AWN61 AMR17:AMR61 ACV17:ACV61 SZ17:SZ61 JD17:JD61 D17:D61 G71:H115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WVP71:WVP115 WLT71:WLT115 WBX71:WBX115 VSB71:VSB115 VIF71:VIF115 UYJ71:UYJ115 UON71:UON115 UER71:UER115 TUV71:TUV115 TKZ71:TKZ115 TBD71:TBD115 SRH71:SRH115 SHL71:SHL115 RXP71:RXP115 RNT71:RNT115 RDX71:RDX115 QUB71:QUB115 QKF71:QKF115 QAJ71:QAJ115 PQN71:PQN115 PGR71:PGR115 OWV71:OWV115 OMZ71:OMZ115 ODD71:ODD115 NTH71:NTH115 NJL71:NJL115 MZP71:MZP115 MPT71:MPT115 MFX71:MFX115 LWB71:LWB115 LMF71:LMF115 LCJ71:LCJ115 KSN71:KSN115 KIR71:KIR115 JYV71:JYV115 JOZ71:JOZ115 JFD71:JFD115 IVH71:IVH115 ILL71:ILL115 IBP71:IBP115 HRT71:HRT115 HHX71:HHX115 GYB71:GYB115 GOF71:GOF115 GEJ71:GEJ115 FUN71:FUN115 FKR71:FKR115 FAV71:FAV115 EQZ71:EQZ115 EHD71:EHD115 DXH71:DXH115 DNL71:DNL115 DDP71:DDP115 CTT71:CTT115 CJX71:CJX115 CAB71:CAB115 BQF71:BQF115 BGJ71:BGJ115 AWN71:AWN115 AMR71:AMR115 ACV71:ACV115 SZ71:SZ115 JD71:JD115 D71:D115 G17:H61" xr:uid="{BA5731D9-F709-419A-88FE-90C700FEBA4B}">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ED2B17C-FC90-4F68-8C19-F89561C0D8A7}">
            <xm:f>TITELBLAD!$F$16="ex-ante"</xm:f>
            <x14:dxf>
              <fill>
                <patternFill patternType="lightUp"/>
              </fill>
            </x14:dxf>
          </x14:cfRule>
          <xm:sqref>A68:I118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1137-24E3-4B51-953F-8829F46D74E4}">
  <dimension ref="A1:AB118"/>
  <sheetViews>
    <sheetView zoomScale="80" zoomScaleNormal="80" workbookViewId="0">
      <selection activeCell="E36" sqref="E36"/>
    </sheetView>
  </sheetViews>
  <sheetFormatPr defaultColWidth="9.1796875" defaultRowHeight="12.5" x14ac:dyDescent="0.25"/>
  <cols>
    <col min="1" max="1" width="51.453125" style="166" customWidth="1"/>
    <col min="2" max="2" width="26.54296875" style="166" customWidth="1"/>
    <col min="3" max="9" width="31" style="166" customWidth="1"/>
    <col min="10" max="10" width="8.81640625" style="166" customWidth="1"/>
    <col min="11" max="52" width="9.1796875" style="166" customWidth="1"/>
    <col min="53" max="258" width="9.1796875" style="166"/>
    <col min="259" max="259" width="51.453125" style="166" customWidth="1"/>
    <col min="260" max="260" width="26.54296875" style="166" customWidth="1"/>
    <col min="261" max="265" width="31" style="166" customWidth="1"/>
    <col min="266" max="266" width="8.81640625" style="166" customWidth="1"/>
    <col min="267" max="514" width="9.1796875" style="166"/>
    <col min="515" max="515" width="51.453125" style="166" customWidth="1"/>
    <col min="516" max="516" width="26.54296875" style="166" customWidth="1"/>
    <col min="517" max="521" width="31" style="166" customWidth="1"/>
    <col min="522" max="522" width="8.81640625" style="166" customWidth="1"/>
    <col min="523" max="770" width="9.1796875" style="166"/>
    <col min="771" max="771" width="51.453125" style="166" customWidth="1"/>
    <col min="772" max="772" width="26.54296875" style="166" customWidth="1"/>
    <col min="773" max="777" width="31" style="166" customWidth="1"/>
    <col min="778" max="778" width="8.81640625" style="166" customWidth="1"/>
    <col min="779" max="1026" width="9.1796875" style="166"/>
    <col min="1027" max="1027" width="51.453125" style="166" customWidth="1"/>
    <col min="1028" max="1028" width="26.54296875" style="166" customWidth="1"/>
    <col min="1029" max="1033" width="31" style="166" customWidth="1"/>
    <col min="1034" max="1034" width="8.81640625" style="166" customWidth="1"/>
    <col min="1035" max="1282" width="9.1796875" style="166"/>
    <col min="1283" max="1283" width="51.453125" style="166" customWidth="1"/>
    <col min="1284" max="1284" width="26.54296875" style="166" customWidth="1"/>
    <col min="1285" max="1289" width="31" style="166" customWidth="1"/>
    <col min="1290" max="1290" width="8.81640625" style="166" customWidth="1"/>
    <col min="1291" max="1538" width="9.1796875" style="166"/>
    <col min="1539" max="1539" width="51.453125" style="166" customWidth="1"/>
    <col min="1540" max="1540" width="26.54296875" style="166" customWidth="1"/>
    <col min="1541" max="1545" width="31" style="166" customWidth="1"/>
    <col min="1546" max="1546" width="8.81640625" style="166" customWidth="1"/>
    <col min="1547" max="1794" width="9.1796875" style="166"/>
    <col min="1795" max="1795" width="51.453125" style="166" customWidth="1"/>
    <col min="1796" max="1796" width="26.54296875" style="166" customWidth="1"/>
    <col min="1797" max="1801" width="31" style="166" customWidth="1"/>
    <col min="1802" max="1802" width="8.81640625" style="166" customWidth="1"/>
    <col min="1803" max="2050" width="9.1796875" style="166"/>
    <col min="2051" max="2051" width="51.453125" style="166" customWidth="1"/>
    <col min="2052" max="2052" width="26.54296875" style="166" customWidth="1"/>
    <col min="2053" max="2057" width="31" style="166" customWidth="1"/>
    <col min="2058" max="2058" width="8.81640625" style="166" customWidth="1"/>
    <col min="2059" max="2306" width="9.1796875" style="166"/>
    <col min="2307" max="2307" width="51.453125" style="166" customWidth="1"/>
    <col min="2308" max="2308" width="26.54296875" style="166" customWidth="1"/>
    <col min="2309" max="2313" width="31" style="166" customWidth="1"/>
    <col min="2314" max="2314" width="8.81640625" style="166" customWidth="1"/>
    <col min="2315" max="2562" width="9.1796875" style="166"/>
    <col min="2563" max="2563" width="51.453125" style="166" customWidth="1"/>
    <col min="2564" max="2564" width="26.54296875" style="166" customWidth="1"/>
    <col min="2565" max="2569" width="31" style="166" customWidth="1"/>
    <col min="2570" max="2570" width="8.81640625" style="166" customWidth="1"/>
    <col min="2571" max="2818" width="9.1796875" style="166"/>
    <col min="2819" max="2819" width="51.453125" style="166" customWidth="1"/>
    <col min="2820" max="2820" width="26.54296875" style="166" customWidth="1"/>
    <col min="2821" max="2825" width="31" style="166" customWidth="1"/>
    <col min="2826" max="2826" width="8.81640625" style="166" customWidth="1"/>
    <col min="2827" max="3074" width="9.1796875" style="166"/>
    <col min="3075" max="3075" width="51.453125" style="166" customWidth="1"/>
    <col min="3076" max="3076" width="26.54296875" style="166" customWidth="1"/>
    <col min="3077" max="3081" width="31" style="166" customWidth="1"/>
    <col min="3082" max="3082" width="8.81640625" style="166" customWidth="1"/>
    <col min="3083" max="3330" width="9.1796875" style="166"/>
    <col min="3331" max="3331" width="51.453125" style="166" customWidth="1"/>
    <col min="3332" max="3332" width="26.54296875" style="166" customWidth="1"/>
    <col min="3333" max="3337" width="31" style="166" customWidth="1"/>
    <col min="3338" max="3338" width="8.81640625" style="166" customWidth="1"/>
    <col min="3339" max="3586" width="9.1796875" style="166"/>
    <col min="3587" max="3587" width="51.453125" style="166" customWidth="1"/>
    <col min="3588" max="3588" width="26.54296875" style="166" customWidth="1"/>
    <col min="3589" max="3593" width="31" style="166" customWidth="1"/>
    <col min="3594" max="3594" width="8.81640625" style="166" customWidth="1"/>
    <col min="3595" max="3842" width="9.1796875" style="166"/>
    <col min="3843" max="3843" width="51.453125" style="166" customWidth="1"/>
    <col min="3844" max="3844" width="26.54296875" style="166" customWidth="1"/>
    <col min="3845" max="3849" width="31" style="166" customWidth="1"/>
    <col min="3850" max="3850" width="8.81640625" style="166" customWidth="1"/>
    <col min="3851" max="4098" width="9.1796875" style="166"/>
    <col min="4099" max="4099" width="51.453125" style="166" customWidth="1"/>
    <col min="4100" max="4100" width="26.54296875" style="166" customWidth="1"/>
    <col min="4101" max="4105" width="31" style="166" customWidth="1"/>
    <col min="4106" max="4106" width="8.81640625" style="166" customWidth="1"/>
    <col min="4107" max="4354" width="9.1796875" style="166"/>
    <col min="4355" max="4355" width="51.453125" style="166" customWidth="1"/>
    <col min="4356" max="4356" width="26.54296875" style="166" customWidth="1"/>
    <col min="4357" max="4361" width="31" style="166" customWidth="1"/>
    <col min="4362" max="4362" width="8.81640625" style="166" customWidth="1"/>
    <col min="4363" max="4610" width="9.1796875" style="166"/>
    <col min="4611" max="4611" width="51.453125" style="166" customWidth="1"/>
    <col min="4612" max="4612" width="26.54296875" style="166" customWidth="1"/>
    <col min="4613" max="4617" width="31" style="166" customWidth="1"/>
    <col min="4618" max="4618" width="8.81640625" style="166" customWidth="1"/>
    <col min="4619" max="4866" width="9.1796875" style="166"/>
    <col min="4867" max="4867" width="51.453125" style="166" customWidth="1"/>
    <col min="4868" max="4868" width="26.54296875" style="166" customWidth="1"/>
    <col min="4869" max="4873" width="31" style="166" customWidth="1"/>
    <col min="4874" max="4874" width="8.81640625" style="166" customWidth="1"/>
    <col min="4875" max="5122" width="9.1796875" style="166"/>
    <col min="5123" max="5123" width="51.453125" style="166" customWidth="1"/>
    <col min="5124" max="5124" width="26.54296875" style="166" customWidth="1"/>
    <col min="5125" max="5129" width="31" style="166" customWidth="1"/>
    <col min="5130" max="5130" width="8.81640625" style="166" customWidth="1"/>
    <col min="5131" max="5378" width="9.1796875" style="166"/>
    <col min="5379" max="5379" width="51.453125" style="166" customWidth="1"/>
    <col min="5380" max="5380" width="26.54296875" style="166" customWidth="1"/>
    <col min="5381" max="5385" width="31" style="166" customWidth="1"/>
    <col min="5386" max="5386" width="8.81640625" style="166" customWidth="1"/>
    <col min="5387" max="5634" width="9.1796875" style="166"/>
    <col min="5635" max="5635" width="51.453125" style="166" customWidth="1"/>
    <col min="5636" max="5636" width="26.54296875" style="166" customWidth="1"/>
    <col min="5637" max="5641" width="31" style="166" customWidth="1"/>
    <col min="5642" max="5642" width="8.81640625" style="166" customWidth="1"/>
    <col min="5643" max="5890" width="9.1796875" style="166"/>
    <col min="5891" max="5891" width="51.453125" style="166" customWidth="1"/>
    <col min="5892" max="5892" width="26.54296875" style="166" customWidth="1"/>
    <col min="5893" max="5897" width="31" style="166" customWidth="1"/>
    <col min="5898" max="5898" width="8.81640625" style="166" customWidth="1"/>
    <col min="5899" max="6146" width="9.1796875" style="166"/>
    <col min="6147" max="6147" width="51.453125" style="166" customWidth="1"/>
    <col min="6148" max="6148" width="26.54296875" style="166" customWidth="1"/>
    <col min="6149" max="6153" width="31" style="166" customWidth="1"/>
    <col min="6154" max="6154" width="8.81640625" style="166" customWidth="1"/>
    <col min="6155" max="6402" width="9.1796875" style="166"/>
    <col min="6403" max="6403" width="51.453125" style="166" customWidth="1"/>
    <col min="6404" max="6404" width="26.54296875" style="166" customWidth="1"/>
    <col min="6405" max="6409" width="31" style="166" customWidth="1"/>
    <col min="6410" max="6410" width="8.81640625" style="166" customWidth="1"/>
    <col min="6411" max="6658" width="9.1796875" style="166"/>
    <col min="6659" max="6659" width="51.453125" style="166" customWidth="1"/>
    <col min="6660" max="6660" width="26.54296875" style="166" customWidth="1"/>
    <col min="6661" max="6665" width="31" style="166" customWidth="1"/>
    <col min="6666" max="6666" width="8.81640625" style="166" customWidth="1"/>
    <col min="6667" max="6914" width="9.1796875" style="166"/>
    <col min="6915" max="6915" width="51.453125" style="166" customWidth="1"/>
    <col min="6916" max="6916" width="26.54296875" style="166" customWidth="1"/>
    <col min="6917" max="6921" width="31" style="166" customWidth="1"/>
    <col min="6922" max="6922" width="8.81640625" style="166" customWidth="1"/>
    <col min="6923" max="7170" width="9.1796875" style="166"/>
    <col min="7171" max="7171" width="51.453125" style="166" customWidth="1"/>
    <col min="7172" max="7172" width="26.54296875" style="166" customWidth="1"/>
    <col min="7173" max="7177" width="31" style="166" customWidth="1"/>
    <col min="7178" max="7178" width="8.81640625" style="166" customWidth="1"/>
    <col min="7179" max="7426" width="9.1796875" style="166"/>
    <col min="7427" max="7427" width="51.453125" style="166" customWidth="1"/>
    <col min="7428" max="7428" width="26.54296875" style="166" customWidth="1"/>
    <col min="7429" max="7433" width="31" style="166" customWidth="1"/>
    <col min="7434" max="7434" width="8.81640625" style="166" customWidth="1"/>
    <col min="7435" max="7682" width="9.1796875" style="166"/>
    <col min="7683" max="7683" width="51.453125" style="166" customWidth="1"/>
    <col min="7684" max="7684" width="26.54296875" style="166" customWidth="1"/>
    <col min="7685" max="7689" width="31" style="166" customWidth="1"/>
    <col min="7690" max="7690" width="8.81640625" style="166" customWidth="1"/>
    <col min="7691" max="7938" width="9.1796875" style="166"/>
    <col min="7939" max="7939" width="51.453125" style="166" customWidth="1"/>
    <col min="7940" max="7940" width="26.54296875" style="166" customWidth="1"/>
    <col min="7941" max="7945" width="31" style="166" customWidth="1"/>
    <col min="7946" max="7946" width="8.81640625" style="166" customWidth="1"/>
    <col min="7947" max="8194" width="9.1796875" style="166"/>
    <col min="8195" max="8195" width="51.453125" style="166" customWidth="1"/>
    <col min="8196" max="8196" width="26.54296875" style="166" customWidth="1"/>
    <col min="8197" max="8201" width="31" style="166" customWidth="1"/>
    <col min="8202" max="8202" width="8.81640625" style="166" customWidth="1"/>
    <col min="8203" max="8450" width="9.1796875" style="166"/>
    <col min="8451" max="8451" width="51.453125" style="166" customWidth="1"/>
    <col min="8452" max="8452" width="26.54296875" style="166" customWidth="1"/>
    <col min="8453" max="8457" width="31" style="166" customWidth="1"/>
    <col min="8458" max="8458" width="8.81640625" style="166" customWidth="1"/>
    <col min="8459" max="8706" width="9.1796875" style="166"/>
    <col min="8707" max="8707" width="51.453125" style="166" customWidth="1"/>
    <col min="8708" max="8708" width="26.54296875" style="166" customWidth="1"/>
    <col min="8709" max="8713" width="31" style="166" customWidth="1"/>
    <col min="8714" max="8714" width="8.81640625" style="166" customWidth="1"/>
    <col min="8715" max="8962" width="9.1796875" style="166"/>
    <col min="8963" max="8963" width="51.453125" style="166" customWidth="1"/>
    <col min="8964" max="8964" width="26.54296875" style="166" customWidth="1"/>
    <col min="8965" max="8969" width="31" style="166" customWidth="1"/>
    <col min="8970" max="8970" width="8.81640625" style="166" customWidth="1"/>
    <col min="8971" max="9218" width="9.1796875" style="166"/>
    <col min="9219" max="9219" width="51.453125" style="166" customWidth="1"/>
    <col min="9220" max="9220" width="26.54296875" style="166" customWidth="1"/>
    <col min="9221" max="9225" width="31" style="166" customWidth="1"/>
    <col min="9226" max="9226" width="8.81640625" style="166" customWidth="1"/>
    <col min="9227" max="9474" width="9.1796875" style="166"/>
    <col min="9475" max="9475" width="51.453125" style="166" customWidth="1"/>
    <col min="9476" max="9476" width="26.54296875" style="166" customWidth="1"/>
    <col min="9477" max="9481" width="31" style="166" customWidth="1"/>
    <col min="9482" max="9482" width="8.81640625" style="166" customWidth="1"/>
    <col min="9483" max="9730" width="9.1796875" style="166"/>
    <col min="9731" max="9731" width="51.453125" style="166" customWidth="1"/>
    <col min="9732" max="9732" width="26.54296875" style="166" customWidth="1"/>
    <col min="9733" max="9737" width="31" style="166" customWidth="1"/>
    <col min="9738" max="9738" width="8.81640625" style="166" customWidth="1"/>
    <col min="9739" max="9986" width="9.1796875" style="166"/>
    <col min="9987" max="9987" width="51.453125" style="166" customWidth="1"/>
    <col min="9988" max="9988" width="26.54296875" style="166" customWidth="1"/>
    <col min="9989" max="9993" width="31" style="166" customWidth="1"/>
    <col min="9994" max="9994" width="8.81640625" style="166" customWidth="1"/>
    <col min="9995" max="10242" width="9.1796875" style="166"/>
    <col min="10243" max="10243" width="51.453125" style="166" customWidth="1"/>
    <col min="10244" max="10244" width="26.54296875" style="166" customWidth="1"/>
    <col min="10245" max="10249" width="31" style="166" customWidth="1"/>
    <col min="10250" max="10250" width="8.81640625" style="166" customWidth="1"/>
    <col min="10251" max="10498" width="9.1796875" style="166"/>
    <col min="10499" max="10499" width="51.453125" style="166" customWidth="1"/>
    <col min="10500" max="10500" width="26.54296875" style="166" customWidth="1"/>
    <col min="10501" max="10505" width="31" style="166" customWidth="1"/>
    <col min="10506" max="10506" width="8.81640625" style="166" customWidth="1"/>
    <col min="10507" max="10754" width="9.1796875" style="166"/>
    <col min="10755" max="10755" width="51.453125" style="166" customWidth="1"/>
    <col min="10756" max="10756" width="26.54296875" style="166" customWidth="1"/>
    <col min="10757" max="10761" width="31" style="166" customWidth="1"/>
    <col min="10762" max="10762" width="8.81640625" style="166" customWidth="1"/>
    <col min="10763" max="11010" width="9.1796875" style="166"/>
    <col min="11011" max="11011" width="51.453125" style="166" customWidth="1"/>
    <col min="11012" max="11012" width="26.54296875" style="166" customWidth="1"/>
    <col min="11013" max="11017" width="31" style="166" customWidth="1"/>
    <col min="11018" max="11018" width="8.81640625" style="166" customWidth="1"/>
    <col min="11019" max="11266" width="9.1796875" style="166"/>
    <col min="11267" max="11267" width="51.453125" style="166" customWidth="1"/>
    <col min="11268" max="11268" width="26.54296875" style="166" customWidth="1"/>
    <col min="11269" max="11273" width="31" style="166" customWidth="1"/>
    <col min="11274" max="11274" width="8.81640625" style="166" customWidth="1"/>
    <col min="11275" max="11522" width="9.1796875" style="166"/>
    <col min="11523" max="11523" width="51.453125" style="166" customWidth="1"/>
    <col min="11524" max="11524" width="26.54296875" style="166" customWidth="1"/>
    <col min="11525" max="11529" width="31" style="166" customWidth="1"/>
    <col min="11530" max="11530" width="8.81640625" style="166" customWidth="1"/>
    <col min="11531" max="11778" width="9.1796875" style="166"/>
    <col min="11779" max="11779" width="51.453125" style="166" customWidth="1"/>
    <col min="11780" max="11780" width="26.54296875" style="166" customWidth="1"/>
    <col min="11781" max="11785" width="31" style="166" customWidth="1"/>
    <col min="11786" max="11786" width="8.81640625" style="166" customWidth="1"/>
    <col min="11787" max="12034" width="9.1796875" style="166"/>
    <col min="12035" max="12035" width="51.453125" style="166" customWidth="1"/>
    <col min="12036" max="12036" width="26.54296875" style="166" customWidth="1"/>
    <col min="12037" max="12041" width="31" style="166" customWidth="1"/>
    <col min="12042" max="12042" width="8.81640625" style="166" customWidth="1"/>
    <col min="12043" max="12290" width="9.1796875" style="166"/>
    <col min="12291" max="12291" width="51.453125" style="166" customWidth="1"/>
    <col min="12292" max="12292" width="26.54296875" style="166" customWidth="1"/>
    <col min="12293" max="12297" width="31" style="166" customWidth="1"/>
    <col min="12298" max="12298" width="8.81640625" style="166" customWidth="1"/>
    <col min="12299" max="12546" width="9.1796875" style="166"/>
    <col min="12547" max="12547" width="51.453125" style="166" customWidth="1"/>
    <col min="12548" max="12548" width="26.54296875" style="166" customWidth="1"/>
    <col min="12549" max="12553" width="31" style="166" customWidth="1"/>
    <col min="12554" max="12554" width="8.81640625" style="166" customWidth="1"/>
    <col min="12555" max="12802" width="9.1796875" style="166"/>
    <col min="12803" max="12803" width="51.453125" style="166" customWidth="1"/>
    <col min="12804" max="12804" width="26.54296875" style="166" customWidth="1"/>
    <col min="12805" max="12809" width="31" style="166" customWidth="1"/>
    <col min="12810" max="12810" width="8.81640625" style="166" customWidth="1"/>
    <col min="12811" max="13058" width="9.1796875" style="166"/>
    <col min="13059" max="13059" width="51.453125" style="166" customWidth="1"/>
    <col min="13060" max="13060" width="26.54296875" style="166" customWidth="1"/>
    <col min="13061" max="13065" width="31" style="166" customWidth="1"/>
    <col min="13066" max="13066" width="8.81640625" style="166" customWidth="1"/>
    <col min="13067" max="13314" width="9.1796875" style="166"/>
    <col min="13315" max="13315" width="51.453125" style="166" customWidth="1"/>
    <col min="13316" max="13316" width="26.54296875" style="166" customWidth="1"/>
    <col min="13317" max="13321" width="31" style="166" customWidth="1"/>
    <col min="13322" max="13322" width="8.81640625" style="166" customWidth="1"/>
    <col min="13323" max="13570" width="9.1796875" style="166"/>
    <col min="13571" max="13571" width="51.453125" style="166" customWidth="1"/>
    <col min="13572" max="13572" width="26.54296875" style="166" customWidth="1"/>
    <col min="13573" max="13577" width="31" style="166" customWidth="1"/>
    <col min="13578" max="13578" width="8.81640625" style="166" customWidth="1"/>
    <col min="13579" max="13826" width="9.1796875" style="166"/>
    <col min="13827" max="13827" width="51.453125" style="166" customWidth="1"/>
    <col min="13828" max="13828" width="26.54296875" style="166" customWidth="1"/>
    <col min="13829" max="13833" width="31" style="166" customWidth="1"/>
    <col min="13834" max="13834" width="8.81640625" style="166" customWidth="1"/>
    <col min="13835" max="14082" width="9.1796875" style="166"/>
    <col min="14083" max="14083" width="51.453125" style="166" customWidth="1"/>
    <col min="14084" max="14084" width="26.54296875" style="166" customWidth="1"/>
    <col min="14085" max="14089" width="31" style="166" customWidth="1"/>
    <col min="14090" max="14090" width="8.81640625" style="166" customWidth="1"/>
    <col min="14091" max="14338" width="9.1796875" style="166"/>
    <col min="14339" max="14339" width="51.453125" style="166" customWidth="1"/>
    <col min="14340" max="14340" width="26.54296875" style="166" customWidth="1"/>
    <col min="14341" max="14345" width="31" style="166" customWidth="1"/>
    <col min="14346" max="14346" width="8.81640625" style="166" customWidth="1"/>
    <col min="14347" max="14594" width="9.1796875" style="166"/>
    <col min="14595" max="14595" width="51.453125" style="166" customWidth="1"/>
    <col min="14596" max="14596" width="26.54296875" style="166" customWidth="1"/>
    <col min="14597" max="14601" width="31" style="166" customWidth="1"/>
    <col min="14602" max="14602" width="8.81640625" style="166" customWidth="1"/>
    <col min="14603" max="14850" width="9.1796875" style="166"/>
    <col min="14851" max="14851" width="51.453125" style="166" customWidth="1"/>
    <col min="14852" max="14852" width="26.54296875" style="166" customWidth="1"/>
    <col min="14853" max="14857" width="31" style="166" customWidth="1"/>
    <col min="14858" max="14858" width="8.81640625" style="166" customWidth="1"/>
    <col min="14859" max="15106" width="9.1796875" style="166"/>
    <col min="15107" max="15107" width="51.453125" style="166" customWidth="1"/>
    <col min="15108" max="15108" width="26.54296875" style="166" customWidth="1"/>
    <col min="15109" max="15113" width="31" style="166" customWidth="1"/>
    <col min="15114" max="15114" width="8.81640625" style="166" customWidth="1"/>
    <col min="15115" max="15362" width="9.1796875" style="166"/>
    <col min="15363" max="15363" width="51.453125" style="166" customWidth="1"/>
    <col min="15364" max="15364" width="26.54296875" style="166" customWidth="1"/>
    <col min="15365" max="15369" width="31" style="166" customWidth="1"/>
    <col min="15370" max="15370" width="8.81640625" style="166" customWidth="1"/>
    <col min="15371" max="15618" width="9.1796875" style="166"/>
    <col min="15619" max="15619" width="51.453125" style="166" customWidth="1"/>
    <col min="15620" max="15620" width="26.54296875" style="166" customWidth="1"/>
    <col min="15621" max="15625" width="31" style="166" customWidth="1"/>
    <col min="15626" max="15626" width="8.81640625" style="166" customWidth="1"/>
    <col min="15627" max="15874" width="9.1796875" style="166"/>
    <col min="15875" max="15875" width="51.453125" style="166" customWidth="1"/>
    <col min="15876" max="15876" width="26.54296875" style="166" customWidth="1"/>
    <col min="15877" max="15881" width="31" style="166" customWidth="1"/>
    <col min="15882" max="15882" width="8.81640625" style="166" customWidth="1"/>
    <col min="15883" max="16130" width="9.1796875" style="166"/>
    <col min="16131" max="16131" width="51.453125" style="166" customWidth="1"/>
    <col min="16132" max="16132" width="26.54296875" style="166" customWidth="1"/>
    <col min="16133" max="16137" width="31" style="166" customWidth="1"/>
    <col min="16138" max="16138" width="8.81640625" style="166" customWidth="1"/>
    <col min="16139" max="16384" width="9.1796875" style="166"/>
  </cols>
  <sheetData>
    <row r="1" spans="1:28" ht="26.5" customHeight="1" thickBot="1" x14ac:dyDescent="0.3">
      <c r="A1" s="1182" t="s">
        <v>429</v>
      </c>
      <c r="B1" s="1183"/>
      <c r="C1" s="1183"/>
      <c r="D1" s="1183"/>
      <c r="E1" s="1183"/>
      <c r="F1" s="1183"/>
      <c r="G1" s="1183"/>
      <c r="H1" s="1184"/>
      <c r="I1" s="291"/>
      <c r="J1" s="291"/>
      <c r="K1" s="203" t="str">
        <f>+TITELBLAD!C10</f>
        <v>elektriciteit</v>
      </c>
      <c r="L1" s="291"/>
      <c r="M1" s="291"/>
      <c r="N1" s="291"/>
      <c r="O1" s="291"/>
      <c r="P1" s="291"/>
      <c r="Q1" s="291"/>
      <c r="R1" s="291"/>
      <c r="S1" s="291"/>
      <c r="T1" s="291"/>
      <c r="U1" s="291"/>
      <c r="V1" s="291"/>
      <c r="W1" s="291"/>
      <c r="X1" s="291"/>
      <c r="Y1" s="291"/>
      <c r="Z1" s="291"/>
      <c r="AA1" s="291"/>
      <c r="AB1" s="291"/>
    </row>
    <row r="2" spans="1:28" x14ac:dyDescent="0.25">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row>
    <row r="3" spans="1:28" ht="13" x14ac:dyDescent="0.25">
      <c r="A3" s="291"/>
      <c r="B3" s="291"/>
      <c r="C3" s="884" t="s">
        <v>300</v>
      </c>
      <c r="D3" s="884" t="s">
        <v>301</v>
      </c>
      <c r="E3" s="291"/>
      <c r="F3" s="291"/>
      <c r="G3" s="291"/>
      <c r="H3" s="291"/>
      <c r="I3" s="291"/>
      <c r="J3" s="291"/>
      <c r="K3" s="291"/>
      <c r="L3" s="291"/>
      <c r="M3" s="291"/>
      <c r="N3" s="291"/>
      <c r="O3" s="291"/>
      <c r="P3" s="291"/>
      <c r="Q3" s="291"/>
      <c r="R3" s="291"/>
      <c r="S3" s="291"/>
      <c r="T3" s="291"/>
      <c r="U3" s="291"/>
      <c r="V3" s="291"/>
      <c r="W3" s="291"/>
      <c r="X3" s="291"/>
      <c r="Y3" s="291"/>
      <c r="Z3" s="291"/>
      <c r="AA3" s="291"/>
      <c r="AB3" s="291"/>
    </row>
    <row r="4" spans="1:28" ht="13" x14ac:dyDescent="0.25">
      <c r="A4" s="353" t="s">
        <v>435</v>
      </c>
      <c r="B4" s="895">
        <f>+TITELBLAD!E16</f>
        <v>2022</v>
      </c>
      <c r="C4" s="896">
        <f>-G63</f>
        <v>0</v>
      </c>
      <c r="D4" s="896">
        <f>-G117</f>
        <v>0</v>
      </c>
      <c r="E4" s="897"/>
      <c r="I4" s="291"/>
      <c r="J4" s="291"/>
      <c r="K4" s="291"/>
      <c r="L4" s="291"/>
      <c r="M4" s="291"/>
      <c r="N4" s="291"/>
      <c r="O4" s="291"/>
      <c r="P4" s="291"/>
      <c r="Q4" s="291"/>
      <c r="R4" s="291"/>
      <c r="S4" s="291"/>
      <c r="T4" s="291"/>
      <c r="U4" s="291"/>
      <c r="V4" s="291"/>
      <c r="W4" s="291"/>
      <c r="X4" s="291"/>
      <c r="Y4" s="291"/>
      <c r="Z4" s="291"/>
      <c r="AA4" s="291"/>
      <c r="AB4" s="291"/>
    </row>
    <row r="5" spans="1:28" x14ac:dyDescent="0.25">
      <c r="D5" s="897"/>
      <c r="E5" s="897"/>
      <c r="I5" s="291"/>
      <c r="J5" s="291"/>
      <c r="K5" s="291"/>
      <c r="L5" s="291"/>
      <c r="M5" s="291"/>
      <c r="N5" s="291"/>
      <c r="O5" s="291"/>
      <c r="P5" s="291"/>
      <c r="Q5" s="291"/>
      <c r="R5" s="291"/>
      <c r="S5" s="291"/>
      <c r="T5" s="291"/>
      <c r="U5" s="291"/>
      <c r="V5" s="291"/>
      <c r="W5" s="291"/>
      <c r="X5" s="291"/>
      <c r="Y5" s="291"/>
      <c r="Z5" s="291"/>
      <c r="AA5" s="291"/>
      <c r="AB5" s="291"/>
    </row>
    <row r="6" spans="1:28" x14ac:dyDescent="0.25">
      <c r="I6" s="291"/>
      <c r="J6" s="291"/>
      <c r="K6" s="291"/>
      <c r="L6" s="291"/>
      <c r="M6" s="291"/>
      <c r="N6" s="291"/>
      <c r="O6" s="291"/>
      <c r="P6" s="291"/>
      <c r="Q6" s="291"/>
      <c r="R6" s="291"/>
      <c r="S6" s="291"/>
      <c r="T6" s="291"/>
      <c r="U6" s="291"/>
      <c r="V6" s="291"/>
      <c r="W6" s="291"/>
      <c r="X6" s="291"/>
      <c r="Y6" s="291"/>
      <c r="Z6" s="291"/>
      <c r="AA6" s="291"/>
      <c r="AB6" s="291"/>
    </row>
    <row r="7" spans="1:28" x14ac:dyDescent="0.25">
      <c r="I7" s="291"/>
      <c r="J7" s="291"/>
      <c r="K7" s="291"/>
      <c r="L7" s="291"/>
      <c r="M7" s="291"/>
      <c r="N7" s="291"/>
      <c r="O7" s="291"/>
      <c r="P7" s="291"/>
      <c r="Q7" s="291"/>
      <c r="R7" s="291"/>
      <c r="S7" s="291"/>
      <c r="T7" s="291"/>
      <c r="U7" s="291"/>
      <c r="V7" s="291"/>
      <c r="W7" s="291"/>
      <c r="X7" s="291"/>
      <c r="Y7" s="291"/>
      <c r="Z7" s="291"/>
      <c r="AA7" s="291"/>
      <c r="AB7" s="291"/>
    </row>
    <row r="8" spans="1:28" ht="13" x14ac:dyDescent="0.25">
      <c r="A8" s="353" t="s">
        <v>299</v>
      </c>
      <c r="I8" s="291"/>
      <c r="J8" s="291"/>
      <c r="K8" s="291"/>
      <c r="L8" s="291"/>
      <c r="M8" s="291"/>
      <c r="N8" s="291"/>
      <c r="O8" s="291"/>
      <c r="P8" s="291"/>
      <c r="Q8" s="291"/>
      <c r="R8" s="291"/>
      <c r="S8" s="291"/>
      <c r="T8" s="291"/>
      <c r="U8" s="291"/>
      <c r="V8" s="291"/>
      <c r="W8" s="291"/>
      <c r="X8" s="291"/>
      <c r="Y8" s="291"/>
      <c r="Z8" s="291"/>
      <c r="AA8" s="291"/>
      <c r="AB8" s="291"/>
    </row>
    <row r="9" spans="1:28" ht="13" x14ac:dyDescent="0.25">
      <c r="A9" s="216" t="s">
        <v>263</v>
      </c>
      <c r="I9" s="291"/>
      <c r="J9" s="291"/>
      <c r="K9" s="291"/>
      <c r="L9" s="291"/>
      <c r="M9" s="291"/>
      <c r="N9" s="291"/>
      <c r="O9" s="291"/>
      <c r="P9" s="291"/>
      <c r="Q9" s="291"/>
      <c r="R9" s="291"/>
      <c r="S9" s="291"/>
      <c r="T9" s="291"/>
      <c r="U9" s="291"/>
      <c r="V9" s="291"/>
      <c r="W9" s="291"/>
      <c r="X9" s="291"/>
      <c r="Y9" s="291"/>
      <c r="Z9" s="291"/>
      <c r="AA9" s="291"/>
      <c r="AB9" s="291"/>
    </row>
    <row r="10" spans="1:28" ht="13" x14ac:dyDescent="0.25">
      <c r="A10" s="898" t="s">
        <v>264</v>
      </c>
      <c r="I10" s="291"/>
      <c r="J10" s="291"/>
      <c r="K10" s="291"/>
      <c r="L10" s="291"/>
      <c r="M10" s="291"/>
      <c r="N10" s="291"/>
      <c r="O10" s="291"/>
      <c r="P10" s="291"/>
      <c r="Q10" s="291"/>
      <c r="R10" s="291"/>
      <c r="S10" s="291"/>
      <c r="T10" s="291"/>
      <c r="U10" s="291"/>
      <c r="V10" s="291"/>
      <c r="W10" s="291"/>
      <c r="X10" s="291"/>
      <c r="Y10" s="291"/>
      <c r="Z10" s="291"/>
      <c r="AA10" s="291"/>
      <c r="AB10" s="291"/>
    </row>
    <row r="11" spans="1:28" ht="13" x14ac:dyDescent="0.25">
      <c r="A11" s="898" t="s">
        <v>265</v>
      </c>
      <c r="I11" s="291"/>
      <c r="J11" s="291"/>
      <c r="K11" s="291"/>
      <c r="L11" s="291"/>
      <c r="M11" s="291"/>
      <c r="N11" s="291"/>
      <c r="O11" s="291"/>
      <c r="P11" s="291"/>
      <c r="Q11" s="291"/>
      <c r="R11" s="291"/>
      <c r="S11" s="291"/>
      <c r="T11" s="291"/>
      <c r="U11" s="291"/>
      <c r="V11" s="291"/>
      <c r="W11" s="291"/>
      <c r="X11" s="291"/>
      <c r="Y11" s="291"/>
      <c r="Z11" s="291"/>
      <c r="AA11" s="291"/>
      <c r="AB11" s="291"/>
    </row>
    <row r="12" spans="1:28" x14ac:dyDescent="0.25">
      <c r="I12" s="291"/>
      <c r="J12" s="291"/>
      <c r="K12" s="291"/>
      <c r="L12" s="291"/>
      <c r="M12" s="291"/>
      <c r="N12" s="291"/>
      <c r="O12" s="291"/>
      <c r="P12" s="291"/>
      <c r="Q12" s="291"/>
      <c r="R12" s="291"/>
      <c r="S12" s="291"/>
      <c r="T12" s="291"/>
      <c r="U12" s="291"/>
      <c r="V12" s="291"/>
      <c r="W12" s="291"/>
      <c r="X12" s="291"/>
      <c r="Y12" s="291"/>
      <c r="Z12" s="291"/>
      <c r="AA12" s="291"/>
      <c r="AB12" s="291"/>
    </row>
    <row r="13" spans="1:28" ht="13" thickBot="1" x14ac:dyDescent="0.3"/>
    <row r="14" spans="1:28" ht="20.149999999999999" customHeight="1" thickBot="1" x14ac:dyDescent="0.3">
      <c r="A14" s="1189" t="str">
        <f>"BUDGET "&amp;B4</f>
        <v>BUDGET 2022</v>
      </c>
      <c r="B14" s="1190"/>
      <c r="C14" s="1190"/>
      <c r="D14" s="1190"/>
      <c r="E14" s="1190"/>
      <c r="F14" s="1190"/>
      <c r="G14" s="1190"/>
      <c r="H14" s="1190"/>
      <c r="I14" s="1191"/>
    </row>
    <row r="15" spans="1:28" ht="47.5" customHeight="1" x14ac:dyDescent="0.25">
      <c r="A15" s="925" t="s">
        <v>266</v>
      </c>
      <c r="B15" s="926" t="s">
        <v>297</v>
      </c>
      <c r="C15" s="927" t="str">
        <f>"Oorspronkelijke meerwaarde op basis van iRAB voor activa einde boekjaar "&amp;B4-1</f>
        <v>Oorspronkelijke meerwaarde op basis van iRAB voor activa einde boekjaar 2021</v>
      </c>
      <c r="D15" s="927" t="str">
        <f>"Gecumuleerde afschrijvingen activa einde boekjaar "&amp; B4-1</f>
        <v>Gecumuleerde afschrijvingen activa einde boekjaar 2021</v>
      </c>
      <c r="E15" s="927" t="str">
        <f>"Nettoboekwaarde meerwaarde op basis van iRAB einde boekjaar "&amp; B4-1</f>
        <v>Nettoboekwaarde meerwaarde op basis van iRAB einde boekjaar 2021</v>
      </c>
      <c r="F15" s="927" t="str">
        <f>"Transfers boekjaar "&amp;B4</f>
        <v>Transfers boekjaar 2022</v>
      </c>
      <c r="G15" s="927" t="str">
        <f>"Afschrijvingen boekjaar "&amp;B4</f>
        <v>Afschrijvingen boekjaar 2022</v>
      </c>
      <c r="H15" s="927" t="str">
        <f>"Desinvesteringen boekjaar "&amp;B4&amp;" (n.a.v. verkoop of structuurwijziging)"</f>
        <v>Desinvesteringen boekjaar 2022 (n.a.v. verkoop of structuurwijziging)</v>
      </c>
      <c r="I15" s="927" t="str">
        <f>"Nettoboekwaarde meerwaarde op basis van iRAB einde boekjaar "&amp;B4</f>
        <v>Nettoboekwaarde meerwaarde op basis van iRAB einde boekjaar 2022</v>
      </c>
    </row>
    <row r="16" spans="1:28" ht="13.5" thickBot="1" x14ac:dyDescent="0.3">
      <c r="A16" s="902"/>
      <c r="B16" s="903"/>
      <c r="C16" s="904" t="s">
        <v>4</v>
      </c>
      <c r="D16" s="904" t="s">
        <v>8</v>
      </c>
      <c r="E16" s="904"/>
      <c r="F16" s="904" t="s">
        <v>4</v>
      </c>
      <c r="G16" s="904" t="s">
        <v>8</v>
      </c>
      <c r="H16" s="904" t="s">
        <v>8</v>
      </c>
      <c r="I16" s="905"/>
    </row>
    <row r="17" spans="1:9" x14ac:dyDescent="0.25">
      <c r="A17" s="906" t="s">
        <v>267</v>
      </c>
      <c r="B17" s="1186">
        <v>0.02</v>
      </c>
      <c r="C17" s="611">
        <v>0</v>
      </c>
      <c r="D17" s="611">
        <v>0</v>
      </c>
      <c r="E17" s="907">
        <f t="shared" ref="E17:E60" si="0">+C17+D17</f>
        <v>0</v>
      </c>
      <c r="F17" s="611">
        <v>0</v>
      </c>
      <c r="G17" s="611">
        <v>0</v>
      </c>
      <c r="H17" s="611">
        <v>0</v>
      </c>
      <c r="I17" s="908">
        <f>+SUM(E17:H17)</f>
        <v>0</v>
      </c>
    </row>
    <row r="18" spans="1:9" x14ac:dyDescent="0.25">
      <c r="A18" s="909" t="s">
        <v>268</v>
      </c>
      <c r="B18" s="1187"/>
      <c r="C18" s="612">
        <v>0</v>
      </c>
      <c r="D18" s="612">
        <v>0</v>
      </c>
      <c r="E18" s="910">
        <f t="shared" si="0"/>
        <v>0</v>
      </c>
      <c r="F18" s="612">
        <v>0</v>
      </c>
      <c r="G18" s="612">
        <v>0</v>
      </c>
      <c r="H18" s="612">
        <v>0</v>
      </c>
      <c r="I18" s="911">
        <f t="shared" ref="I18:I61" si="1">+SUM(E18:H18)</f>
        <v>0</v>
      </c>
    </row>
    <row r="19" spans="1:9" x14ac:dyDescent="0.25">
      <c r="A19" s="909" t="s">
        <v>269</v>
      </c>
      <c r="B19" s="1187"/>
      <c r="C19" s="612">
        <v>0</v>
      </c>
      <c r="D19" s="612">
        <v>0</v>
      </c>
      <c r="E19" s="910">
        <f t="shared" si="0"/>
        <v>0</v>
      </c>
      <c r="F19" s="612">
        <v>0</v>
      </c>
      <c r="G19" s="612">
        <v>0</v>
      </c>
      <c r="H19" s="612">
        <v>0</v>
      </c>
      <c r="I19" s="911">
        <f t="shared" si="1"/>
        <v>0</v>
      </c>
    </row>
    <row r="20" spans="1:9" x14ac:dyDescent="0.25">
      <c r="A20" s="909" t="s">
        <v>270</v>
      </c>
      <c r="B20" s="1187"/>
      <c r="C20" s="612">
        <v>0</v>
      </c>
      <c r="D20" s="612">
        <v>0</v>
      </c>
      <c r="E20" s="910">
        <f t="shared" si="0"/>
        <v>0</v>
      </c>
      <c r="F20" s="612">
        <v>0</v>
      </c>
      <c r="G20" s="612">
        <v>0</v>
      </c>
      <c r="H20" s="612">
        <v>0</v>
      </c>
      <c r="I20" s="911">
        <f t="shared" si="1"/>
        <v>0</v>
      </c>
    </row>
    <row r="21" spans="1:9" x14ac:dyDescent="0.25">
      <c r="A21" s="909" t="s">
        <v>383</v>
      </c>
      <c r="B21" s="1187"/>
      <c r="C21" s="612">
        <v>0</v>
      </c>
      <c r="D21" s="612">
        <v>0</v>
      </c>
      <c r="E21" s="910">
        <f t="shared" si="0"/>
        <v>0</v>
      </c>
      <c r="F21" s="612">
        <v>0</v>
      </c>
      <c r="G21" s="612">
        <v>0</v>
      </c>
      <c r="H21" s="612">
        <v>0</v>
      </c>
      <c r="I21" s="911">
        <f t="shared" si="1"/>
        <v>0</v>
      </c>
    </row>
    <row r="22" spans="1:9" x14ac:dyDescent="0.25">
      <c r="A22" s="909" t="s">
        <v>384</v>
      </c>
      <c r="B22" s="1187"/>
      <c r="C22" s="612">
        <v>0</v>
      </c>
      <c r="D22" s="612">
        <v>0</v>
      </c>
      <c r="E22" s="910">
        <f t="shared" si="0"/>
        <v>0</v>
      </c>
      <c r="F22" s="612">
        <v>0</v>
      </c>
      <c r="G22" s="612">
        <v>0</v>
      </c>
      <c r="H22" s="612">
        <v>0</v>
      </c>
      <c r="I22" s="911">
        <f t="shared" si="1"/>
        <v>0</v>
      </c>
    </row>
    <row r="23" spans="1:9" x14ac:dyDescent="0.25">
      <c r="A23" s="909" t="s">
        <v>271</v>
      </c>
      <c r="B23" s="1187"/>
      <c r="C23" s="612">
        <v>0</v>
      </c>
      <c r="D23" s="612">
        <v>0</v>
      </c>
      <c r="E23" s="910">
        <f t="shared" si="0"/>
        <v>0</v>
      </c>
      <c r="F23" s="612">
        <v>0</v>
      </c>
      <c r="G23" s="612">
        <v>0</v>
      </c>
      <c r="H23" s="612">
        <v>0</v>
      </c>
      <c r="I23" s="911">
        <f t="shared" si="1"/>
        <v>0</v>
      </c>
    </row>
    <row r="24" spans="1:9" x14ac:dyDescent="0.25">
      <c r="A24" s="909" t="s">
        <v>385</v>
      </c>
      <c r="B24" s="1187"/>
      <c r="C24" s="612">
        <v>0</v>
      </c>
      <c r="D24" s="612">
        <v>0</v>
      </c>
      <c r="E24" s="910">
        <f t="shared" si="0"/>
        <v>0</v>
      </c>
      <c r="F24" s="612">
        <v>0</v>
      </c>
      <c r="G24" s="612">
        <v>0</v>
      </c>
      <c r="H24" s="612">
        <v>0</v>
      </c>
      <c r="I24" s="911">
        <f t="shared" si="1"/>
        <v>0</v>
      </c>
    </row>
    <row r="25" spans="1:9" x14ac:dyDescent="0.25">
      <c r="A25" s="909" t="s">
        <v>272</v>
      </c>
      <c r="B25" s="1187"/>
      <c r="C25" s="612">
        <v>0</v>
      </c>
      <c r="D25" s="612">
        <v>0</v>
      </c>
      <c r="E25" s="910">
        <f t="shared" si="0"/>
        <v>0</v>
      </c>
      <c r="F25" s="612">
        <v>0</v>
      </c>
      <c r="G25" s="612">
        <v>0</v>
      </c>
      <c r="H25" s="612">
        <v>0</v>
      </c>
      <c r="I25" s="911">
        <f t="shared" si="1"/>
        <v>0</v>
      </c>
    </row>
    <row r="26" spans="1:9" x14ac:dyDescent="0.25">
      <c r="A26" s="909" t="s">
        <v>386</v>
      </c>
      <c r="B26" s="1187"/>
      <c r="C26" s="612">
        <v>0</v>
      </c>
      <c r="D26" s="612">
        <v>0</v>
      </c>
      <c r="E26" s="910">
        <f t="shared" si="0"/>
        <v>0</v>
      </c>
      <c r="F26" s="612">
        <v>0</v>
      </c>
      <c r="G26" s="612">
        <v>0</v>
      </c>
      <c r="H26" s="612">
        <v>0</v>
      </c>
      <c r="I26" s="911">
        <f t="shared" si="1"/>
        <v>0</v>
      </c>
    </row>
    <row r="27" spans="1:9" x14ac:dyDescent="0.25">
      <c r="A27" s="909" t="s">
        <v>387</v>
      </c>
      <c r="B27" s="1187"/>
      <c r="C27" s="612">
        <v>0</v>
      </c>
      <c r="D27" s="612">
        <v>0</v>
      </c>
      <c r="E27" s="910">
        <f t="shared" si="0"/>
        <v>0</v>
      </c>
      <c r="F27" s="612">
        <v>0</v>
      </c>
      <c r="G27" s="612">
        <v>0</v>
      </c>
      <c r="H27" s="612">
        <v>0</v>
      </c>
      <c r="I27" s="911">
        <f t="shared" si="1"/>
        <v>0</v>
      </c>
    </row>
    <row r="28" spans="1:9" x14ac:dyDescent="0.25">
      <c r="A28" s="909" t="s">
        <v>273</v>
      </c>
      <c r="B28" s="1187"/>
      <c r="C28" s="612">
        <v>0</v>
      </c>
      <c r="D28" s="612">
        <v>0</v>
      </c>
      <c r="E28" s="910">
        <f t="shared" si="0"/>
        <v>0</v>
      </c>
      <c r="F28" s="612">
        <v>0</v>
      </c>
      <c r="G28" s="612">
        <v>0</v>
      </c>
      <c r="H28" s="612">
        <v>0</v>
      </c>
      <c r="I28" s="911">
        <f t="shared" si="1"/>
        <v>0</v>
      </c>
    </row>
    <row r="29" spans="1:9" x14ac:dyDescent="0.25">
      <c r="A29" s="909" t="s">
        <v>388</v>
      </c>
      <c r="B29" s="1187"/>
      <c r="C29" s="612">
        <v>0</v>
      </c>
      <c r="D29" s="612">
        <v>0</v>
      </c>
      <c r="E29" s="910">
        <f t="shared" si="0"/>
        <v>0</v>
      </c>
      <c r="F29" s="612">
        <v>0</v>
      </c>
      <c r="G29" s="612">
        <v>0</v>
      </c>
      <c r="H29" s="612">
        <v>0</v>
      </c>
      <c r="I29" s="911">
        <f t="shared" si="1"/>
        <v>0</v>
      </c>
    </row>
    <row r="30" spans="1:9" x14ac:dyDescent="0.25">
      <c r="A30" s="909" t="s">
        <v>274</v>
      </c>
      <c r="B30" s="1187"/>
      <c r="C30" s="612">
        <v>0</v>
      </c>
      <c r="D30" s="612">
        <v>0</v>
      </c>
      <c r="E30" s="910">
        <f t="shared" si="0"/>
        <v>0</v>
      </c>
      <c r="F30" s="612">
        <v>0</v>
      </c>
      <c r="G30" s="612">
        <v>0</v>
      </c>
      <c r="H30" s="612">
        <v>0</v>
      </c>
      <c r="I30" s="911">
        <f t="shared" si="1"/>
        <v>0</v>
      </c>
    </row>
    <row r="31" spans="1:9" x14ac:dyDescent="0.25">
      <c r="A31" s="909" t="s">
        <v>389</v>
      </c>
      <c r="B31" s="1187"/>
      <c r="C31" s="612">
        <v>0</v>
      </c>
      <c r="D31" s="612">
        <v>0</v>
      </c>
      <c r="E31" s="910">
        <f t="shared" si="0"/>
        <v>0</v>
      </c>
      <c r="F31" s="612">
        <v>0</v>
      </c>
      <c r="G31" s="612">
        <v>0</v>
      </c>
      <c r="H31" s="612">
        <v>0</v>
      </c>
      <c r="I31" s="911">
        <f t="shared" si="1"/>
        <v>0</v>
      </c>
    </row>
    <row r="32" spans="1:9" x14ac:dyDescent="0.25">
      <c r="A32" s="909" t="s">
        <v>390</v>
      </c>
      <c r="B32" s="1187"/>
      <c r="C32" s="612">
        <v>0</v>
      </c>
      <c r="D32" s="612">
        <v>0</v>
      </c>
      <c r="E32" s="910">
        <f t="shared" si="0"/>
        <v>0</v>
      </c>
      <c r="F32" s="612">
        <v>0</v>
      </c>
      <c r="G32" s="612">
        <v>0</v>
      </c>
      <c r="H32" s="612">
        <v>0</v>
      </c>
      <c r="I32" s="911">
        <f t="shared" si="1"/>
        <v>0</v>
      </c>
    </row>
    <row r="33" spans="1:9" x14ac:dyDescent="0.25">
      <c r="A33" s="909" t="s">
        <v>275</v>
      </c>
      <c r="B33" s="1187"/>
      <c r="C33" s="612">
        <v>0</v>
      </c>
      <c r="D33" s="612">
        <v>0</v>
      </c>
      <c r="E33" s="910">
        <f t="shared" si="0"/>
        <v>0</v>
      </c>
      <c r="F33" s="612">
        <v>0</v>
      </c>
      <c r="G33" s="612">
        <v>0</v>
      </c>
      <c r="H33" s="612">
        <v>0</v>
      </c>
      <c r="I33" s="911">
        <f t="shared" si="1"/>
        <v>0</v>
      </c>
    </row>
    <row r="34" spans="1:9" x14ac:dyDescent="0.25">
      <c r="A34" s="909" t="s">
        <v>391</v>
      </c>
      <c r="B34" s="1187"/>
      <c r="C34" s="612">
        <v>0</v>
      </c>
      <c r="D34" s="612">
        <v>0</v>
      </c>
      <c r="E34" s="910">
        <f t="shared" si="0"/>
        <v>0</v>
      </c>
      <c r="F34" s="612">
        <v>0</v>
      </c>
      <c r="G34" s="612">
        <v>0</v>
      </c>
      <c r="H34" s="612">
        <v>0</v>
      </c>
      <c r="I34" s="911">
        <f t="shared" si="1"/>
        <v>0</v>
      </c>
    </row>
    <row r="35" spans="1:9" x14ac:dyDescent="0.25">
      <c r="A35" s="909" t="s">
        <v>276</v>
      </c>
      <c r="B35" s="1187"/>
      <c r="C35" s="612">
        <v>0</v>
      </c>
      <c r="D35" s="612">
        <v>0</v>
      </c>
      <c r="E35" s="910">
        <f>+C35+D35</f>
        <v>0</v>
      </c>
      <c r="F35" s="612">
        <v>0</v>
      </c>
      <c r="G35" s="612">
        <v>0</v>
      </c>
      <c r="H35" s="612">
        <v>0</v>
      </c>
      <c r="I35" s="911">
        <f t="shared" si="1"/>
        <v>0</v>
      </c>
    </row>
    <row r="36" spans="1:9" x14ac:dyDescent="0.25">
      <c r="A36" s="909" t="s">
        <v>277</v>
      </c>
      <c r="B36" s="1187"/>
      <c r="C36" s="612">
        <v>0</v>
      </c>
      <c r="D36" s="612">
        <v>0</v>
      </c>
      <c r="E36" s="910">
        <f t="shared" si="0"/>
        <v>0</v>
      </c>
      <c r="F36" s="612">
        <v>0</v>
      </c>
      <c r="G36" s="612">
        <v>0</v>
      </c>
      <c r="H36" s="612">
        <v>0</v>
      </c>
      <c r="I36" s="911">
        <f t="shared" si="1"/>
        <v>0</v>
      </c>
    </row>
    <row r="37" spans="1:9" x14ac:dyDescent="0.25">
      <c r="A37" s="909" t="s">
        <v>392</v>
      </c>
      <c r="B37" s="1187"/>
      <c r="C37" s="612">
        <v>0</v>
      </c>
      <c r="D37" s="612">
        <v>0</v>
      </c>
      <c r="E37" s="910">
        <f t="shared" si="0"/>
        <v>0</v>
      </c>
      <c r="F37" s="612">
        <v>0</v>
      </c>
      <c r="G37" s="612">
        <v>0</v>
      </c>
      <c r="H37" s="612">
        <v>0</v>
      </c>
      <c r="I37" s="911">
        <f t="shared" si="1"/>
        <v>0</v>
      </c>
    </row>
    <row r="38" spans="1:9" x14ac:dyDescent="0.25">
      <c r="A38" s="909" t="s">
        <v>393</v>
      </c>
      <c r="B38" s="1187"/>
      <c r="C38" s="612">
        <v>0</v>
      </c>
      <c r="D38" s="612">
        <v>0</v>
      </c>
      <c r="E38" s="910">
        <f t="shared" si="0"/>
        <v>0</v>
      </c>
      <c r="F38" s="612">
        <v>0</v>
      </c>
      <c r="G38" s="612">
        <v>0</v>
      </c>
      <c r="H38" s="612">
        <v>0</v>
      </c>
      <c r="I38" s="911">
        <f t="shared" si="1"/>
        <v>0</v>
      </c>
    </row>
    <row r="39" spans="1:9" x14ac:dyDescent="0.25">
      <c r="A39" s="909" t="s">
        <v>278</v>
      </c>
      <c r="B39" s="1187"/>
      <c r="C39" s="612">
        <v>0</v>
      </c>
      <c r="D39" s="612">
        <v>0</v>
      </c>
      <c r="E39" s="910">
        <f t="shared" si="0"/>
        <v>0</v>
      </c>
      <c r="F39" s="612">
        <v>0</v>
      </c>
      <c r="G39" s="612">
        <v>0</v>
      </c>
      <c r="H39" s="612">
        <v>0</v>
      </c>
      <c r="I39" s="911">
        <f t="shared" si="1"/>
        <v>0</v>
      </c>
    </row>
    <row r="40" spans="1:9" x14ac:dyDescent="0.25">
      <c r="A40" s="909" t="s">
        <v>394</v>
      </c>
      <c r="B40" s="1187"/>
      <c r="C40" s="612">
        <v>0</v>
      </c>
      <c r="D40" s="612">
        <v>0</v>
      </c>
      <c r="E40" s="910">
        <f t="shared" si="0"/>
        <v>0</v>
      </c>
      <c r="F40" s="612">
        <v>0</v>
      </c>
      <c r="G40" s="612">
        <v>0</v>
      </c>
      <c r="H40" s="612">
        <v>0</v>
      </c>
      <c r="I40" s="911">
        <f t="shared" si="1"/>
        <v>0</v>
      </c>
    </row>
    <row r="41" spans="1:9" x14ac:dyDescent="0.25">
      <c r="A41" s="909" t="s">
        <v>279</v>
      </c>
      <c r="B41" s="1187"/>
      <c r="C41" s="612">
        <v>0</v>
      </c>
      <c r="D41" s="612">
        <v>0</v>
      </c>
      <c r="E41" s="910">
        <f t="shared" si="0"/>
        <v>0</v>
      </c>
      <c r="F41" s="612">
        <v>0</v>
      </c>
      <c r="G41" s="612">
        <v>0</v>
      </c>
      <c r="H41" s="612">
        <v>0</v>
      </c>
      <c r="I41" s="911">
        <f t="shared" si="1"/>
        <v>0</v>
      </c>
    </row>
    <row r="42" spans="1:9" x14ac:dyDescent="0.25">
      <c r="A42" s="909" t="s">
        <v>395</v>
      </c>
      <c r="B42" s="1187"/>
      <c r="C42" s="612">
        <v>0</v>
      </c>
      <c r="D42" s="612">
        <v>0</v>
      </c>
      <c r="E42" s="910">
        <f t="shared" si="0"/>
        <v>0</v>
      </c>
      <c r="F42" s="612">
        <v>0</v>
      </c>
      <c r="G42" s="612">
        <v>0</v>
      </c>
      <c r="H42" s="612">
        <v>0</v>
      </c>
      <c r="I42" s="911">
        <f t="shared" si="1"/>
        <v>0</v>
      </c>
    </row>
    <row r="43" spans="1:9" x14ac:dyDescent="0.25">
      <c r="A43" s="909" t="s">
        <v>396</v>
      </c>
      <c r="B43" s="1187"/>
      <c r="C43" s="612">
        <v>0</v>
      </c>
      <c r="D43" s="612">
        <v>0</v>
      </c>
      <c r="E43" s="910">
        <f t="shared" si="0"/>
        <v>0</v>
      </c>
      <c r="F43" s="612">
        <v>0</v>
      </c>
      <c r="G43" s="612">
        <v>0</v>
      </c>
      <c r="H43" s="612">
        <v>0</v>
      </c>
      <c r="I43" s="911">
        <f t="shared" si="1"/>
        <v>0</v>
      </c>
    </row>
    <row r="44" spans="1:9" x14ac:dyDescent="0.25">
      <c r="A44" s="909" t="s">
        <v>280</v>
      </c>
      <c r="B44" s="1187"/>
      <c r="C44" s="612">
        <v>0</v>
      </c>
      <c r="D44" s="612">
        <v>0</v>
      </c>
      <c r="E44" s="910">
        <f t="shared" si="0"/>
        <v>0</v>
      </c>
      <c r="F44" s="612">
        <v>0</v>
      </c>
      <c r="G44" s="612">
        <v>0</v>
      </c>
      <c r="H44" s="612">
        <v>0</v>
      </c>
      <c r="I44" s="911">
        <f t="shared" si="1"/>
        <v>0</v>
      </c>
    </row>
    <row r="45" spans="1:9" x14ac:dyDescent="0.25">
      <c r="A45" s="909" t="s">
        <v>397</v>
      </c>
      <c r="B45" s="1187"/>
      <c r="C45" s="612">
        <v>0</v>
      </c>
      <c r="D45" s="612">
        <v>0</v>
      </c>
      <c r="E45" s="910">
        <f t="shared" si="0"/>
        <v>0</v>
      </c>
      <c r="F45" s="612">
        <v>0</v>
      </c>
      <c r="G45" s="612">
        <v>0</v>
      </c>
      <c r="H45" s="612">
        <v>0</v>
      </c>
      <c r="I45" s="911">
        <f t="shared" si="1"/>
        <v>0</v>
      </c>
    </row>
    <row r="46" spans="1:9" x14ac:dyDescent="0.25">
      <c r="A46" s="909" t="s">
        <v>281</v>
      </c>
      <c r="B46" s="1187"/>
      <c r="C46" s="612">
        <v>0</v>
      </c>
      <c r="D46" s="612">
        <v>0</v>
      </c>
      <c r="E46" s="910">
        <f t="shared" si="0"/>
        <v>0</v>
      </c>
      <c r="F46" s="612">
        <v>0</v>
      </c>
      <c r="G46" s="612">
        <v>0</v>
      </c>
      <c r="H46" s="612">
        <v>0</v>
      </c>
      <c r="I46" s="911">
        <f t="shared" si="1"/>
        <v>0</v>
      </c>
    </row>
    <row r="47" spans="1:9" x14ac:dyDescent="0.25">
      <c r="A47" s="909" t="s">
        <v>282</v>
      </c>
      <c r="B47" s="1187"/>
      <c r="C47" s="612">
        <v>0</v>
      </c>
      <c r="D47" s="612">
        <v>0</v>
      </c>
      <c r="E47" s="910">
        <f t="shared" si="0"/>
        <v>0</v>
      </c>
      <c r="F47" s="612">
        <v>0</v>
      </c>
      <c r="G47" s="612">
        <v>0</v>
      </c>
      <c r="H47" s="612">
        <v>0</v>
      </c>
      <c r="I47" s="911">
        <f t="shared" si="1"/>
        <v>0</v>
      </c>
    </row>
    <row r="48" spans="1:9" x14ac:dyDescent="0.25">
      <c r="A48" s="909" t="s">
        <v>283</v>
      </c>
      <c r="B48" s="1187"/>
      <c r="C48" s="612">
        <v>0</v>
      </c>
      <c r="D48" s="612">
        <v>0</v>
      </c>
      <c r="E48" s="910">
        <f t="shared" si="0"/>
        <v>0</v>
      </c>
      <c r="F48" s="612">
        <v>0</v>
      </c>
      <c r="G48" s="612">
        <v>0</v>
      </c>
      <c r="H48" s="612">
        <v>0</v>
      </c>
      <c r="I48" s="911">
        <f t="shared" si="1"/>
        <v>0</v>
      </c>
    </row>
    <row r="49" spans="1:9" x14ac:dyDescent="0.25">
      <c r="A49" s="909" t="s">
        <v>284</v>
      </c>
      <c r="B49" s="1187"/>
      <c r="C49" s="612">
        <v>0</v>
      </c>
      <c r="D49" s="612">
        <v>0</v>
      </c>
      <c r="E49" s="910">
        <f t="shared" si="0"/>
        <v>0</v>
      </c>
      <c r="F49" s="612">
        <v>0</v>
      </c>
      <c r="G49" s="612">
        <v>0</v>
      </c>
      <c r="H49" s="612">
        <v>0</v>
      </c>
      <c r="I49" s="911">
        <f t="shared" si="1"/>
        <v>0</v>
      </c>
    </row>
    <row r="50" spans="1:9" x14ac:dyDescent="0.25">
      <c r="A50" s="909" t="s">
        <v>285</v>
      </c>
      <c r="B50" s="1187"/>
      <c r="C50" s="612">
        <v>0</v>
      </c>
      <c r="D50" s="612">
        <v>0</v>
      </c>
      <c r="E50" s="910">
        <f t="shared" si="0"/>
        <v>0</v>
      </c>
      <c r="F50" s="612">
        <v>0</v>
      </c>
      <c r="G50" s="612">
        <v>0</v>
      </c>
      <c r="H50" s="612">
        <v>0</v>
      </c>
      <c r="I50" s="911">
        <f t="shared" si="1"/>
        <v>0</v>
      </c>
    </row>
    <row r="51" spans="1:9" x14ac:dyDescent="0.25">
      <c r="A51" s="909" t="s">
        <v>286</v>
      </c>
      <c r="B51" s="1187"/>
      <c r="C51" s="612">
        <v>0</v>
      </c>
      <c r="D51" s="612">
        <v>0</v>
      </c>
      <c r="E51" s="910">
        <f t="shared" si="0"/>
        <v>0</v>
      </c>
      <c r="F51" s="612">
        <v>0</v>
      </c>
      <c r="G51" s="612">
        <v>0</v>
      </c>
      <c r="H51" s="612">
        <v>0</v>
      </c>
      <c r="I51" s="911">
        <f t="shared" si="1"/>
        <v>0</v>
      </c>
    </row>
    <row r="52" spans="1:9" x14ac:dyDescent="0.25">
      <c r="A52" s="909" t="s">
        <v>287</v>
      </c>
      <c r="B52" s="1187"/>
      <c r="C52" s="612">
        <v>0</v>
      </c>
      <c r="D52" s="612">
        <v>0</v>
      </c>
      <c r="E52" s="910">
        <f t="shared" si="0"/>
        <v>0</v>
      </c>
      <c r="F52" s="612">
        <v>0</v>
      </c>
      <c r="G52" s="612">
        <v>0</v>
      </c>
      <c r="H52" s="612">
        <v>0</v>
      </c>
      <c r="I52" s="911">
        <f t="shared" si="1"/>
        <v>0</v>
      </c>
    </row>
    <row r="53" spans="1:9" x14ac:dyDescent="0.25">
      <c r="A53" s="909" t="s">
        <v>298</v>
      </c>
      <c r="B53" s="1187"/>
      <c r="C53" s="612">
        <v>0</v>
      </c>
      <c r="D53" s="612">
        <v>0</v>
      </c>
      <c r="E53" s="910">
        <f t="shared" si="0"/>
        <v>0</v>
      </c>
      <c r="F53" s="612">
        <v>0</v>
      </c>
      <c r="G53" s="612">
        <v>0</v>
      </c>
      <c r="H53" s="612">
        <v>0</v>
      </c>
      <c r="I53" s="911">
        <f t="shared" si="1"/>
        <v>0</v>
      </c>
    </row>
    <row r="54" spans="1:9" x14ac:dyDescent="0.25">
      <c r="A54" s="909" t="s">
        <v>288</v>
      </c>
      <c r="B54" s="1187"/>
      <c r="C54" s="612">
        <v>0</v>
      </c>
      <c r="D54" s="612">
        <v>0</v>
      </c>
      <c r="E54" s="910">
        <f t="shared" si="0"/>
        <v>0</v>
      </c>
      <c r="F54" s="612">
        <v>0</v>
      </c>
      <c r="G54" s="612">
        <v>0</v>
      </c>
      <c r="H54" s="612">
        <v>0</v>
      </c>
      <c r="I54" s="911">
        <f t="shared" si="1"/>
        <v>0</v>
      </c>
    </row>
    <row r="55" spans="1:9" x14ac:dyDescent="0.25">
      <c r="A55" s="909" t="s">
        <v>289</v>
      </c>
      <c r="B55" s="1187"/>
      <c r="C55" s="612">
        <v>0</v>
      </c>
      <c r="D55" s="612">
        <v>0</v>
      </c>
      <c r="E55" s="910">
        <f t="shared" si="0"/>
        <v>0</v>
      </c>
      <c r="F55" s="612">
        <v>0</v>
      </c>
      <c r="G55" s="612">
        <v>0</v>
      </c>
      <c r="H55" s="612">
        <v>0</v>
      </c>
      <c r="I55" s="911">
        <f t="shared" si="1"/>
        <v>0</v>
      </c>
    </row>
    <row r="56" spans="1:9" x14ac:dyDescent="0.25">
      <c r="A56" s="909" t="s">
        <v>290</v>
      </c>
      <c r="B56" s="1187"/>
      <c r="C56" s="612">
        <v>0</v>
      </c>
      <c r="D56" s="612">
        <v>0</v>
      </c>
      <c r="E56" s="910">
        <f t="shared" si="0"/>
        <v>0</v>
      </c>
      <c r="F56" s="612">
        <v>0</v>
      </c>
      <c r="G56" s="612">
        <v>0</v>
      </c>
      <c r="H56" s="612">
        <v>0</v>
      </c>
      <c r="I56" s="911">
        <f t="shared" si="1"/>
        <v>0</v>
      </c>
    </row>
    <row r="57" spans="1:9" x14ac:dyDescent="0.25">
      <c r="A57" s="909" t="s">
        <v>291</v>
      </c>
      <c r="B57" s="1187"/>
      <c r="C57" s="612">
        <v>0</v>
      </c>
      <c r="D57" s="612">
        <v>0</v>
      </c>
      <c r="E57" s="910">
        <f t="shared" si="0"/>
        <v>0</v>
      </c>
      <c r="F57" s="612">
        <v>0</v>
      </c>
      <c r="G57" s="612">
        <v>0</v>
      </c>
      <c r="H57" s="612">
        <v>0</v>
      </c>
      <c r="I57" s="911">
        <f t="shared" si="1"/>
        <v>0</v>
      </c>
    </row>
    <row r="58" spans="1:9" x14ac:dyDescent="0.25">
      <c r="A58" s="909" t="s">
        <v>292</v>
      </c>
      <c r="B58" s="1187"/>
      <c r="C58" s="612">
        <v>0</v>
      </c>
      <c r="D58" s="612">
        <v>0</v>
      </c>
      <c r="E58" s="910">
        <f t="shared" si="0"/>
        <v>0</v>
      </c>
      <c r="F58" s="612">
        <v>0</v>
      </c>
      <c r="G58" s="612">
        <v>0</v>
      </c>
      <c r="H58" s="612">
        <v>0</v>
      </c>
      <c r="I58" s="911">
        <f t="shared" si="1"/>
        <v>0</v>
      </c>
    </row>
    <row r="59" spans="1:9" x14ac:dyDescent="0.25">
      <c r="A59" s="909" t="s">
        <v>293</v>
      </c>
      <c r="B59" s="1187"/>
      <c r="C59" s="613">
        <v>0</v>
      </c>
      <c r="D59" s="612">
        <v>0</v>
      </c>
      <c r="E59" s="910">
        <f t="shared" si="0"/>
        <v>0</v>
      </c>
      <c r="F59" s="612">
        <v>0</v>
      </c>
      <c r="G59" s="612">
        <v>0</v>
      </c>
      <c r="H59" s="612">
        <v>0</v>
      </c>
      <c r="I59" s="911">
        <f t="shared" si="1"/>
        <v>0</v>
      </c>
    </row>
    <row r="60" spans="1:9" x14ac:dyDescent="0.25">
      <c r="A60" s="909" t="s">
        <v>294</v>
      </c>
      <c r="B60" s="1187"/>
      <c r="C60" s="612">
        <v>0</v>
      </c>
      <c r="D60" s="612">
        <v>0</v>
      </c>
      <c r="E60" s="910">
        <f t="shared" si="0"/>
        <v>0</v>
      </c>
      <c r="F60" s="612">
        <v>0</v>
      </c>
      <c r="G60" s="612">
        <v>0</v>
      </c>
      <c r="H60" s="612">
        <v>0</v>
      </c>
      <c r="I60" s="911">
        <f t="shared" si="1"/>
        <v>0</v>
      </c>
    </row>
    <row r="61" spans="1:9" ht="13" thickBot="1" x14ac:dyDescent="0.3">
      <c r="A61" s="912" t="s">
        <v>295</v>
      </c>
      <c r="B61" s="1188"/>
      <c r="C61" s="614">
        <v>0</v>
      </c>
      <c r="D61" s="614">
        <v>0</v>
      </c>
      <c r="E61" s="913">
        <f>+C61+D61</f>
        <v>0</v>
      </c>
      <c r="F61" s="614">
        <v>0</v>
      </c>
      <c r="G61" s="614">
        <v>0</v>
      </c>
      <c r="H61" s="614">
        <v>0</v>
      </c>
      <c r="I61" s="914">
        <f t="shared" si="1"/>
        <v>0</v>
      </c>
    </row>
    <row r="62" spans="1:9" ht="13" x14ac:dyDescent="0.25">
      <c r="A62" s="915"/>
      <c r="B62" s="916"/>
      <c r="C62" s="917"/>
      <c r="D62" s="917"/>
      <c r="E62" s="917"/>
      <c r="F62" s="917"/>
      <c r="G62" s="917"/>
      <c r="H62" s="917"/>
      <c r="I62" s="917"/>
    </row>
    <row r="63" spans="1:9" ht="13" x14ac:dyDescent="0.25">
      <c r="A63" s="915" t="s">
        <v>296</v>
      </c>
      <c r="B63" s="916"/>
      <c r="C63" s="918">
        <f t="shared" ref="C63:I63" si="2">SUM(C17:C61)</f>
        <v>0</v>
      </c>
      <c r="D63" s="918">
        <f t="shared" si="2"/>
        <v>0</v>
      </c>
      <c r="E63" s="918">
        <f t="shared" si="2"/>
        <v>0</v>
      </c>
      <c r="F63" s="918">
        <f t="shared" ref="F63" si="3">SUM(F17:F61)</f>
        <v>0</v>
      </c>
      <c r="G63" s="918">
        <f t="shared" si="2"/>
        <v>0</v>
      </c>
      <c r="H63" s="918">
        <f t="shared" si="2"/>
        <v>0</v>
      </c>
      <c r="I63" s="918">
        <f t="shared" si="2"/>
        <v>0</v>
      </c>
    </row>
    <row r="64" spans="1:9" ht="13.5" thickBot="1" x14ac:dyDescent="0.3">
      <c r="A64" s="919"/>
      <c r="B64" s="920"/>
      <c r="C64" s="921"/>
      <c r="D64" s="921"/>
      <c r="E64" s="921"/>
      <c r="F64" s="921"/>
      <c r="G64" s="921"/>
      <c r="H64" s="921"/>
      <c r="I64" s="922"/>
    </row>
    <row r="65" spans="1:9" s="924" customFormat="1" ht="12" x14ac:dyDescent="0.25">
      <c r="A65" s="923"/>
      <c r="B65" s="923"/>
    </row>
    <row r="66" spans="1:9" s="924" customFormat="1" ht="12" x14ac:dyDescent="0.25"/>
    <row r="67" spans="1:9" ht="13" thickBot="1" x14ac:dyDescent="0.3"/>
    <row r="68" spans="1:9" ht="20.149999999999999" customHeight="1" thickBot="1" x14ac:dyDescent="0.3">
      <c r="A68" s="1189" t="str">
        <f>"REALITEIT "&amp;B4</f>
        <v>REALITEIT 2022</v>
      </c>
      <c r="B68" s="1190"/>
      <c r="C68" s="1190"/>
      <c r="D68" s="1190"/>
      <c r="E68" s="1190"/>
      <c r="F68" s="1190"/>
      <c r="G68" s="1190"/>
      <c r="H68" s="1190"/>
      <c r="I68" s="1191"/>
    </row>
    <row r="69" spans="1:9" ht="47.5" customHeight="1" x14ac:dyDescent="0.25">
      <c r="A69" s="925" t="s">
        <v>266</v>
      </c>
      <c r="B69" s="926" t="s">
        <v>297</v>
      </c>
      <c r="C69" s="927" t="str">
        <f>"Oorspronkelijke meerwaarde op basis van iRAB voor activa einde boekjaar "&amp;B4-1</f>
        <v>Oorspronkelijke meerwaarde op basis van iRAB voor activa einde boekjaar 2021</v>
      </c>
      <c r="D69" s="927" t="str">
        <f>"Gecumuleerde afschrijvingen activa einde boekjaar "&amp; B4-1</f>
        <v>Gecumuleerde afschrijvingen activa einde boekjaar 2021</v>
      </c>
      <c r="E69" s="927" t="str">
        <f>"Nettoboekwaarde meerwaarde op basis van iRAB einde boekjaar "&amp; B4-1</f>
        <v>Nettoboekwaarde meerwaarde op basis van iRAB einde boekjaar 2021</v>
      </c>
      <c r="F69" s="927" t="str">
        <f>"Transfers boekjaar "&amp;B4</f>
        <v>Transfers boekjaar 2022</v>
      </c>
      <c r="G69" s="927" t="str">
        <f>"Afschrijvingen boekjaar "&amp;B4</f>
        <v>Afschrijvingen boekjaar 2022</v>
      </c>
      <c r="H69" s="927" t="str">
        <f>"Desinvesteringen boekjaar "&amp;B4&amp;" (n.a.v. verkoop of structuurwijziging)"</f>
        <v>Desinvesteringen boekjaar 2022 (n.a.v. verkoop of structuurwijziging)</v>
      </c>
      <c r="I69" s="927" t="str">
        <f>"Nettoboekwaarde meerwaarde op basis van iRAB einde boekjaar "&amp;B4</f>
        <v>Nettoboekwaarde meerwaarde op basis van iRAB einde boekjaar 2022</v>
      </c>
    </row>
    <row r="70" spans="1:9" ht="13.5" thickBot="1" x14ac:dyDescent="0.3">
      <c r="A70" s="902"/>
      <c r="B70" s="903"/>
      <c r="C70" s="904" t="s">
        <v>4</v>
      </c>
      <c r="D70" s="904" t="s">
        <v>8</v>
      </c>
      <c r="E70" s="904"/>
      <c r="F70" s="904" t="s">
        <v>4</v>
      </c>
      <c r="G70" s="904" t="s">
        <v>8</v>
      </c>
      <c r="H70" s="904" t="s">
        <v>8</v>
      </c>
      <c r="I70" s="905"/>
    </row>
    <row r="71" spans="1:9" x14ac:dyDescent="0.25">
      <c r="A71" s="906" t="s">
        <v>267</v>
      </c>
      <c r="B71" s="1186">
        <v>0.02</v>
      </c>
      <c r="C71" s="611">
        <v>0</v>
      </c>
      <c r="D71" s="611">
        <v>0</v>
      </c>
      <c r="E71" s="907">
        <f t="shared" ref="E71:E88" si="4">+C71+D71</f>
        <v>0</v>
      </c>
      <c r="F71" s="611">
        <v>0</v>
      </c>
      <c r="G71" s="611">
        <v>0</v>
      </c>
      <c r="H71" s="611">
        <v>0</v>
      </c>
      <c r="I71" s="908">
        <f>+SUM(E71:H71)</f>
        <v>0</v>
      </c>
    </row>
    <row r="72" spans="1:9" x14ac:dyDescent="0.25">
      <c r="A72" s="909" t="s">
        <v>268</v>
      </c>
      <c r="B72" s="1187"/>
      <c r="C72" s="612">
        <v>0</v>
      </c>
      <c r="D72" s="612">
        <v>0</v>
      </c>
      <c r="E72" s="910">
        <f t="shared" si="4"/>
        <v>0</v>
      </c>
      <c r="F72" s="612">
        <v>0</v>
      </c>
      <c r="G72" s="612">
        <v>0</v>
      </c>
      <c r="H72" s="612">
        <v>0</v>
      </c>
      <c r="I72" s="911">
        <f t="shared" ref="I72:I115" si="5">+SUM(E72:H72)</f>
        <v>0</v>
      </c>
    </row>
    <row r="73" spans="1:9" x14ac:dyDescent="0.25">
      <c r="A73" s="909" t="s">
        <v>269</v>
      </c>
      <c r="B73" s="1187"/>
      <c r="C73" s="612">
        <v>0</v>
      </c>
      <c r="D73" s="612">
        <v>0</v>
      </c>
      <c r="E73" s="910">
        <f t="shared" si="4"/>
        <v>0</v>
      </c>
      <c r="F73" s="612">
        <v>0</v>
      </c>
      <c r="G73" s="612">
        <v>0</v>
      </c>
      <c r="H73" s="612">
        <v>0</v>
      </c>
      <c r="I73" s="911">
        <f t="shared" si="5"/>
        <v>0</v>
      </c>
    </row>
    <row r="74" spans="1:9" x14ac:dyDescent="0.25">
      <c r="A74" s="909" t="s">
        <v>270</v>
      </c>
      <c r="B74" s="1187"/>
      <c r="C74" s="612">
        <v>0</v>
      </c>
      <c r="D74" s="612">
        <v>0</v>
      </c>
      <c r="E74" s="910">
        <f t="shared" si="4"/>
        <v>0</v>
      </c>
      <c r="F74" s="612">
        <v>0</v>
      </c>
      <c r="G74" s="612">
        <v>0</v>
      </c>
      <c r="H74" s="612">
        <v>0</v>
      </c>
      <c r="I74" s="911">
        <f t="shared" si="5"/>
        <v>0</v>
      </c>
    </row>
    <row r="75" spans="1:9" x14ac:dyDescent="0.25">
      <c r="A75" s="909" t="s">
        <v>383</v>
      </c>
      <c r="B75" s="1187"/>
      <c r="C75" s="612">
        <v>0</v>
      </c>
      <c r="D75" s="612">
        <v>0</v>
      </c>
      <c r="E75" s="910">
        <f t="shared" si="4"/>
        <v>0</v>
      </c>
      <c r="F75" s="612">
        <v>0</v>
      </c>
      <c r="G75" s="612">
        <v>0</v>
      </c>
      <c r="H75" s="612">
        <v>0</v>
      </c>
      <c r="I75" s="911">
        <f t="shared" si="5"/>
        <v>0</v>
      </c>
    </row>
    <row r="76" spans="1:9" x14ac:dyDescent="0.25">
      <c r="A76" s="909" t="s">
        <v>384</v>
      </c>
      <c r="B76" s="1187"/>
      <c r="C76" s="612">
        <v>0</v>
      </c>
      <c r="D76" s="612">
        <v>0</v>
      </c>
      <c r="E76" s="910">
        <f t="shared" si="4"/>
        <v>0</v>
      </c>
      <c r="F76" s="612">
        <v>0</v>
      </c>
      <c r="G76" s="612">
        <v>0</v>
      </c>
      <c r="H76" s="612">
        <v>0</v>
      </c>
      <c r="I76" s="911">
        <f t="shared" si="5"/>
        <v>0</v>
      </c>
    </row>
    <row r="77" spans="1:9" x14ac:dyDescent="0.25">
      <c r="A77" s="909" t="s">
        <v>271</v>
      </c>
      <c r="B77" s="1187"/>
      <c r="C77" s="612">
        <v>0</v>
      </c>
      <c r="D77" s="612">
        <v>0</v>
      </c>
      <c r="E77" s="910">
        <f t="shared" si="4"/>
        <v>0</v>
      </c>
      <c r="F77" s="612">
        <v>0</v>
      </c>
      <c r="G77" s="612">
        <v>0</v>
      </c>
      <c r="H77" s="612">
        <v>0</v>
      </c>
      <c r="I77" s="911">
        <f t="shared" si="5"/>
        <v>0</v>
      </c>
    </row>
    <row r="78" spans="1:9" x14ac:dyDescent="0.25">
      <c r="A78" s="909" t="s">
        <v>385</v>
      </c>
      <c r="B78" s="1187"/>
      <c r="C78" s="612">
        <v>0</v>
      </c>
      <c r="D78" s="612">
        <v>0</v>
      </c>
      <c r="E78" s="910">
        <f t="shared" si="4"/>
        <v>0</v>
      </c>
      <c r="F78" s="612">
        <v>0</v>
      </c>
      <c r="G78" s="612">
        <v>0</v>
      </c>
      <c r="H78" s="612">
        <v>0</v>
      </c>
      <c r="I78" s="911">
        <f t="shared" si="5"/>
        <v>0</v>
      </c>
    </row>
    <row r="79" spans="1:9" x14ac:dyDescent="0.25">
      <c r="A79" s="909" t="s">
        <v>272</v>
      </c>
      <c r="B79" s="1187"/>
      <c r="C79" s="612">
        <v>0</v>
      </c>
      <c r="D79" s="612">
        <v>0</v>
      </c>
      <c r="E79" s="910">
        <f t="shared" si="4"/>
        <v>0</v>
      </c>
      <c r="F79" s="612">
        <v>0</v>
      </c>
      <c r="G79" s="612">
        <v>0</v>
      </c>
      <c r="H79" s="612">
        <v>0</v>
      </c>
      <c r="I79" s="911">
        <f t="shared" si="5"/>
        <v>0</v>
      </c>
    </row>
    <row r="80" spans="1:9" x14ac:dyDescent="0.25">
      <c r="A80" s="909" t="s">
        <v>386</v>
      </c>
      <c r="B80" s="1187"/>
      <c r="C80" s="612">
        <v>0</v>
      </c>
      <c r="D80" s="612">
        <v>0</v>
      </c>
      <c r="E80" s="910">
        <f t="shared" si="4"/>
        <v>0</v>
      </c>
      <c r="F80" s="612">
        <v>0</v>
      </c>
      <c r="G80" s="612">
        <v>0</v>
      </c>
      <c r="H80" s="612">
        <v>0</v>
      </c>
      <c r="I80" s="911">
        <f t="shared" si="5"/>
        <v>0</v>
      </c>
    </row>
    <row r="81" spans="1:9" x14ac:dyDescent="0.25">
      <c r="A81" s="909" t="s">
        <v>387</v>
      </c>
      <c r="B81" s="1187"/>
      <c r="C81" s="612">
        <v>0</v>
      </c>
      <c r="D81" s="612">
        <v>0</v>
      </c>
      <c r="E81" s="910">
        <f t="shared" si="4"/>
        <v>0</v>
      </c>
      <c r="F81" s="612">
        <v>0</v>
      </c>
      <c r="G81" s="612">
        <v>0</v>
      </c>
      <c r="H81" s="612">
        <v>0</v>
      </c>
      <c r="I81" s="911">
        <f t="shared" si="5"/>
        <v>0</v>
      </c>
    </row>
    <row r="82" spans="1:9" x14ac:dyDescent="0.25">
      <c r="A82" s="909" t="s">
        <v>273</v>
      </c>
      <c r="B82" s="1187"/>
      <c r="C82" s="612">
        <v>0</v>
      </c>
      <c r="D82" s="612">
        <v>0</v>
      </c>
      <c r="E82" s="910">
        <f t="shared" si="4"/>
        <v>0</v>
      </c>
      <c r="F82" s="612">
        <v>0</v>
      </c>
      <c r="G82" s="612">
        <v>0</v>
      </c>
      <c r="H82" s="612">
        <v>0</v>
      </c>
      <c r="I82" s="911">
        <f t="shared" si="5"/>
        <v>0</v>
      </c>
    </row>
    <row r="83" spans="1:9" x14ac:dyDescent="0.25">
      <c r="A83" s="909" t="s">
        <v>388</v>
      </c>
      <c r="B83" s="1187"/>
      <c r="C83" s="612">
        <v>0</v>
      </c>
      <c r="D83" s="612">
        <v>0</v>
      </c>
      <c r="E83" s="910">
        <f t="shared" si="4"/>
        <v>0</v>
      </c>
      <c r="F83" s="612">
        <v>0</v>
      </c>
      <c r="G83" s="612">
        <v>0</v>
      </c>
      <c r="H83" s="612">
        <v>0</v>
      </c>
      <c r="I83" s="911">
        <f t="shared" si="5"/>
        <v>0</v>
      </c>
    </row>
    <row r="84" spans="1:9" x14ac:dyDescent="0.25">
      <c r="A84" s="909" t="s">
        <v>274</v>
      </c>
      <c r="B84" s="1187"/>
      <c r="C84" s="612">
        <v>0</v>
      </c>
      <c r="D84" s="612">
        <v>0</v>
      </c>
      <c r="E84" s="910">
        <f t="shared" si="4"/>
        <v>0</v>
      </c>
      <c r="F84" s="612">
        <v>0</v>
      </c>
      <c r="G84" s="612">
        <v>0</v>
      </c>
      <c r="H84" s="612">
        <v>0</v>
      </c>
      <c r="I84" s="911">
        <f t="shared" si="5"/>
        <v>0</v>
      </c>
    </row>
    <row r="85" spans="1:9" x14ac:dyDescent="0.25">
      <c r="A85" s="909" t="s">
        <v>389</v>
      </c>
      <c r="B85" s="1187"/>
      <c r="C85" s="612">
        <v>0</v>
      </c>
      <c r="D85" s="612">
        <v>0</v>
      </c>
      <c r="E85" s="910">
        <f t="shared" si="4"/>
        <v>0</v>
      </c>
      <c r="F85" s="612">
        <v>0</v>
      </c>
      <c r="G85" s="612">
        <v>0</v>
      </c>
      <c r="H85" s="612">
        <v>0</v>
      </c>
      <c r="I85" s="911">
        <f t="shared" si="5"/>
        <v>0</v>
      </c>
    </row>
    <row r="86" spans="1:9" x14ac:dyDescent="0.25">
      <c r="A86" s="909" t="s">
        <v>390</v>
      </c>
      <c r="B86" s="1187"/>
      <c r="C86" s="612">
        <v>0</v>
      </c>
      <c r="D86" s="612">
        <v>0</v>
      </c>
      <c r="E86" s="910">
        <f t="shared" si="4"/>
        <v>0</v>
      </c>
      <c r="F86" s="612">
        <v>0</v>
      </c>
      <c r="G86" s="612">
        <v>0</v>
      </c>
      <c r="H86" s="612">
        <v>0</v>
      </c>
      <c r="I86" s="911">
        <f t="shared" si="5"/>
        <v>0</v>
      </c>
    </row>
    <row r="87" spans="1:9" x14ac:dyDescent="0.25">
      <c r="A87" s="909" t="s">
        <v>275</v>
      </c>
      <c r="B87" s="1187"/>
      <c r="C87" s="612">
        <v>0</v>
      </c>
      <c r="D87" s="612">
        <v>0</v>
      </c>
      <c r="E87" s="910">
        <f t="shared" si="4"/>
        <v>0</v>
      </c>
      <c r="F87" s="612">
        <v>0</v>
      </c>
      <c r="G87" s="612">
        <v>0</v>
      </c>
      <c r="H87" s="612">
        <v>0</v>
      </c>
      <c r="I87" s="911">
        <f t="shared" si="5"/>
        <v>0</v>
      </c>
    </row>
    <row r="88" spans="1:9" x14ac:dyDescent="0.25">
      <c r="A88" s="909" t="s">
        <v>391</v>
      </c>
      <c r="B88" s="1187"/>
      <c r="C88" s="612">
        <v>0</v>
      </c>
      <c r="D88" s="612">
        <v>0</v>
      </c>
      <c r="E88" s="910">
        <f t="shared" si="4"/>
        <v>0</v>
      </c>
      <c r="F88" s="612">
        <v>0</v>
      </c>
      <c r="G88" s="612">
        <v>0</v>
      </c>
      <c r="H88" s="612">
        <v>0</v>
      </c>
      <c r="I88" s="911">
        <f t="shared" si="5"/>
        <v>0</v>
      </c>
    </row>
    <row r="89" spans="1:9" x14ac:dyDescent="0.25">
      <c r="A89" s="909" t="s">
        <v>276</v>
      </c>
      <c r="B89" s="1187"/>
      <c r="C89" s="612">
        <v>0</v>
      </c>
      <c r="D89" s="612">
        <v>0</v>
      </c>
      <c r="E89" s="910">
        <f>+C89+D89</f>
        <v>0</v>
      </c>
      <c r="F89" s="612">
        <v>0</v>
      </c>
      <c r="G89" s="612">
        <v>0</v>
      </c>
      <c r="H89" s="612">
        <v>0</v>
      </c>
      <c r="I89" s="911">
        <f t="shared" si="5"/>
        <v>0</v>
      </c>
    </row>
    <row r="90" spans="1:9" x14ac:dyDescent="0.25">
      <c r="A90" s="909" t="s">
        <v>277</v>
      </c>
      <c r="B90" s="1187"/>
      <c r="C90" s="612">
        <v>0</v>
      </c>
      <c r="D90" s="612">
        <v>0</v>
      </c>
      <c r="E90" s="910">
        <f t="shared" ref="E90:E114" si="6">+C90+D90</f>
        <v>0</v>
      </c>
      <c r="F90" s="612">
        <v>0</v>
      </c>
      <c r="G90" s="612">
        <v>0</v>
      </c>
      <c r="H90" s="612">
        <v>0</v>
      </c>
      <c r="I90" s="911">
        <f t="shared" si="5"/>
        <v>0</v>
      </c>
    </row>
    <row r="91" spans="1:9" x14ac:dyDescent="0.25">
      <c r="A91" s="909" t="s">
        <v>392</v>
      </c>
      <c r="B91" s="1187"/>
      <c r="C91" s="612">
        <v>0</v>
      </c>
      <c r="D91" s="612">
        <v>0</v>
      </c>
      <c r="E91" s="910">
        <f t="shared" si="6"/>
        <v>0</v>
      </c>
      <c r="F91" s="612">
        <v>0</v>
      </c>
      <c r="G91" s="612">
        <v>0</v>
      </c>
      <c r="H91" s="612">
        <v>0</v>
      </c>
      <c r="I91" s="911">
        <f t="shared" si="5"/>
        <v>0</v>
      </c>
    </row>
    <row r="92" spans="1:9" x14ac:dyDescent="0.25">
      <c r="A92" s="909" t="s">
        <v>393</v>
      </c>
      <c r="B92" s="1187"/>
      <c r="C92" s="612">
        <v>0</v>
      </c>
      <c r="D92" s="612">
        <v>0</v>
      </c>
      <c r="E92" s="910">
        <f t="shared" si="6"/>
        <v>0</v>
      </c>
      <c r="F92" s="612">
        <v>0</v>
      </c>
      <c r="G92" s="612">
        <v>0</v>
      </c>
      <c r="H92" s="612">
        <v>0</v>
      </c>
      <c r="I92" s="911">
        <f t="shared" si="5"/>
        <v>0</v>
      </c>
    </row>
    <row r="93" spans="1:9" x14ac:dyDescent="0.25">
      <c r="A93" s="909" t="s">
        <v>278</v>
      </c>
      <c r="B93" s="1187"/>
      <c r="C93" s="612">
        <v>0</v>
      </c>
      <c r="D93" s="612">
        <v>0</v>
      </c>
      <c r="E93" s="910">
        <f t="shared" si="6"/>
        <v>0</v>
      </c>
      <c r="F93" s="612">
        <v>0</v>
      </c>
      <c r="G93" s="612">
        <v>0</v>
      </c>
      <c r="H93" s="612">
        <v>0</v>
      </c>
      <c r="I93" s="911">
        <f t="shared" si="5"/>
        <v>0</v>
      </c>
    </row>
    <row r="94" spans="1:9" x14ac:dyDescent="0.25">
      <c r="A94" s="909" t="s">
        <v>394</v>
      </c>
      <c r="B94" s="1187"/>
      <c r="C94" s="612">
        <v>0</v>
      </c>
      <c r="D94" s="612">
        <v>0</v>
      </c>
      <c r="E94" s="910">
        <f t="shared" si="6"/>
        <v>0</v>
      </c>
      <c r="F94" s="612">
        <v>0</v>
      </c>
      <c r="G94" s="612">
        <v>0</v>
      </c>
      <c r="H94" s="612">
        <v>0</v>
      </c>
      <c r="I94" s="911">
        <f t="shared" si="5"/>
        <v>0</v>
      </c>
    </row>
    <row r="95" spans="1:9" x14ac:dyDescent="0.25">
      <c r="A95" s="909" t="s">
        <v>279</v>
      </c>
      <c r="B95" s="1187"/>
      <c r="C95" s="612">
        <v>0</v>
      </c>
      <c r="D95" s="612">
        <v>0</v>
      </c>
      <c r="E95" s="910">
        <f t="shared" si="6"/>
        <v>0</v>
      </c>
      <c r="F95" s="612">
        <v>0</v>
      </c>
      <c r="G95" s="612">
        <v>0</v>
      </c>
      <c r="H95" s="612">
        <v>0</v>
      </c>
      <c r="I95" s="911">
        <f t="shared" si="5"/>
        <v>0</v>
      </c>
    </row>
    <row r="96" spans="1:9" x14ac:dyDescent="0.25">
      <c r="A96" s="909" t="s">
        <v>395</v>
      </c>
      <c r="B96" s="1187"/>
      <c r="C96" s="612">
        <v>0</v>
      </c>
      <c r="D96" s="612">
        <v>0</v>
      </c>
      <c r="E96" s="910">
        <f t="shared" si="6"/>
        <v>0</v>
      </c>
      <c r="F96" s="612">
        <v>0</v>
      </c>
      <c r="G96" s="612">
        <v>0</v>
      </c>
      <c r="H96" s="612">
        <v>0</v>
      </c>
      <c r="I96" s="911">
        <f t="shared" si="5"/>
        <v>0</v>
      </c>
    </row>
    <row r="97" spans="1:9" x14ac:dyDescent="0.25">
      <c r="A97" s="909" t="s">
        <v>396</v>
      </c>
      <c r="B97" s="1187"/>
      <c r="C97" s="612">
        <v>0</v>
      </c>
      <c r="D97" s="612">
        <v>0</v>
      </c>
      <c r="E97" s="910">
        <f t="shared" si="6"/>
        <v>0</v>
      </c>
      <c r="F97" s="612">
        <v>0</v>
      </c>
      <c r="G97" s="612">
        <v>0</v>
      </c>
      <c r="H97" s="612">
        <v>0</v>
      </c>
      <c r="I97" s="911">
        <f t="shared" si="5"/>
        <v>0</v>
      </c>
    </row>
    <row r="98" spans="1:9" x14ac:dyDescent="0.25">
      <c r="A98" s="909" t="s">
        <v>280</v>
      </c>
      <c r="B98" s="1187"/>
      <c r="C98" s="612">
        <v>0</v>
      </c>
      <c r="D98" s="612">
        <v>0</v>
      </c>
      <c r="E98" s="910">
        <f t="shared" si="6"/>
        <v>0</v>
      </c>
      <c r="F98" s="612">
        <v>0</v>
      </c>
      <c r="G98" s="612">
        <v>0</v>
      </c>
      <c r="H98" s="612">
        <v>0</v>
      </c>
      <c r="I98" s="911">
        <f t="shared" si="5"/>
        <v>0</v>
      </c>
    </row>
    <row r="99" spans="1:9" x14ac:dyDescent="0.25">
      <c r="A99" s="909" t="s">
        <v>397</v>
      </c>
      <c r="B99" s="1187"/>
      <c r="C99" s="612">
        <v>0</v>
      </c>
      <c r="D99" s="612">
        <v>0</v>
      </c>
      <c r="E99" s="910">
        <f t="shared" si="6"/>
        <v>0</v>
      </c>
      <c r="F99" s="612">
        <v>0</v>
      </c>
      <c r="G99" s="612">
        <v>0</v>
      </c>
      <c r="H99" s="612">
        <v>0</v>
      </c>
      <c r="I99" s="911">
        <f t="shared" si="5"/>
        <v>0</v>
      </c>
    </row>
    <row r="100" spans="1:9" x14ac:dyDescent="0.25">
      <c r="A100" s="909" t="s">
        <v>281</v>
      </c>
      <c r="B100" s="1187"/>
      <c r="C100" s="612">
        <v>0</v>
      </c>
      <c r="D100" s="612">
        <v>0</v>
      </c>
      <c r="E100" s="910">
        <f t="shared" si="6"/>
        <v>0</v>
      </c>
      <c r="F100" s="612">
        <v>0</v>
      </c>
      <c r="G100" s="612">
        <v>0</v>
      </c>
      <c r="H100" s="612">
        <v>0</v>
      </c>
      <c r="I100" s="911">
        <f t="shared" si="5"/>
        <v>0</v>
      </c>
    </row>
    <row r="101" spans="1:9" x14ac:dyDescent="0.25">
      <c r="A101" s="909" t="s">
        <v>282</v>
      </c>
      <c r="B101" s="1187"/>
      <c r="C101" s="612">
        <v>0</v>
      </c>
      <c r="D101" s="612">
        <v>0</v>
      </c>
      <c r="E101" s="910">
        <f t="shared" si="6"/>
        <v>0</v>
      </c>
      <c r="F101" s="612">
        <v>0</v>
      </c>
      <c r="G101" s="612">
        <v>0</v>
      </c>
      <c r="H101" s="612">
        <v>0</v>
      </c>
      <c r="I101" s="911">
        <f t="shared" si="5"/>
        <v>0</v>
      </c>
    </row>
    <row r="102" spans="1:9" x14ac:dyDescent="0.25">
      <c r="A102" s="909" t="s">
        <v>283</v>
      </c>
      <c r="B102" s="1187"/>
      <c r="C102" s="612">
        <v>0</v>
      </c>
      <c r="D102" s="612">
        <v>0</v>
      </c>
      <c r="E102" s="910">
        <f t="shared" si="6"/>
        <v>0</v>
      </c>
      <c r="F102" s="612">
        <v>0</v>
      </c>
      <c r="G102" s="612">
        <v>0</v>
      </c>
      <c r="H102" s="612">
        <v>0</v>
      </c>
      <c r="I102" s="911">
        <f t="shared" si="5"/>
        <v>0</v>
      </c>
    </row>
    <row r="103" spans="1:9" x14ac:dyDescent="0.25">
      <c r="A103" s="909" t="s">
        <v>284</v>
      </c>
      <c r="B103" s="1187"/>
      <c r="C103" s="612">
        <v>0</v>
      </c>
      <c r="D103" s="612">
        <v>0</v>
      </c>
      <c r="E103" s="910">
        <f t="shared" si="6"/>
        <v>0</v>
      </c>
      <c r="F103" s="612">
        <v>0</v>
      </c>
      <c r="G103" s="612">
        <v>0</v>
      </c>
      <c r="H103" s="612">
        <v>0</v>
      </c>
      <c r="I103" s="911">
        <f t="shared" si="5"/>
        <v>0</v>
      </c>
    </row>
    <row r="104" spans="1:9" x14ac:dyDescent="0.25">
      <c r="A104" s="909" t="s">
        <v>285</v>
      </c>
      <c r="B104" s="1187"/>
      <c r="C104" s="612">
        <v>0</v>
      </c>
      <c r="D104" s="612">
        <v>0</v>
      </c>
      <c r="E104" s="910">
        <f t="shared" si="6"/>
        <v>0</v>
      </c>
      <c r="F104" s="612">
        <v>0</v>
      </c>
      <c r="G104" s="612">
        <v>0</v>
      </c>
      <c r="H104" s="612">
        <v>0</v>
      </c>
      <c r="I104" s="911">
        <f t="shared" si="5"/>
        <v>0</v>
      </c>
    </row>
    <row r="105" spans="1:9" x14ac:dyDescent="0.25">
      <c r="A105" s="909" t="s">
        <v>286</v>
      </c>
      <c r="B105" s="1187"/>
      <c r="C105" s="612">
        <v>0</v>
      </c>
      <c r="D105" s="612">
        <v>0</v>
      </c>
      <c r="E105" s="910">
        <f t="shared" si="6"/>
        <v>0</v>
      </c>
      <c r="F105" s="612">
        <v>0</v>
      </c>
      <c r="G105" s="612">
        <v>0</v>
      </c>
      <c r="H105" s="612">
        <v>0</v>
      </c>
      <c r="I105" s="911">
        <f t="shared" si="5"/>
        <v>0</v>
      </c>
    </row>
    <row r="106" spans="1:9" x14ac:dyDescent="0.25">
      <c r="A106" s="909" t="s">
        <v>287</v>
      </c>
      <c r="B106" s="1187"/>
      <c r="C106" s="612">
        <v>0</v>
      </c>
      <c r="D106" s="612">
        <v>0</v>
      </c>
      <c r="E106" s="910">
        <f t="shared" si="6"/>
        <v>0</v>
      </c>
      <c r="F106" s="612">
        <v>0</v>
      </c>
      <c r="G106" s="612">
        <v>0</v>
      </c>
      <c r="H106" s="612">
        <v>0</v>
      </c>
      <c r="I106" s="911">
        <f t="shared" si="5"/>
        <v>0</v>
      </c>
    </row>
    <row r="107" spans="1:9" x14ac:dyDescent="0.25">
      <c r="A107" s="909" t="s">
        <v>298</v>
      </c>
      <c r="B107" s="1187"/>
      <c r="C107" s="612">
        <v>0</v>
      </c>
      <c r="D107" s="612">
        <v>0</v>
      </c>
      <c r="E107" s="910">
        <f t="shared" si="6"/>
        <v>0</v>
      </c>
      <c r="F107" s="612">
        <v>0</v>
      </c>
      <c r="G107" s="612">
        <v>0</v>
      </c>
      <c r="H107" s="612">
        <v>0</v>
      </c>
      <c r="I107" s="911">
        <f t="shared" si="5"/>
        <v>0</v>
      </c>
    </row>
    <row r="108" spans="1:9" x14ac:dyDescent="0.25">
      <c r="A108" s="909" t="s">
        <v>288</v>
      </c>
      <c r="B108" s="1187"/>
      <c r="C108" s="612">
        <v>0</v>
      </c>
      <c r="D108" s="612">
        <v>0</v>
      </c>
      <c r="E108" s="910">
        <f t="shared" si="6"/>
        <v>0</v>
      </c>
      <c r="F108" s="612">
        <v>0</v>
      </c>
      <c r="G108" s="612">
        <v>0</v>
      </c>
      <c r="H108" s="612">
        <v>0</v>
      </c>
      <c r="I108" s="911">
        <f t="shared" si="5"/>
        <v>0</v>
      </c>
    </row>
    <row r="109" spans="1:9" x14ac:dyDescent="0.25">
      <c r="A109" s="909" t="s">
        <v>289</v>
      </c>
      <c r="B109" s="1187"/>
      <c r="C109" s="612">
        <v>0</v>
      </c>
      <c r="D109" s="612">
        <v>0</v>
      </c>
      <c r="E109" s="910">
        <f t="shared" si="6"/>
        <v>0</v>
      </c>
      <c r="F109" s="612">
        <v>0</v>
      </c>
      <c r="G109" s="612">
        <v>0</v>
      </c>
      <c r="H109" s="612">
        <v>0</v>
      </c>
      <c r="I109" s="911">
        <f t="shared" si="5"/>
        <v>0</v>
      </c>
    </row>
    <row r="110" spans="1:9" x14ac:dyDescent="0.25">
      <c r="A110" s="909" t="s">
        <v>290</v>
      </c>
      <c r="B110" s="1187"/>
      <c r="C110" s="612">
        <v>0</v>
      </c>
      <c r="D110" s="612">
        <v>0</v>
      </c>
      <c r="E110" s="910">
        <f t="shared" si="6"/>
        <v>0</v>
      </c>
      <c r="F110" s="612">
        <v>0</v>
      </c>
      <c r="G110" s="612">
        <v>0</v>
      </c>
      <c r="H110" s="612">
        <v>0</v>
      </c>
      <c r="I110" s="911">
        <f t="shared" si="5"/>
        <v>0</v>
      </c>
    </row>
    <row r="111" spans="1:9" x14ac:dyDescent="0.25">
      <c r="A111" s="909" t="s">
        <v>291</v>
      </c>
      <c r="B111" s="1187"/>
      <c r="C111" s="612">
        <v>0</v>
      </c>
      <c r="D111" s="612">
        <v>0</v>
      </c>
      <c r="E111" s="910">
        <f t="shared" si="6"/>
        <v>0</v>
      </c>
      <c r="F111" s="612">
        <v>0</v>
      </c>
      <c r="G111" s="612">
        <v>0</v>
      </c>
      <c r="H111" s="612">
        <v>0</v>
      </c>
      <c r="I111" s="911">
        <f t="shared" si="5"/>
        <v>0</v>
      </c>
    </row>
    <row r="112" spans="1:9" x14ac:dyDescent="0.25">
      <c r="A112" s="909" t="s">
        <v>292</v>
      </c>
      <c r="B112" s="1187"/>
      <c r="C112" s="612">
        <v>0</v>
      </c>
      <c r="D112" s="612">
        <v>0</v>
      </c>
      <c r="E112" s="910">
        <f t="shared" si="6"/>
        <v>0</v>
      </c>
      <c r="F112" s="612">
        <v>0</v>
      </c>
      <c r="G112" s="612">
        <v>0</v>
      </c>
      <c r="H112" s="612">
        <v>0</v>
      </c>
      <c r="I112" s="911">
        <f t="shared" si="5"/>
        <v>0</v>
      </c>
    </row>
    <row r="113" spans="1:9" x14ac:dyDescent="0.25">
      <c r="A113" s="909" t="s">
        <v>293</v>
      </c>
      <c r="B113" s="1187"/>
      <c r="C113" s="613">
        <v>0</v>
      </c>
      <c r="D113" s="612">
        <v>0</v>
      </c>
      <c r="E113" s="910">
        <f t="shared" si="6"/>
        <v>0</v>
      </c>
      <c r="F113" s="612">
        <v>0</v>
      </c>
      <c r="G113" s="612">
        <v>0</v>
      </c>
      <c r="H113" s="612">
        <v>0</v>
      </c>
      <c r="I113" s="911">
        <f t="shared" si="5"/>
        <v>0</v>
      </c>
    </row>
    <row r="114" spans="1:9" x14ac:dyDescent="0.25">
      <c r="A114" s="909" t="s">
        <v>294</v>
      </c>
      <c r="B114" s="1187"/>
      <c r="C114" s="612">
        <v>0</v>
      </c>
      <c r="D114" s="612">
        <v>0</v>
      </c>
      <c r="E114" s="910">
        <f t="shared" si="6"/>
        <v>0</v>
      </c>
      <c r="F114" s="612">
        <v>0</v>
      </c>
      <c r="G114" s="612">
        <v>0</v>
      </c>
      <c r="H114" s="612">
        <v>0</v>
      </c>
      <c r="I114" s="911">
        <f t="shared" si="5"/>
        <v>0</v>
      </c>
    </row>
    <row r="115" spans="1:9" ht="13" thickBot="1" x14ac:dyDescent="0.3">
      <c r="A115" s="912" t="s">
        <v>295</v>
      </c>
      <c r="B115" s="1188"/>
      <c r="C115" s="614">
        <v>0</v>
      </c>
      <c r="D115" s="614">
        <v>0</v>
      </c>
      <c r="E115" s="913">
        <f>+C115+D115</f>
        <v>0</v>
      </c>
      <c r="F115" s="614">
        <v>0</v>
      </c>
      <c r="G115" s="614">
        <v>0</v>
      </c>
      <c r="H115" s="614">
        <v>0</v>
      </c>
      <c r="I115" s="914">
        <f t="shared" si="5"/>
        <v>0</v>
      </c>
    </row>
    <row r="116" spans="1:9" ht="13" x14ac:dyDescent="0.25">
      <c r="A116" s="915"/>
      <c r="B116" s="916"/>
      <c r="C116" s="917"/>
      <c r="D116" s="917"/>
      <c r="E116" s="917"/>
      <c r="F116" s="917"/>
      <c r="G116" s="917"/>
      <c r="H116" s="917"/>
      <c r="I116" s="917"/>
    </row>
    <row r="117" spans="1:9" ht="13" x14ac:dyDescent="0.25">
      <c r="A117" s="915" t="s">
        <v>296</v>
      </c>
      <c r="B117" s="916"/>
      <c r="C117" s="918">
        <f t="shared" ref="C117:I117" si="7">SUM(C71:C115)</f>
        <v>0</v>
      </c>
      <c r="D117" s="918">
        <f t="shared" si="7"/>
        <v>0</v>
      </c>
      <c r="E117" s="918">
        <f t="shared" si="7"/>
        <v>0</v>
      </c>
      <c r="F117" s="918">
        <f t="shared" ref="F117" si="8">SUM(F71:F115)</f>
        <v>0</v>
      </c>
      <c r="G117" s="918">
        <f t="shared" si="7"/>
        <v>0</v>
      </c>
      <c r="H117" s="918">
        <f t="shared" si="7"/>
        <v>0</v>
      </c>
      <c r="I117" s="918">
        <f t="shared" si="7"/>
        <v>0</v>
      </c>
    </row>
    <row r="118" spans="1:9" ht="13.5" thickBot="1" x14ac:dyDescent="0.3">
      <c r="A118" s="919"/>
      <c r="B118" s="920"/>
      <c r="C118" s="921"/>
      <c r="D118" s="921"/>
      <c r="E118" s="921"/>
      <c r="F118" s="921"/>
      <c r="G118" s="921"/>
      <c r="H118" s="921"/>
      <c r="I118" s="922"/>
    </row>
  </sheetData>
  <sheetProtection algorithmName="SHA-512" hashValue="3bJ7D9jjziGJOv9gXzsH2OmZfjYPCfrraQzWocsMXNyziTjWpPi2KqcuuNAL6VKyLTPaPvg3IuMrHCLApTMA5w==" saltValue="16JZbxip1B6UgFjaInf1Qg==" spinCount="100000" sheet="1" objects="1" scenarios="1"/>
  <mergeCells count="5">
    <mergeCell ref="A1:H1"/>
    <mergeCell ref="B17:B61"/>
    <mergeCell ref="A14:I14"/>
    <mergeCell ref="A68:I68"/>
    <mergeCell ref="B71:B115"/>
  </mergeCells>
  <conditionalFormatting sqref="A1:E3 A5:E1048576 B4:E4 G1:XFD1048576">
    <cfRule type="expression" dxfId="9" priority="7">
      <formula>$K$1="gas"</formula>
    </cfRule>
  </conditionalFormatting>
  <conditionalFormatting sqref="A4">
    <cfRule type="expression" dxfId="8" priority="3">
      <formula>$K$1="gas"</formula>
    </cfRule>
  </conditionalFormatting>
  <conditionalFormatting sqref="F1:F1048576">
    <cfRule type="expression" dxfId="7" priority="2">
      <formula>$K$1="gas"</formula>
    </cfRule>
  </conditionalFormatting>
  <dataValidations count="2">
    <dataValidation type="decimal" operator="lessThanOrEqual" allowBlank="1" showInputMessage="1" showErrorMessage="1" errorTitle="Positief bedrag" error="Gelieve een negatief bedrag in te geven" sqref="F65554:H65597 JD65554:JD65597 SZ65554:SZ65597 ACV65554:ACV65597 AMR65554:AMR65597 AWN65554:AWN65597 BGJ65554:BGJ65597 BQF65554:BQF65597 CAB65554:CAB65597 CJX65554:CJX65597 CTT65554:CTT65597 DDP65554:DDP65597 DNL65554:DNL65597 DXH65554:DXH65597 EHD65554:EHD65597 EQZ65554:EQZ65597 FAV65554:FAV65597 FKR65554:FKR65597 FUN65554:FUN65597 GEJ65554:GEJ65597 GOF65554:GOF65597 GYB65554:GYB65597 HHX65554:HHX65597 HRT65554:HRT65597 IBP65554:IBP65597 ILL65554:ILL65597 IVH65554:IVH65597 JFD65554:JFD65597 JOZ65554:JOZ65597 JYV65554:JYV65597 KIR65554:KIR65597 KSN65554:KSN65597 LCJ65554:LCJ65597 LMF65554:LMF65597 LWB65554:LWB65597 MFX65554:MFX65597 MPT65554:MPT65597 MZP65554:MZP65597 NJL65554:NJL65597 NTH65554:NTH65597 ODD65554:ODD65597 OMZ65554:OMZ65597 OWV65554:OWV65597 PGR65554:PGR65597 PQN65554:PQN65597 QAJ65554:QAJ65597 QKF65554:QKF65597 QUB65554:QUB65597 RDX65554:RDX65597 RNT65554:RNT65597 RXP65554:RXP65597 SHL65554:SHL65597 SRH65554:SRH65597 TBD65554:TBD65597 TKZ65554:TKZ65597 TUV65554:TUV65597 UER65554:UER65597 UON65554:UON65597 UYJ65554:UYJ65597 VIF65554:VIF65597 VSB65554:VSB65597 WBX65554:WBX65597 WLT65554:WLT65597 WVP65554:WVP65597 F131090:H131133 JD131090:JD131133 SZ131090:SZ131133 ACV131090:ACV131133 AMR131090:AMR131133 AWN131090:AWN131133 BGJ131090:BGJ131133 BQF131090:BQF131133 CAB131090:CAB131133 CJX131090:CJX131133 CTT131090:CTT131133 DDP131090:DDP131133 DNL131090:DNL131133 DXH131090:DXH131133 EHD131090:EHD131133 EQZ131090:EQZ131133 FAV131090:FAV131133 FKR131090:FKR131133 FUN131090:FUN131133 GEJ131090:GEJ131133 GOF131090:GOF131133 GYB131090:GYB131133 HHX131090:HHX131133 HRT131090:HRT131133 IBP131090:IBP131133 ILL131090:ILL131133 IVH131090:IVH131133 JFD131090:JFD131133 JOZ131090:JOZ131133 JYV131090:JYV131133 KIR131090:KIR131133 KSN131090:KSN131133 LCJ131090:LCJ131133 LMF131090:LMF131133 LWB131090:LWB131133 MFX131090:MFX131133 MPT131090:MPT131133 MZP131090:MZP131133 NJL131090:NJL131133 NTH131090:NTH131133 ODD131090:ODD131133 OMZ131090:OMZ131133 OWV131090:OWV131133 PGR131090:PGR131133 PQN131090:PQN131133 QAJ131090:QAJ131133 QKF131090:QKF131133 QUB131090:QUB131133 RDX131090:RDX131133 RNT131090:RNT131133 RXP131090:RXP131133 SHL131090:SHL131133 SRH131090:SRH131133 TBD131090:TBD131133 TKZ131090:TKZ131133 TUV131090:TUV131133 UER131090:UER131133 UON131090:UON131133 UYJ131090:UYJ131133 VIF131090:VIF131133 VSB131090:VSB131133 WBX131090:WBX131133 WLT131090:WLT131133 WVP131090:WVP131133 F196626:H196669 JD196626:JD196669 SZ196626:SZ196669 ACV196626:ACV196669 AMR196626:AMR196669 AWN196626:AWN196669 BGJ196626:BGJ196669 BQF196626:BQF196669 CAB196626:CAB196669 CJX196626:CJX196669 CTT196626:CTT196669 DDP196626:DDP196669 DNL196626:DNL196669 DXH196626:DXH196669 EHD196626:EHD196669 EQZ196626:EQZ196669 FAV196626:FAV196669 FKR196626:FKR196669 FUN196626:FUN196669 GEJ196626:GEJ196669 GOF196626:GOF196669 GYB196626:GYB196669 HHX196626:HHX196669 HRT196626:HRT196669 IBP196626:IBP196669 ILL196626:ILL196669 IVH196626:IVH196669 JFD196626:JFD196669 JOZ196626:JOZ196669 JYV196626:JYV196669 KIR196626:KIR196669 KSN196626:KSN196669 LCJ196626:LCJ196669 LMF196626:LMF196669 LWB196626:LWB196669 MFX196626:MFX196669 MPT196626:MPT196669 MZP196626:MZP196669 NJL196626:NJL196669 NTH196626:NTH196669 ODD196626:ODD196669 OMZ196626:OMZ196669 OWV196626:OWV196669 PGR196626:PGR196669 PQN196626:PQN196669 QAJ196626:QAJ196669 QKF196626:QKF196669 QUB196626:QUB196669 RDX196626:RDX196669 RNT196626:RNT196669 RXP196626:RXP196669 SHL196626:SHL196669 SRH196626:SRH196669 TBD196626:TBD196669 TKZ196626:TKZ196669 TUV196626:TUV196669 UER196626:UER196669 UON196626:UON196669 UYJ196626:UYJ196669 VIF196626:VIF196669 VSB196626:VSB196669 WBX196626:WBX196669 WLT196626:WLT196669 WVP196626:WVP196669 F262162:H262205 JD262162:JD262205 SZ262162:SZ262205 ACV262162:ACV262205 AMR262162:AMR262205 AWN262162:AWN262205 BGJ262162:BGJ262205 BQF262162:BQF262205 CAB262162:CAB262205 CJX262162:CJX262205 CTT262162:CTT262205 DDP262162:DDP262205 DNL262162:DNL262205 DXH262162:DXH262205 EHD262162:EHD262205 EQZ262162:EQZ262205 FAV262162:FAV262205 FKR262162:FKR262205 FUN262162:FUN262205 GEJ262162:GEJ262205 GOF262162:GOF262205 GYB262162:GYB262205 HHX262162:HHX262205 HRT262162:HRT262205 IBP262162:IBP262205 ILL262162:ILL262205 IVH262162:IVH262205 JFD262162:JFD262205 JOZ262162:JOZ262205 JYV262162:JYV262205 KIR262162:KIR262205 KSN262162:KSN262205 LCJ262162:LCJ262205 LMF262162:LMF262205 LWB262162:LWB262205 MFX262162:MFX262205 MPT262162:MPT262205 MZP262162:MZP262205 NJL262162:NJL262205 NTH262162:NTH262205 ODD262162:ODD262205 OMZ262162:OMZ262205 OWV262162:OWV262205 PGR262162:PGR262205 PQN262162:PQN262205 QAJ262162:QAJ262205 QKF262162:QKF262205 QUB262162:QUB262205 RDX262162:RDX262205 RNT262162:RNT262205 RXP262162:RXP262205 SHL262162:SHL262205 SRH262162:SRH262205 TBD262162:TBD262205 TKZ262162:TKZ262205 TUV262162:TUV262205 UER262162:UER262205 UON262162:UON262205 UYJ262162:UYJ262205 VIF262162:VIF262205 VSB262162:VSB262205 WBX262162:WBX262205 WLT262162:WLT262205 WVP262162:WVP262205 F327698:H327741 JD327698:JD327741 SZ327698:SZ327741 ACV327698:ACV327741 AMR327698:AMR327741 AWN327698:AWN327741 BGJ327698:BGJ327741 BQF327698:BQF327741 CAB327698:CAB327741 CJX327698:CJX327741 CTT327698:CTT327741 DDP327698:DDP327741 DNL327698:DNL327741 DXH327698:DXH327741 EHD327698:EHD327741 EQZ327698:EQZ327741 FAV327698:FAV327741 FKR327698:FKR327741 FUN327698:FUN327741 GEJ327698:GEJ327741 GOF327698:GOF327741 GYB327698:GYB327741 HHX327698:HHX327741 HRT327698:HRT327741 IBP327698:IBP327741 ILL327698:ILL327741 IVH327698:IVH327741 JFD327698:JFD327741 JOZ327698:JOZ327741 JYV327698:JYV327741 KIR327698:KIR327741 KSN327698:KSN327741 LCJ327698:LCJ327741 LMF327698:LMF327741 LWB327698:LWB327741 MFX327698:MFX327741 MPT327698:MPT327741 MZP327698:MZP327741 NJL327698:NJL327741 NTH327698:NTH327741 ODD327698:ODD327741 OMZ327698:OMZ327741 OWV327698:OWV327741 PGR327698:PGR327741 PQN327698:PQN327741 QAJ327698:QAJ327741 QKF327698:QKF327741 QUB327698:QUB327741 RDX327698:RDX327741 RNT327698:RNT327741 RXP327698:RXP327741 SHL327698:SHL327741 SRH327698:SRH327741 TBD327698:TBD327741 TKZ327698:TKZ327741 TUV327698:TUV327741 UER327698:UER327741 UON327698:UON327741 UYJ327698:UYJ327741 VIF327698:VIF327741 VSB327698:VSB327741 WBX327698:WBX327741 WLT327698:WLT327741 WVP327698:WVP327741 F393234:H393277 JD393234:JD393277 SZ393234:SZ393277 ACV393234:ACV393277 AMR393234:AMR393277 AWN393234:AWN393277 BGJ393234:BGJ393277 BQF393234:BQF393277 CAB393234:CAB393277 CJX393234:CJX393277 CTT393234:CTT393277 DDP393234:DDP393277 DNL393234:DNL393277 DXH393234:DXH393277 EHD393234:EHD393277 EQZ393234:EQZ393277 FAV393234:FAV393277 FKR393234:FKR393277 FUN393234:FUN393277 GEJ393234:GEJ393277 GOF393234:GOF393277 GYB393234:GYB393277 HHX393234:HHX393277 HRT393234:HRT393277 IBP393234:IBP393277 ILL393234:ILL393277 IVH393234:IVH393277 JFD393234:JFD393277 JOZ393234:JOZ393277 JYV393234:JYV393277 KIR393234:KIR393277 KSN393234:KSN393277 LCJ393234:LCJ393277 LMF393234:LMF393277 LWB393234:LWB393277 MFX393234:MFX393277 MPT393234:MPT393277 MZP393234:MZP393277 NJL393234:NJL393277 NTH393234:NTH393277 ODD393234:ODD393277 OMZ393234:OMZ393277 OWV393234:OWV393277 PGR393234:PGR393277 PQN393234:PQN393277 QAJ393234:QAJ393277 QKF393234:QKF393277 QUB393234:QUB393277 RDX393234:RDX393277 RNT393234:RNT393277 RXP393234:RXP393277 SHL393234:SHL393277 SRH393234:SRH393277 TBD393234:TBD393277 TKZ393234:TKZ393277 TUV393234:TUV393277 UER393234:UER393277 UON393234:UON393277 UYJ393234:UYJ393277 VIF393234:VIF393277 VSB393234:VSB393277 WBX393234:WBX393277 WLT393234:WLT393277 WVP393234:WVP393277 F458770:H458813 JD458770:JD458813 SZ458770:SZ458813 ACV458770:ACV458813 AMR458770:AMR458813 AWN458770:AWN458813 BGJ458770:BGJ458813 BQF458770:BQF458813 CAB458770:CAB458813 CJX458770:CJX458813 CTT458770:CTT458813 DDP458770:DDP458813 DNL458770:DNL458813 DXH458770:DXH458813 EHD458770:EHD458813 EQZ458770:EQZ458813 FAV458770:FAV458813 FKR458770:FKR458813 FUN458770:FUN458813 GEJ458770:GEJ458813 GOF458770:GOF458813 GYB458770:GYB458813 HHX458770:HHX458813 HRT458770:HRT458813 IBP458770:IBP458813 ILL458770:ILL458813 IVH458770:IVH458813 JFD458770:JFD458813 JOZ458770:JOZ458813 JYV458770:JYV458813 KIR458770:KIR458813 KSN458770:KSN458813 LCJ458770:LCJ458813 LMF458770:LMF458813 LWB458770:LWB458813 MFX458770:MFX458813 MPT458770:MPT458813 MZP458770:MZP458813 NJL458770:NJL458813 NTH458770:NTH458813 ODD458770:ODD458813 OMZ458770:OMZ458813 OWV458770:OWV458813 PGR458770:PGR458813 PQN458770:PQN458813 QAJ458770:QAJ458813 QKF458770:QKF458813 QUB458770:QUB458813 RDX458770:RDX458813 RNT458770:RNT458813 RXP458770:RXP458813 SHL458770:SHL458813 SRH458770:SRH458813 TBD458770:TBD458813 TKZ458770:TKZ458813 TUV458770:TUV458813 UER458770:UER458813 UON458770:UON458813 UYJ458770:UYJ458813 VIF458770:VIF458813 VSB458770:VSB458813 WBX458770:WBX458813 WLT458770:WLT458813 WVP458770:WVP458813 F524306:H524349 JD524306:JD524349 SZ524306:SZ524349 ACV524306:ACV524349 AMR524306:AMR524349 AWN524306:AWN524349 BGJ524306:BGJ524349 BQF524306:BQF524349 CAB524306:CAB524349 CJX524306:CJX524349 CTT524306:CTT524349 DDP524306:DDP524349 DNL524306:DNL524349 DXH524306:DXH524349 EHD524306:EHD524349 EQZ524306:EQZ524349 FAV524306:FAV524349 FKR524306:FKR524349 FUN524306:FUN524349 GEJ524306:GEJ524349 GOF524306:GOF524349 GYB524306:GYB524349 HHX524306:HHX524349 HRT524306:HRT524349 IBP524306:IBP524349 ILL524306:ILL524349 IVH524306:IVH524349 JFD524306:JFD524349 JOZ524306:JOZ524349 JYV524306:JYV524349 KIR524306:KIR524349 KSN524306:KSN524349 LCJ524306:LCJ524349 LMF524306:LMF524349 LWB524306:LWB524349 MFX524306:MFX524349 MPT524306:MPT524349 MZP524306:MZP524349 NJL524306:NJL524349 NTH524306:NTH524349 ODD524306:ODD524349 OMZ524306:OMZ524349 OWV524306:OWV524349 PGR524306:PGR524349 PQN524306:PQN524349 QAJ524306:QAJ524349 QKF524306:QKF524349 QUB524306:QUB524349 RDX524306:RDX524349 RNT524306:RNT524349 RXP524306:RXP524349 SHL524306:SHL524349 SRH524306:SRH524349 TBD524306:TBD524349 TKZ524306:TKZ524349 TUV524306:TUV524349 UER524306:UER524349 UON524306:UON524349 UYJ524306:UYJ524349 VIF524306:VIF524349 VSB524306:VSB524349 WBX524306:WBX524349 WLT524306:WLT524349 WVP524306:WVP524349 F589842:H589885 JD589842:JD589885 SZ589842:SZ589885 ACV589842:ACV589885 AMR589842:AMR589885 AWN589842:AWN589885 BGJ589842:BGJ589885 BQF589842:BQF589885 CAB589842:CAB589885 CJX589842:CJX589885 CTT589842:CTT589885 DDP589842:DDP589885 DNL589842:DNL589885 DXH589842:DXH589885 EHD589842:EHD589885 EQZ589842:EQZ589885 FAV589842:FAV589885 FKR589842:FKR589885 FUN589842:FUN589885 GEJ589842:GEJ589885 GOF589842:GOF589885 GYB589842:GYB589885 HHX589842:HHX589885 HRT589842:HRT589885 IBP589842:IBP589885 ILL589842:ILL589885 IVH589842:IVH589885 JFD589842:JFD589885 JOZ589842:JOZ589885 JYV589842:JYV589885 KIR589842:KIR589885 KSN589842:KSN589885 LCJ589842:LCJ589885 LMF589842:LMF589885 LWB589842:LWB589885 MFX589842:MFX589885 MPT589842:MPT589885 MZP589842:MZP589885 NJL589842:NJL589885 NTH589842:NTH589885 ODD589842:ODD589885 OMZ589842:OMZ589885 OWV589842:OWV589885 PGR589842:PGR589885 PQN589842:PQN589885 QAJ589842:QAJ589885 QKF589842:QKF589885 QUB589842:QUB589885 RDX589842:RDX589885 RNT589842:RNT589885 RXP589842:RXP589885 SHL589842:SHL589885 SRH589842:SRH589885 TBD589842:TBD589885 TKZ589842:TKZ589885 TUV589842:TUV589885 UER589842:UER589885 UON589842:UON589885 UYJ589842:UYJ589885 VIF589842:VIF589885 VSB589842:VSB589885 WBX589842:WBX589885 WLT589842:WLT589885 WVP589842:WVP589885 F655378:H655421 JD655378:JD655421 SZ655378:SZ655421 ACV655378:ACV655421 AMR655378:AMR655421 AWN655378:AWN655421 BGJ655378:BGJ655421 BQF655378:BQF655421 CAB655378:CAB655421 CJX655378:CJX655421 CTT655378:CTT655421 DDP655378:DDP655421 DNL655378:DNL655421 DXH655378:DXH655421 EHD655378:EHD655421 EQZ655378:EQZ655421 FAV655378:FAV655421 FKR655378:FKR655421 FUN655378:FUN655421 GEJ655378:GEJ655421 GOF655378:GOF655421 GYB655378:GYB655421 HHX655378:HHX655421 HRT655378:HRT655421 IBP655378:IBP655421 ILL655378:ILL655421 IVH655378:IVH655421 JFD655378:JFD655421 JOZ655378:JOZ655421 JYV655378:JYV655421 KIR655378:KIR655421 KSN655378:KSN655421 LCJ655378:LCJ655421 LMF655378:LMF655421 LWB655378:LWB655421 MFX655378:MFX655421 MPT655378:MPT655421 MZP655378:MZP655421 NJL655378:NJL655421 NTH655378:NTH655421 ODD655378:ODD655421 OMZ655378:OMZ655421 OWV655378:OWV655421 PGR655378:PGR655421 PQN655378:PQN655421 QAJ655378:QAJ655421 QKF655378:QKF655421 QUB655378:QUB655421 RDX655378:RDX655421 RNT655378:RNT655421 RXP655378:RXP655421 SHL655378:SHL655421 SRH655378:SRH655421 TBD655378:TBD655421 TKZ655378:TKZ655421 TUV655378:TUV655421 UER655378:UER655421 UON655378:UON655421 UYJ655378:UYJ655421 VIF655378:VIF655421 VSB655378:VSB655421 WBX655378:WBX655421 WLT655378:WLT655421 WVP655378:WVP655421 F720914:H720957 JD720914:JD720957 SZ720914:SZ720957 ACV720914:ACV720957 AMR720914:AMR720957 AWN720914:AWN720957 BGJ720914:BGJ720957 BQF720914:BQF720957 CAB720914:CAB720957 CJX720914:CJX720957 CTT720914:CTT720957 DDP720914:DDP720957 DNL720914:DNL720957 DXH720914:DXH720957 EHD720914:EHD720957 EQZ720914:EQZ720957 FAV720914:FAV720957 FKR720914:FKR720957 FUN720914:FUN720957 GEJ720914:GEJ720957 GOF720914:GOF720957 GYB720914:GYB720957 HHX720914:HHX720957 HRT720914:HRT720957 IBP720914:IBP720957 ILL720914:ILL720957 IVH720914:IVH720957 JFD720914:JFD720957 JOZ720914:JOZ720957 JYV720914:JYV720957 KIR720914:KIR720957 KSN720914:KSN720957 LCJ720914:LCJ720957 LMF720914:LMF720957 LWB720914:LWB720957 MFX720914:MFX720957 MPT720914:MPT720957 MZP720914:MZP720957 NJL720914:NJL720957 NTH720914:NTH720957 ODD720914:ODD720957 OMZ720914:OMZ720957 OWV720914:OWV720957 PGR720914:PGR720957 PQN720914:PQN720957 QAJ720914:QAJ720957 QKF720914:QKF720957 QUB720914:QUB720957 RDX720914:RDX720957 RNT720914:RNT720957 RXP720914:RXP720957 SHL720914:SHL720957 SRH720914:SRH720957 TBD720914:TBD720957 TKZ720914:TKZ720957 TUV720914:TUV720957 UER720914:UER720957 UON720914:UON720957 UYJ720914:UYJ720957 VIF720914:VIF720957 VSB720914:VSB720957 WBX720914:WBX720957 WLT720914:WLT720957 WVP720914:WVP720957 F786450:H786493 JD786450:JD786493 SZ786450:SZ786493 ACV786450:ACV786493 AMR786450:AMR786493 AWN786450:AWN786493 BGJ786450:BGJ786493 BQF786450:BQF786493 CAB786450:CAB786493 CJX786450:CJX786493 CTT786450:CTT786493 DDP786450:DDP786493 DNL786450:DNL786493 DXH786450:DXH786493 EHD786450:EHD786493 EQZ786450:EQZ786493 FAV786450:FAV786493 FKR786450:FKR786493 FUN786450:FUN786493 GEJ786450:GEJ786493 GOF786450:GOF786493 GYB786450:GYB786493 HHX786450:HHX786493 HRT786450:HRT786493 IBP786450:IBP786493 ILL786450:ILL786493 IVH786450:IVH786493 JFD786450:JFD786493 JOZ786450:JOZ786493 JYV786450:JYV786493 KIR786450:KIR786493 KSN786450:KSN786493 LCJ786450:LCJ786493 LMF786450:LMF786493 LWB786450:LWB786493 MFX786450:MFX786493 MPT786450:MPT786493 MZP786450:MZP786493 NJL786450:NJL786493 NTH786450:NTH786493 ODD786450:ODD786493 OMZ786450:OMZ786493 OWV786450:OWV786493 PGR786450:PGR786493 PQN786450:PQN786493 QAJ786450:QAJ786493 QKF786450:QKF786493 QUB786450:QUB786493 RDX786450:RDX786493 RNT786450:RNT786493 RXP786450:RXP786493 SHL786450:SHL786493 SRH786450:SRH786493 TBD786450:TBD786493 TKZ786450:TKZ786493 TUV786450:TUV786493 UER786450:UER786493 UON786450:UON786493 UYJ786450:UYJ786493 VIF786450:VIF786493 VSB786450:VSB786493 WBX786450:WBX786493 WLT786450:WLT786493 WVP786450:WVP786493 F851986:H852029 JD851986:JD852029 SZ851986:SZ852029 ACV851986:ACV852029 AMR851986:AMR852029 AWN851986:AWN852029 BGJ851986:BGJ852029 BQF851986:BQF852029 CAB851986:CAB852029 CJX851986:CJX852029 CTT851986:CTT852029 DDP851986:DDP852029 DNL851986:DNL852029 DXH851986:DXH852029 EHD851986:EHD852029 EQZ851986:EQZ852029 FAV851986:FAV852029 FKR851986:FKR852029 FUN851986:FUN852029 GEJ851986:GEJ852029 GOF851986:GOF852029 GYB851986:GYB852029 HHX851986:HHX852029 HRT851986:HRT852029 IBP851986:IBP852029 ILL851986:ILL852029 IVH851986:IVH852029 JFD851986:JFD852029 JOZ851986:JOZ852029 JYV851986:JYV852029 KIR851986:KIR852029 KSN851986:KSN852029 LCJ851986:LCJ852029 LMF851986:LMF852029 LWB851986:LWB852029 MFX851986:MFX852029 MPT851986:MPT852029 MZP851986:MZP852029 NJL851986:NJL852029 NTH851986:NTH852029 ODD851986:ODD852029 OMZ851986:OMZ852029 OWV851986:OWV852029 PGR851986:PGR852029 PQN851986:PQN852029 QAJ851986:QAJ852029 QKF851986:QKF852029 QUB851986:QUB852029 RDX851986:RDX852029 RNT851986:RNT852029 RXP851986:RXP852029 SHL851986:SHL852029 SRH851986:SRH852029 TBD851986:TBD852029 TKZ851986:TKZ852029 TUV851986:TUV852029 UER851986:UER852029 UON851986:UON852029 UYJ851986:UYJ852029 VIF851986:VIF852029 VSB851986:VSB852029 WBX851986:WBX852029 WLT851986:WLT852029 WVP851986:WVP852029 F917522:H917565 JD917522:JD917565 SZ917522:SZ917565 ACV917522:ACV917565 AMR917522:AMR917565 AWN917522:AWN917565 BGJ917522:BGJ917565 BQF917522:BQF917565 CAB917522:CAB917565 CJX917522:CJX917565 CTT917522:CTT917565 DDP917522:DDP917565 DNL917522:DNL917565 DXH917522:DXH917565 EHD917522:EHD917565 EQZ917522:EQZ917565 FAV917522:FAV917565 FKR917522:FKR917565 FUN917522:FUN917565 GEJ917522:GEJ917565 GOF917522:GOF917565 GYB917522:GYB917565 HHX917522:HHX917565 HRT917522:HRT917565 IBP917522:IBP917565 ILL917522:ILL917565 IVH917522:IVH917565 JFD917522:JFD917565 JOZ917522:JOZ917565 JYV917522:JYV917565 KIR917522:KIR917565 KSN917522:KSN917565 LCJ917522:LCJ917565 LMF917522:LMF917565 LWB917522:LWB917565 MFX917522:MFX917565 MPT917522:MPT917565 MZP917522:MZP917565 NJL917522:NJL917565 NTH917522:NTH917565 ODD917522:ODD917565 OMZ917522:OMZ917565 OWV917522:OWV917565 PGR917522:PGR917565 PQN917522:PQN917565 QAJ917522:QAJ917565 QKF917522:QKF917565 QUB917522:QUB917565 RDX917522:RDX917565 RNT917522:RNT917565 RXP917522:RXP917565 SHL917522:SHL917565 SRH917522:SRH917565 TBD917522:TBD917565 TKZ917522:TKZ917565 TUV917522:TUV917565 UER917522:UER917565 UON917522:UON917565 UYJ917522:UYJ917565 VIF917522:VIF917565 VSB917522:VSB917565 WBX917522:WBX917565 WLT917522:WLT917565 WVP917522:WVP917565 F983058:H983101 JD983058:JD983101 SZ983058:SZ983101 ACV983058:ACV983101 AMR983058:AMR983101 AWN983058:AWN983101 BGJ983058:BGJ983101 BQF983058:BQF983101 CAB983058:CAB983101 CJX983058:CJX983101 CTT983058:CTT983101 DDP983058:DDP983101 DNL983058:DNL983101 DXH983058:DXH983101 EHD983058:EHD983101 EQZ983058:EQZ983101 FAV983058:FAV983101 FKR983058:FKR983101 FUN983058:FUN983101 GEJ983058:GEJ983101 GOF983058:GOF983101 GYB983058:GYB983101 HHX983058:HHX983101 HRT983058:HRT983101 IBP983058:IBP983101 ILL983058:ILL983101 IVH983058:IVH983101 JFD983058:JFD983101 JOZ983058:JOZ983101 JYV983058:JYV983101 KIR983058:KIR983101 KSN983058:KSN983101 LCJ983058:LCJ983101 LMF983058:LMF983101 LWB983058:LWB983101 MFX983058:MFX983101 MPT983058:MPT983101 MZP983058:MZP983101 NJL983058:NJL983101 NTH983058:NTH983101 ODD983058:ODD983101 OMZ983058:OMZ983101 OWV983058:OWV983101 PGR983058:PGR983101 PQN983058:PQN983101 QAJ983058:QAJ983101 QKF983058:QKF983101 QUB983058:QUB983101 RDX983058:RDX983101 RNT983058:RNT983101 RXP983058:RXP983101 SHL983058:SHL983101 SRH983058:SRH983101 TBD983058:TBD983101 TKZ983058:TKZ983101 TUV983058:TUV983101 UER983058:UER983101 UON983058:UON983101 UYJ983058:UYJ983101 VIF983058:VIF983101 VSB983058:VSB983101 WBX983058:WBX983101 WLT983058:WLT983101 WVP983058:WVP983101 WVN983058:WVN983101 D65554:D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D131090:D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D196626:D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D262162:D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D327698:D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D393234:D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D458770:D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D524306:D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D589842:D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D655378:D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D720914:D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D786450:D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D851986:D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D917522:D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D983058:D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WVP17:WVP61 WLT17:WLT61 WBX17:WBX61 VSB17:VSB61 VIF17:VIF61 UYJ17:UYJ61 UON17:UON61 UER17:UER61 TUV17:TUV61 TKZ17:TKZ61 TBD17:TBD61 SRH17:SRH61 SHL17:SHL61 RXP17:RXP61 RNT17:RNT61 RDX17:RDX61 QUB17:QUB61 QKF17:QKF61 QAJ17:QAJ61 PQN17:PQN61 PGR17:PGR61 OWV17:OWV61 OMZ17:OMZ61 ODD17:ODD61 NTH17:NTH61 NJL17:NJL61 MZP17:MZP61 MPT17:MPT61 MFX17:MFX61 LWB17:LWB61 LMF17:LMF61 LCJ17:LCJ61 KSN17:KSN61 KIR17:KIR61 JYV17:JYV61 JOZ17:JOZ61 JFD17:JFD61 IVH17:IVH61 ILL17:ILL61 IBP17:IBP61 HRT17:HRT61 HHX17:HHX61 GYB17:GYB61 GOF17:GOF61 GEJ17:GEJ61 FUN17:FUN61 FKR17:FKR61 FAV17:FAV61 EQZ17:EQZ61 EHD17:EHD61 DXH17:DXH61 DNL17:DNL61 DDP17:DDP61 CTT17:CTT61 CJX17:CJX61 CAB17:CAB61 BQF17:BQF61 BGJ17:BGJ61 AWN17:AWN61 AMR17:AMR61 ACV17:ACV61 SZ17:SZ61 JD17:JD61 D17:D61 G71:H115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WVP71:WVP115 WLT71:WLT115 WBX71:WBX115 VSB71:VSB115 VIF71:VIF115 UYJ71:UYJ115 UON71:UON115 UER71:UER115 TUV71:TUV115 TKZ71:TKZ115 TBD71:TBD115 SRH71:SRH115 SHL71:SHL115 RXP71:RXP115 RNT71:RNT115 RDX71:RDX115 QUB71:QUB115 QKF71:QKF115 QAJ71:QAJ115 PQN71:PQN115 PGR71:PGR115 OWV71:OWV115 OMZ71:OMZ115 ODD71:ODD115 NTH71:NTH115 NJL71:NJL115 MZP71:MZP115 MPT71:MPT115 MFX71:MFX115 LWB71:LWB115 LMF71:LMF115 LCJ71:LCJ115 KSN71:KSN115 KIR71:KIR115 JYV71:JYV115 JOZ71:JOZ115 JFD71:JFD115 IVH71:IVH115 ILL71:ILL115 IBP71:IBP115 HRT71:HRT115 HHX71:HHX115 GYB71:GYB115 GOF71:GOF115 GEJ71:GEJ115 FUN71:FUN115 FKR71:FKR115 FAV71:FAV115 EQZ71:EQZ115 EHD71:EHD115 DXH71:DXH115 DNL71:DNL115 DDP71:DDP115 CTT71:CTT115 CJX71:CJX115 CAB71:CAB115 BQF71:BQF115 BGJ71:BGJ115 AWN71:AWN115 AMR71:AMR115 ACV71:ACV115 SZ71:SZ115 JD71:JD115 D71:D115 G17:H61" xr:uid="{5E0C3CD0-CD8A-4CD1-8C0E-38BE2C63274C}">
      <formula1>0</formula1>
    </dataValidation>
    <dataValidation type="decimal" operator="greaterThanOrEqual" allowBlank="1" showInputMessage="1" showErrorMessage="1" errorTitle="Negatief bedrag" error="Gelieve een positieve waarde in te geven" sqref="WVM983058:WVM983101 C65554:C65597 JA65554:JA65597 SW65554:SW65597 ACS65554:ACS65597 AMO65554:AMO65597 AWK65554:AWK65597 BGG65554:BGG65597 BQC65554:BQC65597 BZY65554:BZY65597 CJU65554:CJU65597 CTQ65554:CTQ65597 DDM65554:DDM65597 DNI65554:DNI65597 DXE65554:DXE65597 EHA65554:EHA65597 EQW65554:EQW65597 FAS65554:FAS65597 FKO65554:FKO65597 FUK65554:FUK65597 GEG65554:GEG65597 GOC65554:GOC65597 GXY65554:GXY65597 HHU65554:HHU65597 HRQ65554:HRQ65597 IBM65554:IBM65597 ILI65554:ILI65597 IVE65554:IVE65597 JFA65554:JFA65597 JOW65554:JOW65597 JYS65554:JYS65597 KIO65554:KIO65597 KSK65554:KSK65597 LCG65554:LCG65597 LMC65554:LMC65597 LVY65554:LVY65597 MFU65554:MFU65597 MPQ65554:MPQ65597 MZM65554:MZM65597 NJI65554:NJI65597 NTE65554:NTE65597 ODA65554:ODA65597 OMW65554:OMW65597 OWS65554:OWS65597 PGO65554:PGO65597 PQK65554:PQK65597 QAG65554:QAG65597 QKC65554:QKC65597 QTY65554:QTY65597 RDU65554:RDU65597 RNQ65554:RNQ65597 RXM65554:RXM65597 SHI65554:SHI65597 SRE65554:SRE65597 TBA65554:TBA65597 TKW65554:TKW65597 TUS65554:TUS65597 UEO65554:UEO65597 UOK65554:UOK65597 UYG65554:UYG65597 VIC65554:VIC65597 VRY65554:VRY65597 WBU65554:WBU65597 WLQ65554:WLQ65597 WVM65554:WVM65597 C131090:C131133 JA131090:JA131133 SW131090:SW131133 ACS131090:ACS131133 AMO131090:AMO131133 AWK131090:AWK131133 BGG131090:BGG131133 BQC131090:BQC131133 BZY131090:BZY131133 CJU131090:CJU131133 CTQ131090:CTQ131133 DDM131090:DDM131133 DNI131090:DNI131133 DXE131090:DXE131133 EHA131090:EHA131133 EQW131090:EQW131133 FAS131090:FAS131133 FKO131090:FKO131133 FUK131090:FUK131133 GEG131090:GEG131133 GOC131090:GOC131133 GXY131090:GXY131133 HHU131090:HHU131133 HRQ131090:HRQ131133 IBM131090:IBM131133 ILI131090:ILI131133 IVE131090:IVE131133 JFA131090:JFA131133 JOW131090:JOW131133 JYS131090:JYS131133 KIO131090:KIO131133 KSK131090:KSK131133 LCG131090:LCG131133 LMC131090:LMC131133 LVY131090:LVY131133 MFU131090:MFU131133 MPQ131090:MPQ131133 MZM131090:MZM131133 NJI131090:NJI131133 NTE131090:NTE131133 ODA131090:ODA131133 OMW131090:OMW131133 OWS131090:OWS131133 PGO131090:PGO131133 PQK131090:PQK131133 QAG131090:QAG131133 QKC131090:QKC131133 QTY131090:QTY131133 RDU131090:RDU131133 RNQ131090:RNQ131133 RXM131090:RXM131133 SHI131090:SHI131133 SRE131090:SRE131133 TBA131090:TBA131133 TKW131090:TKW131133 TUS131090:TUS131133 UEO131090:UEO131133 UOK131090:UOK131133 UYG131090:UYG131133 VIC131090:VIC131133 VRY131090:VRY131133 WBU131090:WBU131133 WLQ131090:WLQ131133 WVM131090:WVM131133 C196626:C196669 JA196626:JA196669 SW196626:SW196669 ACS196626:ACS196669 AMO196626:AMO196669 AWK196626:AWK196669 BGG196626:BGG196669 BQC196626:BQC196669 BZY196626:BZY196669 CJU196626:CJU196669 CTQ196626:CTQ196669 DDM196626:DDM196669 DNI196626:DNI196669 DXE196626:DXE196669 EHA196626:EHA196669 EQW196626:EQW196669 FAS196626:FAS196669 FKO196626:FKO196669 FUK196626:FUK196669 GEG196626:GEG196669 GOC196626:GOC196669 GXY196626:GXY196669 HHU196626:HHU196669 HRQ196626:HRQ196669 IBM196626:IBM196669 ILI196626:ILI196669 IVE196626:IVE196669 JFA196626:JFA196669 JOW196626:JOW196669 JYS196626:JYS196669 KIO196626:KIO196669 KSK196626:KSK196669 LCG196626:LCG196669 LMC196626:LMC196669 LVY196626:LVY196669 MFU196626:MFU196669 MPQ196626:MPQ196669 MZM196626:MZM196669 NJI196626:NJI196669 NTE196626:NTE196669 ODA196626:ODA196669 OMW196626:OMW196669 OWS196626:OWS196669 PGO196626:PGO196669 PQK196626:PQK196669 QAG196626:QAG196669 QKC196626:QKC196669 QTY196626:QTY196669 RDU196626:RDU196669 RNQ196626:RNQ196669 RXM196626:RXM196669 SHI196626:SHI196669 SRE196626:SRE196669 TBA196626:TBA196669 TKW196626:TKW196669 TUS196626:TUS196669 UEO196626:UEO196669 UOK196626:UOK196669 UYG196626:UYG196669 VIC196626:VIC196669 VRY196626:VRY196669 WBU196626:WBU196669 WLQ196626:WLQ196669 WVM196626:WVM196669 C262162:C262205 JA262162:JA262205 SW262162:SW262205 ACS262162:ACS262205 AMO262162:AMO262205 AWK262162:AWK262205 BGG262162:BGG262205 BQC262162:BQC262205 BZY262162:BZY262205 CJU262162:CJU262205 CTQ262162:CTQ262205 DDM262162:DDM262205 DNI262162:DNI262205 DXE262162:DXE262205 EHA262162:EHA262205 EQW262162:EQW262205 FAS262162:FAS262205 FKO262162:FKO262205 FUK262162:FUK262205 GEG262162:GEG262205 GOC262162:GOC262205 GXY262162:GXY262205 HHU262162:HHU262205 HRQ262162:HRQ262205 IBM262162:IBM262205 ILI262162:ILI262205 IVE262162:IVE262205 JFA262162:JFA262205 JOW262162:JOW262205 JYS262162:JYS262205 KIO262162:KIO262205 KSK262162:KSK262205 LCG262162:LCG262205 LMC262162:LMC262205 LVY262162:LVY262205 MFU262162:MFU262205 MPQ262162:MPQ262205 MZM262162:MZM262205 NJI262162:NJI262205 NTE262162:NTE262205 ODA262162:ODA262205 OMW262162:OMW262205 OWS262162:OWS262205 PGO262162:PGO262205 PQK262162:PQK262205 QAG262162:QAG262205 QKC262162:QKC262205 QTY262162:QTY262205 RDU262162:RDU262205 RNQ262162:RNQ262205 RXM262162:RXM262205 SHI262162:SHI262205 SRE262162:SRE262205 TBA262162:TBA262205 TKW262162:TKW262205 TUS262162:TUS262205 UEO262162:UEO262205 UOK262162:UOK262205 UYG262162:UYG262205 VIC262162:VIC262205 VRY262162:VRY262205 WBU262162:WBU262205 WLQ262162:WLQ262205 WVM262162:WVM262205 C327698:C327741 JA327698:JA327741 SW327698:SW327741 ACS327698:ACS327741 AMO327698:AMO327741 AWK327698:AWK327741 BGG327698:BGG327741 BQC327698:BQC327741 BZY327698:BZY327741 CJU327698:CJU327741 CTQ327698:CTQ327741 DDM327698:DDM327741 DNI327698:DNI327741 DXE327698:DXE327741 EHA327698:EHA327741 EQW327698:EQW327741 FAS327698:FAS327741 FKO327698:FKO327741 FUK327698:FUK327741 GEG327698:GEG327741 GOC327698:GOC327741 GXY327698:GXY327741 HHU327698:HHU327741 HRQ327698:HRQ327741 IBM327698:IBM327741 ILI327698:ILI327741 IVE327698:IVE327741 JFA327698:JFA327741 JOW327698:JOW327741 JYS327698:JYS327741 KIO327698:KIO327741 KSK327698:KSK327741 LCG327698:LCG327741 LMC327698:LMC327741 LVY327698:LVY327741 MFU327698:MFU327741 MPQ327698:MPQ327741 MZM327698:MZM327741 NJI327698:NJI327741 NTE327698:NTE327741 ODA327698:ODA327741 OMW327698:OMW327741 OWS327698:OWS327741 PGO327698:PGO327741 PQK327698:PQK327741 QAG327698:QAG327741 QKC327698:QKC327741 QTY327698:QTY327741 RDU327698:RDU327741 RNQ327698:RNQ327741 RXM327698:RXM327741 SHI327698:SHI327741 SRE327698:SRE327741 TBA327698:TBA327741 TKW327698:TKW327741 TUS327698:TUS327741 UEO327698:UEO327741 UOK327698:UOK327741 UYG327698:UYG327741 VIC327698:VIC327741 VRY327698:VRY327741 WBU327698:WBU327741 WLQ327698:WLQ327741 WVM327698:WVM327741 C393234:C393277 JA393234:JA393277 SW393234:SW393277 ACS393234:ACS393277 AMO393234:AMO393277 AWK393234:AWK393277 BGG393234:BGG393277 BQC393234:BQC393277 BZY393234:BZY393277 CJU393234:CJU393277 CTQ393234:CTQ393277 DDM393234:DDM393277 DNI393234:DNI393277 DXE393234:DXE393277 EHA393234:EHA393277 EQW393234:EQW393277 FAS393234:FAS393277 FKO393234:FKO393277 FUK393234:FUK393277 GEG393234:GEG393277 GOC393234:GOC393277 GXY393234:GXY393277 HHU393234:HHU393277 HRQ393234:HRQ393277 IBM393234:IBM393277 ILI393234:ILI393277 IVE393234:IVE393277 JFA393234:JFA393277 JOW393234:JOW393277 JYS393234:JYS393277 KIO393234:KIO393277 KSK393234:KSK393277 LCG393234:LCG393277 LMC393234:LMC393277 LVY393234:LVY393277 MFU393234:MFU393277 MPQ393234:MPQ393277 MZM393234:MZM393277 NJI393234:NJI393277 NTE393234:NTE393277 ODA393234:ODA393277 OMW393234:OMW393277 OWS393234:OWS393277 PGO393234:PGO393277 PQK393234:PQK393277 QAG393234:QAG393277 QKC393234:QKC393277 QTY393234:QTY393277 RDU393234:RDU393277 RNQ393234:RNQ393277 RXM393234:RXM393277 SHI393234:SHI393277 SRE393234:SRE393277 TBA393234:TBA393277 TKW393234:TKW393277 TUS393234:TUS393277 UEO393234:UEO393277 UOK393234:UOK393277 UYG393234:UYG393277 VIC393234:VIC393277 VRY393234:VRY393277 WBU393234:WBU393277 WLQ393234:WLQ393277 WVM393234:WVM393277 C458770:C458813 JA458770:JA458813 SW458770:SW458813 ACS458770:ACS458813 AMO458770:AMO458813 AWK458770:AWK458813 BGG458770:BGG458813 BQC458770:BQC458813 BZY458770:BZY458813 CJU458770:CJU458813 CTQ458770:CTQ458813 DDM458770:DDM458813 DNI458770:DNI458813 DXE458770:DXE458813 EHA458770:EHA458813 EQW458770:EQW458813 FAS458770:FAS458813 FKO458770:FKO458813 FUK458770:FUK458813 GEG458770:GEG458813 GOC458770:GOC458813 GXY458770:GXY458813 HHU458770:HHU458813 HRQ458770:HRQ458813 IBM458770:IBM458813 ILI458770:ILI458813 IVE458770:IVE458813 JFA458770:JFA458813 JOW458770:JOW458813 JYS458770:JYS458813 KIO458770:KIO458813 KSK458770:KSK458813 LCG458770:LCG458813 LMC458770:LMC458813 LVY458770:LVY458813 MFU458770:MFU458813 MPQ458770:MPQ458813 MZM458770:MZM458813 NJI458770:NJI458813 NTE458770:NTE458813 ODA458770:ODA458813 OMW458770:OMW458813 OWS458770:OWS458813 PGO458770:PGO458813 PQK458770:PQK458813 QAG458770:QAG458813 QKC458770:QKC458813 QTY458770:QTY458813 RDU458770:RDU458813 RNQ458770:RNQ458813 RXM458770:RXM458813 SHI458770:SHI458813 SRE458770:SRE458813 TBA458770:TBA458813 TKW458770:TKW458813 TUS458770:TUS458813 UEO458770:UEO458813 UOK458770:UOK458813 UYG458770:UYG458813 VIC458770:VIC458813 VRY458770:VRY458813 WBU458770:WBU458813 WLQ458770:WLQ458813 WVM458770:WVM458813 C524306:C524349 JA524306:JA524349 SW524306:SW524349 ACS524306:ACS524349 AMO524306:AMO524349 AWK524306:AWK524349 BGG524306:BGG524349 BQC524306:BQC524349 BZY524306:BZY524349 CJU524306:CJU524349 CTQ524306:CTQ524349 DDM524306:DDM524349 DNI524306:DNI524349 DXE524306:DXE524349 EHA524306:EHA524349 EQW524306:EQW524349 FAS524306:FAS524349 FKO524306:FKO524349 FUK524306:FUK524349 GEG524306:GEG524349 GOC524306:GOC524349 GXY524306:GXY524349 HHU524306:HHU524349 HRQ524306:HRQ524349 IBM524306:IBM524349 ILI524306:ILI524349 IVE524306:IVE524349 JFA524306:JFA524349 JOW524306:JOW524349 JYS524306:JYS524349 KIO524306:KIO524349 KSK524306:KSK524349 LCG524306:LCG524349 LMC524306:LMC524349 LVY524306:LVY524349 MFU524306:MFU524349 MPQ524306:MPQ524349 MZM524306:MZM524349 NJI524306:NJI524349 NTE524306:NTE524349 ODA524306:ODA524349 OMW524306:OMW524349 OWS524306:OWS524349 PGO524306:PGO524349 PQK524306:PQK524349 QAG524306:QAG524349 QKC524306:QKC524349 QTY524306:QTY524349 RDU524306:RDU524349 RNQ524306:RNQ524349 RXM524306:RXM524349 SHI524306:SHI524349 SRE524306:SRE524349 TBA524306:TBA524349 TKW524306:TKW524349 TUS524306:TUS524349 UEO524306:UEO524349 UOK524306:UOK524349 UYG524306:UYG524349 VIC524306:VIC524349 VRY524306:VRY524349 WBU524306:WBU524349 WLQ524306:WLQ524349 WVM524306:WVM524349 C589842:C589885 JA589842:JA589885 SW589842:SW589885 ACS589842:ACS589885 AMO589842:AMO589885 AWK589842:AWK589885 BGG589842:BGG589885 BQC589842:BQC589885 BZY589842:BZY589885 CJU589842:CJU589885 CTQ589842:CTQ589885 DDM589842:DDM589885 DNI589842:DNI589885 DXE589842:DXE589885 EHA589842:EHA589885 EQW589842:EQW589885 FAS589842:FAS589885 FKO589842:FKO589885 FUK589842:FUK589885 GEG589842:GEG589885 GOC589842:GOC589885 GXY589842:GXY589885 HHU589842:HHU589885 HRQ589842:HRQ589885 IBM589842:IBM589885 ILI589842:ILI589885 IVE589842:IVE589885 JFA589842:JFA589885 JOW589842:JOW589885 JYS589842:JYS589885 KIO589842:KIO589885 KSK589842:KSK589885 LCG589842:LCG589885 LMC589842:LMC589885 LVY589842:LVY589885 MFU589842:MFU589885 MPQ589842:MPQ589885 MZM589842:MZM589885 NJI589842:NJI589885 NTE589842:NTE589885 ODA589842:ODA589885 OMW589842:OMW589885 OWS589842:OWS589885 PGO589842:PGO589885 PQK589842:PQK589885 QAG589842:QAG589885 QKC589842:QKC589885 QTY589842:QTY589885 RDU589842:RDU589885 RNQ589842:RNQ589885 RXM589842:RXM589885 SHI589842:SHI589885 SRE589842:SRE589885 TBA589842:TBA589885 TKW589842:TKW589885 TUS589842:TUS589885 UEO589842:UEO589885 UOK589842:UOK589885 UYG589842:UYG589885 VIC589842:VIC589885 VRY589842:VRY589885 WBU589842:WBU589885 WLQ589842:WLQ589885 WVM589842:WVM589885 C655378:C655421 JA655378:JA655421 SW655378:SW655421 ACS655378:ACS655421 AMO655378:AMO655421 AWK655378:AWK655421 BGG655378:BGG655421 BQC655378:BQC655421 BZY655378:BZY655421 CJU655378:CJU655421 CTQ655378:CTQ655421 DDM655378:DDM655421 DNI655378:DNI655421 DXE655378:DXE655421 EHA655378:EHA655421 EQW655378:EQW655421 FAS655378:FAS655421 FKO655378:FKO655421 FUK655378:FUK655421 GEG655378:GEG655421 GOC655378:GOC655421 GXY655378:GXY655421 HHU655378:HHU655421 HRQ655378:HRQ655421 IBM655378:IBM655421 ILI655378:ILI655421 IVE655378:IVE655421 JFA655378:JFA655421 JOW655378:JOW655421 JYS655378:JYS655421 KIO655378:KIO655421 KSK655378:KSK655421 LCG655378:LCG655421 LMC655378:LMC655421 LVY655378:LVY655421 MFU655378:MFU655421 MPQ655378:MPQ655421 MZM655378:MZM655421 NJI655378:NJI655421 NTE655378:NTE655421 ODA655378:ODA655421 OMW655378:OMW655421 OWS655378:OWS655421 PGO655378:PGO655421 PQK655378:PQK655421 QAG655378:QAG655421 QKC655378:QKC655421 QTY655378:QTY655421 RDU655378:RDU655421 RNQ655378:RNQ655421 RXM655378:RXM655421 SHI655378:SHI655421 SRE655378:SRE655421 TBA655378:TBA655421 TKW655378:TKW655421 TUS655378:TUS655421 UEO655378:UEO655421 UOK655378:UOK655421 UYG655378:UYG655421 VIC655378:VIC655421 VRY655378:VRY655421 WBU655378:WBU655421 WLQ655378:WLQ655421 WVM655378:WVM655421 C720914:C720957 JA720914:JA720957 SW720914:SW720957 ACS720914:ACS720957 AMO720914:AMO720957 AWK720914:AWK720957 BGG720914:BGG720957 BQC720914:BQC720957 BZY720914:BZY720957 CJU720914:CJU720957 CTQ720914:CTQ720957 DDM720914:DDM720957 DNI720914:DNI720957 DXE720914:DXE720957 EHA720914:EHA720957 EQW720914:EQW720957 FAS720914:FAS720957 FKO720914:FKO720957 FUK720914:FUK720957 GEG720914:GEG720957 GOC720914:GOC720957 GXY720914:GXY720957 HHU720914:HHU720957 HRQ720914:HRQ720957 IBM720914:IBM720957 ILI720914:ILI720957 IVE720914:IVE720957 JFA720914:JFA720957 JOW720914:JOW720957 JYS720914:JYS720957 KIO720914:KIO720957 KSK720914:KSK720957 LCG720914:LCG720957 LMC720914:LMC720957 LVY720914:LVY720957 MFU720914:MFU720957 MPQ720914:MPQ720957 MZM720914:MZM720957 NJI720914:NJI720957 NTE720914:NTE720957 ODA720914:ODA720957 OMW720914:OMW720957 OWS720914:OWS720957 PGO720914:PGO720957 PQK720914:PQK720957 QAG720914:QAG720957 QKC720914:QKC720957 QTY720914:QTY720957 RDU720914:RDU720957 RNQ720914:RNQ720957 RXM720914:RXM720957 SHI720914:SHI720957 SRE720914:SRE720957 TBA720914:TBA720957 TKW720914:TKW720957 TUS720914:TUS720957 UEO720914:UEO720957 UOK720914:UOK720957 UYG720914:UYG720957 VIC720914:VIC720957 VRY720914:VRY720957 WBU720914:WBU720957 WLQ720914:WLQ720957 WVM720914:WVM720957 C786450:C786493 JA786450:JA786493 SW786450:SW786493 ACS786450:ACS786493 AMO786450:AMO786493 AWK786450:AWK786493 BGG786450:BGG786493 BQC786450:BQC786493 BZY786450:BZY786493 CJU786450:CJU786493 CTQ786450:CTQ786493 DDM786450:DDM786493 DNI786450:DNI786493 DXE786450:DXE786493 EHA786450:EHA786493 EQW786450:EQW786493 FAS786450:FAS786493 FKO786450:FKO786493 FUK786450:FUK786493 GEG786450:GEG786493 GOC786450:GOC786493 GXY786450:GXY786493 HHU786450:HHU786493 HRQ786450:HRQ786493 IBM786450:IBM786493 ILI786450:ILI786493 IVE786450:IVE786493 JFA786450:JFA786493 JOW786450:JOW786493 JYS786450:JYS786493 KIO786450:KIO786493 KSK786450:KSK786493 LCG786450:LCG786493 LMC786450:LMC786493 LVY786450:LVY786493 MFU786450:MFU786493 MPQ786450:MPQ786493 MZM786450:MZM786493 NJI786450:NJI786493 NTE786450:NTE786493 ODA786450:ODA786493 OMW786450:OMW786493 OWS786450:OWS786493 PGO786450:PGO786493 PQK786450:PQK786493 QAG786450:QAG786493 QKC786450:QKC786493 QTY786450:QTY786493 RDU786450:RDU786493 RNQ786450:RNQ786493 RXM786450:RXM786493 SHI786450:SHI786493 SRE786450:SRE786493 TBA786450:TBA786493 TKW786450:TKW786493 TUS786450:TUS786493 UEO786450:UEO786493 UOK786450:UOK786493 UYG786450:UYG786493 VIC786450:VIC786493 VRY786450:VRY786493 WBU786450:WBU786493 WLQ786450:WLQ786493 WVM786450:WVM786493 C851986:C852029 JA851986:JA852029 SW851986:SW852029 ACS851986:ACS852029 AMO851986:AMO852029 AWK851986:AWK852029 BGG851986:BGG852029 BQC851986:BQC852029 BZY851986:BZY852029 CJU851986:CJU852029 CTQ851986:CTQ852029 DDM851986:DDM852029 DNI851986:DNI852029 DXE851986:DXE852029 EHA851986:EHA852029 EQW851986:EQW852029 FAS851986:FAS852029 FKO851986:FKO852029 FUK851986:FUK852029 GEG851986:GEG852029 GOC851986:GOC852029 GXY851986:GXY852029 HHU851986:HHU852029 HRQ851986:HRQ852029 IBM851986:IBM852029 ILI851986:ILI852029 IVE851986:IVE852029 JFA851986:JFA852029 JOW851986:JOW852029 JYS851986:JYS852029 KIO851986:KIO852029 KSK851986:KSK852029 LCG851986:LCG852029 LMC851986:LMC852029 LVY851986:LVY852029 MFU851986:MFU852029 MPQ851986:MPQ852029 MZM851986:MZM852029 NJI851986:NJI852029 NTE851986:NTE852029 ODA851986:ODA852029 OMW851986:OMW852029 OWS851986:OWS852029 PGO851986:PGO852029 PQK851986:PQK852029 QAG851986:QAG852029 QKC851986:QKC852029 QTY851986:QTY852029 RDU851986:RDU852029 RNQ851986:RNQ852029 RXM851986:RXM852029 SHI851986:SHI852029 SRE851986:SRE852029 TBA851986:TBA852029 TKW851986:TKW852029 TUS851986:TUS852029 UEO851986:UEO852029 UOK851986:UOK852029 UYG851986:UYG852029 VIC851986:VIC852029 VRY851986:VRY852029 WBU851986:WBU852029 WLQ851986:WLQ852029 WVM851986:WVM852029 C917522:C917565 JA917522:JA917565 SW917522:SW917565 ACS917522:ACS917565 AMO917522:AMO917565 AWK917522:AWK917565 BGG917522:BGG917565 BQC917522:BQC917565 BZY917522:BZY917565 CJU917522:CJU917565 CTQ917522:CTQ917565 DDM917522:DDM917565 DNI917522:DNI917565 DXE917522:DXE917565 EHA917522:EHA917565 EQW917522:EQW917565 FAS917522:FAS917565 FKO917522:FKO917565 FUK917522:FUK917565 GEG917522:GEG917565 GOC917522:GOC917565 GXY917522:GXY917565 HHU917522:HHU917565 HRQ917522:HRQ917565 IBM917522:IBM917565 ILI917522:ILI917565 IVE917522:IVE917565 JFA917522:JFA917565 JOW917522:JOW917565 JYS917522:JYS917565 KIO917522:KIO917565 KSK917522:KSK917565 LCG917522:LCG917565 LMC917522:LMC917565 LVY917522:LVY917565 MFU917522:MFU917565 MPQ917522:MPQ917565 MZM917522:MZM917565 NJI917522:NJI917565 NTE917522:NTE917565 ODA917522:ODA917565 OMW917522:OMW917565 OWS917522:OWS917565 PGO917522:PGO917565 PQK917522:PQK917565 QAG917522:QAG917565 QKC917522:QKC917565 QTY917522:QTY917565 RDU917522:RDU917565 RNQ917522:RNQ917565 RXM917522:RXM917565 SHI917522:SHI917565 SRE917522:SRE917565 TBA917522:TBA917565 TKW917522:TKW917565 TUS917522:TUS917565 UEO917522:UEO917565 UOK917522:UOK917565 UYG917522:UYG917565 VIC917522:VIC917565 VRY917522:VRY917565 WBU917522:WBU917565 WLQ917522:WLQ917565 WVM917522:WVM917565 C983058:C983101 JA983058:JA983101 SW983058:SW983101 ACS983058:ACS983101 AMO983058:AMO983101 AWK983058:AWK983101 BGG983058:BGG983101 BQC983058:BQC983101 BZY983058:BZY983101 CJU983058:CJU983101 CTQ983058:CTQ983101 DDM983058:DDM983101 DNI983058:DNI983101 DXE983058:DXE983101 EHA983058:EHA983101 EQW983058:EQW983101 FAS983058:FAS983101 FKO983058:FKO983101 FUK983058:FUK983101 GEG983058:GEG983101 GOC983058:GOC983101 GXY983058:GXY983101 HHU983058:HHU983101 HRQ983058:HRQ983101 IBM983058:IBM983101 ILI983058:ILI983101 IVE983058:IVE983101 JFA983058:JFA983101 JOW983058:JOW983101 JYS983058:JYS983101 KIO983058:KIO983101 KSK983058:KSK983101 LCG983058:LCG983101 LMC983058:LMC983101 LVY983058:LVY983101 MFU983058:MFU983101 MPQ983058:MPQ983101 MZM983058:MZM983101 NJI983058:NJI983101 NTE983058:NTE983101 ODA983058:ODA983101 OMW983058:OMW983101 OWS983058:OWS983101 PGO983058:PGO983101 PQK983058:PQK983101 QAG983058:QAG983101 QKC983058:QKC983101 QTY983058:QTY983101 RDU983058:RDU983101 RNQ983058:RNQ983101 RXM983058:RXM983101 SHI983058:SHI983101 SRE983058:SRE983101 TBA983058:TBA983101 TKW983058:TKW983101 TUS983058:TUS983101 UEO983058:UEO983101 UOK983058:UOK983101 UYG983058:UYG983101 VIC983058:VIC983101 VRY983058:VRY983101 WBU983058:WBU983101 WLQ983058:WLQ983101 WVM17:WVM61 WLQ17:WLQ61 WBU17:WBU61 VRY17:VRY61 VIC17:VIC61 UYG17:UYG61 UOK17:UOK61 UEO17:UEO61 TUS17:TUS61 TKW17:TKW61 TBA17:TBA61 SRE17:SRE61 SHI17:SHI61 RXM17:RXM61 RNQ17:RNQ61 RDU17:RDU61 QTY17:QTY61 QKC17:QKC61 QAG17:QAG61 PQK17:PQK61 PGO17:PGO61 OWS17:OWS61 OMW17:OMW61 ODA17:ODA61 NTE17:NTE61 NJI17:NJI61 MZM17:MZM61 MPQ17:MPQ61 MFU17:MFU61 LVY17:LVY61 LMC17:LMC61 LCG17:LCG61 KSK17:KSK61 KIO17:KIO61 JYS17:JYS61 JOW17:JOW61 JFA17:JFA61 IVE17:IVE61 ILI17:ILI61 IBM17:IBM61 HRQ17:HRQ61 HHU17:HHU61 GXY17:GXY61 GOC17:GOC61 GEG17:GEG61 FUK17:FUK61 FKO17:FKO61 FAS17:FAS61 EQW17:EQW61 EHA17:EHA61 DXE17:DXE61 DNI17:DNI61 DDM17:DDM61 CTQ17:CTQ61 CJU17:CJU61 BZY17:BZY61 BQC17:BQC61 BGG17:BGG61 AWK17:AWK61 AMO17:AMO61 ACS17:ACS61 SW17:SW61 JA17:JA61 C17:C61 WVM71:WVM115 WLQ71:WLQ115 WBU71:WBU115 VRY71:VRY115 VIC71:VIC115 UYG71:UYG115 UOK71:UOK115 UEO71:UEO115 TUS71:TUS115 TKW71:TKW115 TBA71:TBA115 SRE71:SRE115 SHI71:SHI115 RXM71:RXM115 RNQ71:RNQ115 RDU71:RDU115 QTY71:QTY115 QKC71:QKC115 QAG71:QAG115 PQK71:PQK115 PGO71:PGO115 OWS71:OWS115 OMW71:OMW115 ODA71:ODA115 NTE71:NTE115 NJI71:NJI115 MZM71:MZM115 MPQ71:MPQ115 MFU71:MFU115 LVY71:LVY115 LMC71:LMC115 LCG71:LCG115 KSK71:KSK115 KIO71:KIO115 JYS71:JYS115 JOW71:JOW115 JFA71:JFA115 IVE71:IVE115 ILI71:ILI115 IBM71:IBM115 HRQ71:HRQ115 HHU71:HHU115 GXY71:GXY115 GOC71:GOC115 GEG71:GEG115 FUK71:FUK115 FKO71:FKO115 FAS71:FAS115 EQW71:EQW115 EHA71:EHA115 DXE71:DXE115 DNI71:DNI115 DDM71:DDM115 CTQ71:CTQ115 CJU71:CJU115 BZY71:BZY115 BQC71:BQC115 BGG71:BGG115 AWK71:AWK115 AMO71:AMO115 ACS71:ACS115 SW71:SW115 JA71:JA115 C71:C115" xr:uid="{39F96CCE-99A0-4721-8A51-992E164ED1F5}">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09E5AA6-EF81-4C9E-AC40-BECF039DFD99}">
            <xm:f>TITELBLAD!$F$16="ex-ante"</xm:f>
            <x14:dxf>
              <fill>
                <patternFill patternType="lightUp"/>
              </fill>
            </x14:dxf>
          </x14:cfRule>
          <xm:sqref>A68:E118 G68:I118</xm:sqref>
        </x14:conditionalFormatting>
        <x14:conditionalFormatting xmlns:xm="http://schemas.microsoft.com/office/excel/2006/main">
          <x14:cfRule type="expression" priority="1" id="{8C7BF3CD-7B25-4AB2-B593-7F3FA3683BE3}">
            <xm:f>TITELBLAD!$F$16="ex-ante"</xm:f>
            <x14:dxf>
              <fill>
                <patternFill patternType="lightUp"/>
              </fill>
            </x14:dxf>
          </x14:cfRule>
          <xm:sqref>F68:F118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B4EA-53D4-45D5-BD9E-2B67749CD754}">
  <dimension ref="A1:M76"/>
  <sheetViews>
    <sheetView zoomScale="80" zoomScaleNormal="80" workbookViewId="0">
      <selection activeCell="C31" sqref="C31"/>
    </sheetView>
  </sheetViews>
  <sheetFormatPr defaultColWidth="9.1796875" defaultRowHeight="12.5" x14ac:dyDescent="0.25"/>
  <cols>
    <col min="1" max="1" width="47.54296875" style="166" customWidth="1"/>
    <col min="2" max="2" width="29.54296875" style="166" customWidth="1"/>
    <col min="3" max="16" width="31" style="166" customWidth="1"/>
    <col min="17" max="17" width="8.81640625" style="166" customWidth="1"/>
    <col min="18" max="44" width="9.1796875" style="166" customWidth="1"/>
    <col min="45" max="258" width="9.1796875" style="166"/>
    <col min="259" max="259" width="47.54296875" style="166" customWidth="1"/>
    <col min="260" max="260" width="29.54296875" style="166" customWidth="1"/>
    <col min="261" max="272" width="31" style="166" customWidth="1"/>
    <col min="273" max="273" width="8.81640625" style="166" customWidth="1"/>
    <col min="274" max="514" width="9.1796875" style="166"/>
    <col min="515" max="515" width="47.54296875" style="166" customWidth="1"/>
    <col min="516" max="516" width="29.54296875" style="166" customWidth="1"/>
    <col min="517" max="528" width="31" style="166" customWidth="1"/>
    <col min="529" max="529" width="8.81640625" style="166" customWidth="1"/>
    <col min="530" max="770" width="9.1796875" style="166"/>
    <col min="771" max="771" width="47.54296875" style="166" customWidth="1"/>
    <col min="772" max="772" width="29.54296875" style="166" customWidth="1"/>
    <col min="773" max="784" width="31" style="166" customWidth="1"/>
    <col min="785" max="785" width="8.81640625" style="166" customWidth="1"/>
    <col min="786" max="1026" width="9.1796875" style="166"/>
    <col min="1027" max="1027" width="47.54296875" style="166" customWidth="1"/>
    <col min="1028" max="1028" width="29.54296875" style="166" customWidth="1"/>
    <col min="1029" max="1040" width="31" style="166" customWidth="1"/>
    <col min="1041" max="1041" width="8.81640625" style="166" customWidth="1"/>
    <col min="1042" max="1282" width="9.1796875" style="166"/>
    <col min="1283" max="1283" width="47.54296875" style="166" customWidth="1"/>
    <col min="1284" max="1284" width="29.54296875" style="166" customWidth="1"/>
    <col min="1285" max="1296" width="31" style="166" customWidth="1"/>
    <col min="1297" max="1297" width="8.81640625" style="166" customWidth="1"/>
    <col min="1298" max="1538" width="9.1796875" style="166"/>
    <col min="1539" max="1539" width="47.54296875" style="166" customWidth="1"/>
    <col min="1540" max="1540" width="29.54296875" style="166" customWidth="1"/>
    <col min="1541" max="1552" width="31" style="166" customWidth="1"/>
    <col min="1553" max="1553" width="8.81640625" style="166" customWidth="1"/>
    <col min="1554" max="1794" width="9.1796875" style="166"/>
    <col min="1795" max="1795" width="47.54296875" style="166" customWidth="1"/>
    <col min="1796" max="1796" width="29.54296875" style="166" customWidth="1"/>
    <col min="1797" max="1808" width="31" style="166" customWidth="1"/>
    <col min="1809" max="1809" width="8.81640625" style="166" customWidth="1"/>
    <col min="1810" max="2050" width="9.1796875" style="166"/>
    <col min="2051" max="2051" width="47.54296875" style="166" customWidth="1"/>
    <col min="2052" max="2052" width="29.54296875" style="166" customWidth="1"/>
    <col min="2053" max="2064" width="31" style="166" customWidth="1"/>
    <col min="2065" max="2065" width="8.81640625" style="166" customWidth="1"/>
    <col min="2066" max="2306" width="9.1796875" style="166"/>
    <col min="2307" max="2307" width="47.54296875" style="166" customWidth="1"/>
    <col min="2308" max="2308" width="29.54296875" style="166" customWidth="1"/>
    <col min="2309" max="2320" width="31" style="166" customWidth="1"/>
    <col min="2321" max="2321" width="8.81640625" style="166" customWidth="1"/>
    <col min="2322" max="2562" width="9.1796875" style="166"/>
    <col min="2563" max="2563" width="47.54296875" style="166" customWidth="1"/>
    <col min="2564" max="2564" width="29.54296875" style="166" customWidth="1"/>
    <col min="2565" max="2576" width="31" style="166" customWidth="1"/>
    <col min="2577" max="2577" width="8.81640625" style="166" customWidth="1"/>
    <col min="2578" max="2818" width="9.1796875" style="166"/>
    <col min="2819" max="2819" width="47.54296875" style="166" customWidth="1"/>
    <col min="2820" max="2820" width="29.54296875" style="166" customWidth="1"/>
    <col min="2821" max="2832" width="31" style="166" customWidth="1"/>
    <col min="2833" max="2833" width="8.81640625" style="166" customWidth="1"/>
    <col min="2834" max="3074" width="9.1796875" style="166"/>
    <col min="3075" max="3075" width="47.54296875" style="166" customWidth="1"/>
    <col min="3076" max="3076" width="29.54296875" style="166" customWidth="1"/>
    <col min="3077" max="3088" width="31" style="166" customWidth="1"/>
    <col min="3089" max="3089" width="8.81640625" style="166" customWidth="1"/>
    <col min="3090" max="3330" width="9.1796875" style="166"/>
    <col min="3331" max="3331" width="47.54296875" style="166" customWidth="1"/>
    <col min="3332" max="3332" width="29.54296875" style="166" customWidth="1"/>
    <col min="3333" max="3344" width="31" style="166" customWidth="1"/>
    <col min="3345" max="3345" width="8.81640625" style="166" customWidth="1"/>
    <col min="3346" max="3586" width="9.1796875" style="166"/>
    <col min="3587" max="3587" width="47.54296875" style="166" customWidth="1"/>
    <col min="3588" max="3588" width="29.54296875" style="166" customWidth="1"/>
    <col min="3589" max="3600" width="31" style="166" customWidth="1"/>
    <col min="3601" max="3601" width="8.81640625" style="166" customWidth="1"/>
    <col min="3602" max="3842" width="9.1796875" style="166"/>
    <col min="3843" max="3843" width="47.54296875" style="166" customWidth="1"/>
    <col min="3844" max="3844" width="29.54296875" style="166" customWidth="1"/>
    <col min="3845" max="3856" width="31" style="166" customWidth="1"/>
    <col min="3857" max="3857" width="8.81640625" style="166" customWidth="1"/>
    <col min="3858" max="4098" width="9.1796875" style="166"/>
    <col min="4099" max="4099" width="47.54296875" style="166" customWidth="1"/>
    <col min="4100" max="4100" width="29.54296875" style="166" customWidth="1"/>
    <col min="4101" max="4112" width="31" style="166" customWidth="1"/>
    <col min="4113" max="4113" width="8.81640625" style="166" customWidth="1"/>
    <col min="4114" max="4354" width="9.1796875" style="166"/>
    <col min="4355" max="4355" width="47.54296875" style="166" customWidth="1"/>
    <col min="4356" max="4356" width="29.54296875" style="166" customWidth="1"/>
    <col min="4357" max="4368" width="31" style="166" customWidth="1"/>
    <col min="4369" max="4369" width="8.81640625" style="166" customWidth="1"/>
    <col min="4370" max="4610" width="9.1796875" style="166"/>
    <col min="4611" max="4611" width="47.54296875" style="166" customWidth="1"/>
    <col min="4612" max="4612" width="29.54296875" style="166" customWidth="1"/>
    <col min="4613" max="4624" width="31" style="166" customWidth="1"/>
    <col min="4625" max="4625" width="8.81640625" style="166" customWidth="1"/>
    <col min="4626" max="4866" width="9.1796875" style="166"/>
    <col min="4867" max="4867" width="47.54296875" style="166" customWidth="1"/>
    <col min="4868" max="4868" width="29.54296875" style="166" customWidth="1"/>
    <col min="4869" max="4880" width="31" style="166" customWidth="1"/>
    <col min="4881" max="4881" width="8.81640625" style="166" customWidth="1"/>
    <col min="4882" max="5122" width="9.1796875" style="166"/>
    <col min="5123" max="5123" width="47.54296875" style="166" customWidth="1"/>
    <col min="5124" max="5124" width="29.54296875" style="166" customWidth="1"/>
    <col min="5125" max="5136" width="31" style="166" customWidth="1"/>
    <col min="5137" max="5137" width="8.81640625" style="166" customWidth="1"/>
    <col min="5138" max="5378" width="9.1796875" style="166"/>
    <col min="5379" max="5379" width="47.54296875" style="166" customWidth="1"/>
    <col min="5380" max="5380" width="29.54296875" style="166" customWidth="1"/>
    <col min="5381" max="5392" width="31" style="166" customWidth="1"/>
    <col min="5393" max="5393" width="8.81640625" style="166" customWidth="1"/>
    <col min="5394" max="5634" width="9.1796875" style="166"/>
    <col min="5635" max="5635" width="47.54296875" style="166" customWidth="1"/>
    <col min="5636" max="5636" width="29.54296875" style="166" customWidth="1"/>
    <col min="5637" max="5648" width="31" style="166" customWidth="1"/>
    <col min="5649" max="5649" width="8.81640625" style="166" customWidth="1"/>
    <col min="5650" max="5890" width="9.1796875" style="166"/>
    <col min="5891" max="5891" width="47.54296875" style="166" customWidth="1"/>
    <col min="5892" max="5892" width="29.54296875" style="166" customWidth="1"/>
    <col min="5893" max="5904" width="31" style="166" customWidth="1"/>
    <col min="5905" max="5905" width="8.81640625" style="166" customWidth="1"/>
    <col min="5906" max="6146" width="9.1796875" style="166"/>
    <col min="6147" max="6147" width="47.54296875" style="166" customWidth="1"/>
    <col min="6148" max="6148" width="29.54296875" style="166" customWidth="1"/>
    <col min="6149" max="6160" width="31" style="166" customWidth="1"/>
    <col min="6161" max="6161" width="8.81640625" style="166" customWidth="1"/>
    <col min="6162" max="6402" width="9.1796875" style="166"/>
    <col min="6403" max="6403" width="47.54296875" style="166" customWidth="1"/>
    <col min="6404" max="6404" width="29.54296875" style="166" customWidth="1"/>
    <col min="6405" max="6416" width="31" style="166" customWidth="1"/>
    <col min="6417" max="6417" width="8.81640625" style="166" customWidth="1"/>
    <col min="6418" max="6658" width="9.1796875" style="166"/>
    <col min="6659" max="6659" width="47.54296875" style="166" customWidth="1"/>
    <col min="6660" max="6660" width="29.54296875" style="166" customWidth="1"/>
    <col min="6661" max="6672" width="31" style="166" customWidth="1"/>
    <col min="6673" max="6673" width="8.81640625" style="166" customWidth="1"/>
    <col min="6674" max="6914" width="9.1796875" style="166"/>
    <col min="6915" max="6915" width="47.54296875" style="166" customWidth="1"/>
    <col min="6916" max="6916" width="29.54296875" style="166" customWidth="1"/>
    <col min="6917" max="6928" width="31" style="166" customWidth="1"/>
    <col min="6929" max="6929" width="8.81640625" style="166" customWidth="1"/>
    <col min="6930" max="7170" width="9.1796875" style="166"/>
    <col min="7171" max="7171" width="47.54296875" style="166" customWidth="1"/>
    <col min="7172" max="7172" width="29.54296875" style="166" customWidth="1"/>
    <col min="7173" max="7184" width="31" style="166" customWidth="1"/>
    <col min="7185" max="7185" width="8.81640625" style="166" customWidth="1"/>
    <col min="7186" max="7426" width="9.1796875" style="166"/>
    <col min="7427" max="7427" width="47.54296875" style="166" customWidth="1"/>
    <col min="7428" max="7428" width="29.54296875" style="166" customWidth="1"/>
    <col min="7429" max="7440" width="31" style="166" customWidth="1"/>
    <col min="7441" max="7441" width="8.81640625" style="166" customWidth="1"/>
    <col min="7442" max="7682" width="9.1796875" style="166"/>
    <col min="7683" max="7683" width="47.54296875" style="166" customWidth="1"/>
    <col min="7684" max="7684" width="29.54296875" style="166" customWidth="1"/>
    <col min="7685" max="7696" width="31" style="166" customWidth="1"/>
    <col min="7697" max="7697" width="8.81640625" style="166" customWidth="1"/>
    <col min="7698" max="7938" width="9.1796875" style="166"/>
    <col min="7939" max="7939" width="47.54296875" style="166" customWidth="1"/>
    <col min="7940" max="7940" width="29.54296875" style="166" customWidth="1"/>
    <col min="7941" max="7952" width="31" style="166" customWidth="1"/>
    <col min="7953" max="7953" width="8.81640625" style="166" customWidth="1"/>
    <col min="7954" max="8194" width="9.1796875" style="166"/>
    <col min="8195" max="8195" width="47.54296875" style="166" customWidth="1"/>
    <col min="8196" max="8196" width="29.54296875" style="166" customWidth="1"/>
    <col min="8197" max="8208" width="31" style="166" customWidth="1"/>
    <col min="8209" max="8209" width="8.81640625" style="166" customWidth="1"/>
    <col min="8210" max="8450" width="9.1796875" style="166"/>
    <col min="8451" max="8451" width="47.54296875" style="166" customWidth="1"/>
    <col min="8452" max="8452" width="29.54296875" style="166" customWidth="1"/>
    <col min="8453" max="8464" width="31" style="166" customWidth="1"/>
    <col min="8465" max="8465" width="8.81640625" style="166" customWidth="1"/>
    <col min="8466" max="8706" width="9.1796875" style="166"/>
    <col min="8707" max="8707" width="47.54296875" style="166" customWidth="1"/>
    <col min="8708" max="8708" width="29.54296875" style="166" customWidth="1"/>
    <col min="8709" max="8720" width="31" style="166" customWidth="1"/>
    <col min="8721" max="8721" width="8.81640625" style="166" customWidth="1"/>
    <col min="8722" max="8962" width="9.1796875" style="166"/>
    <col min="8963" max="8963" width="47.54296875" style="166" customWidth="1"/>
    <col min="8964" max="8964" width="29.54296875" style="166" customWidth="1"/>
    <col min="8965" max="8976" width="31" style="166" customWidth="1"/>
    <col min="8977" max="8977" width="8.81640625" style="166" customWidth="1"/>
    <col min="8978" max="9218" width="9.1796875" style="166"/>
    <col min="9219" max="9219" width="47.54296875" style="166" customWidth="1"/>
    <col min="9220" max="9220" width="29.54296875" style="166" customWidth="1"/>
    <col min="9221" max="9232" width="31" style="166" customWidth="1"/>
    <col min="9233" max="9233" width="8.81640625" style="166" customWidth="1"/>
    <col min="9234" max="9474" width="9.1796875" style="166"/>
    <col min="9475" max="9475" width="47.54296875" style="166" customWidth="1"/>
    <col min="9476" max="9476" width="29.54296875" style="166" customWidth="1"/>
    <col min="9477" max="9488" width="31" style="166" customWidth="1"/>
    <col min="9489" max="9489" width="8.81640625" style="166" customWidth="1"/>
    <col min="9490" max="9730" width="9.1796875" style="166"/>
    <col min="9731" max="9731" width="47.54296875" style="166" customWidth="1"/>
    <col min="9732" max="9732" width="29.54296875" style="166" customWidth="1"/>
    <col min="9733" max="9744" width="31" style="166" customWidth="1"/>
    <col min="9745" max="9745" width="8.81640625" style="166" customWidth="1"/>
    <col min="9746" max="9986" width="9.1796875" style="166"/>
    <col min="9987" max="9987" width="47.54296875" style="166" customWidth="1"/>
    <col min="9988" max="9988" width="29.54296875" style="166" customWidth="1"/>
    <col min="9989" max="10000" width="31" style="166" customWidth="1"/>
    <col min="10001" max="10001" width="8.81640625" style="166" customWidth="1"/>
    <col min="10002" max="10242" width="9.1796875" style="166"/>
    <col min="10243" max="10243" width="47.54296875" style="166" customWidth="1"/>
    <col min="10244" max="10244" width="29.54296875" style="166" customWidth="1"/>
    <col min="10245" max="10256" width="31" style="166" customWidth="1"/>
    <col min="10257" max="10257" width="8.81640625" style="166" customWidth="1"/>
    <col min="10258" max="10498" width="9.1796875" style="166"/>
    <col min="10499" max="10499" width="47.54296875" style="166" customWidth="1"/>
    <col min="10500" max="10500" width="29.54296875" style="166" customWidth="1"/>
    <col min="10501" max="10512" width="31" style="166" customWidth="1"/>
    <col min="10513" max="10513" width="8.81640625" style="166" customWidth="1"/>
    <col min="10514" max="10754" width="9.1796875" style="166"/>
    <col min="10755" max="10755" width="47.54296875" style="166" customWidth="1"/>
    <col min="10756" max="10756" width="29.54296875" style="166" customWidth="1"/>
    <col min="10757" max="10768" width="31" style="166" customWidth="1"/>
    <col min="10769" max="10769" width="8.81640625" style="166" customWidth="1"/>
    <col min="10770" max="11010" width="9.1796875" style="166"/>
    <col min="11011" max="11011" width="47.54296875" style="166" customWidth="1"/>
    <col min="11012" max="11012" width="29.54296875" style="166" customWidth="1"/>
    <col min="11013" max="11024" width="31" style="166" customWidth="1"/>
    <col min="11025" max="11025" width="8.81640625" style="166" customWidth="1"/>
    <col min="11026" max="11266" width="9.1796875" style="166"/>
    <col min="11267" max="11267" width="47.54296875" style="166" customWidth="1"/>
    <col min="11268" max="11268" width="29.54296875" style="166" customWidth="1"/>
    <col min="11269" max="11280" width="31" style="166" customWidth="1"/>
    <col min="11281" max="11281" width="8.81640625" style="166" customWidth="1"/>
    <col min="11282" max="11522" width="9.1796875" style="166"/>
    <col min="11523" max="11523" width="47.54296875" style="166" customWidth="1"/>
    <col min="11524" max="11524" width="29.54296875" style="166" customWidth="1"/>
    <col min="11525" max="11536" width="31" style="166" customWidth="1"/>
    <col min="11537" max="11537" width="8.81640625" style="166" customWidth="1"/>
    <col min="11538" max="11778" width="9.1796875" style="166"/>
    <col min="11779" max="11779" width="47.54296875" style="166" customWidth="1"/>
    <col min="11780" max="11780" width="29.54296875" style="166" customWidth="1"/>
    <col min="11781" max="11792" width="31" style="166" customWidth="1"/>
    <col min="11793" max="11793" width="8.81640625" style="166" customWidth="1"/>
    <col min="11794" max="12034" width="9.1796875" style="166"/>
    <col min="12035" max="12035" width="47.54296875" style="166" customWidth="1"/>
    <col min="12036" max="12036" width="29.54296875" style="166" customWidth="1"/>
    <col min="12037" max="12048" width="31" style="166" customWidth="1"/>
    <col min="12049" max="12049" width="8.81640625" style="166" customWidth="1"/>
    <col min="12050" max="12290" width="9.1796875" style="166"/>
    <col min="12291" max="12291" width="47.54296875" style="166" customWidth="1"/>
    <col min="12292" max="12292" width="29.54296875" style="166" customWidth="1"/>
    <col min="12293" max="12304" width="31" style="166" customWidth="1"/>
    <col min="12305" max="12305" width="8.81640625" style="166" customWidth="1"/>
    <col min="12306" max="12546" width="9.1796875" style="166"/>
    <col min="12547" max="12547" width="47.54296875" style="166" customWidth="1"/>
    <col min="12548" max="12548" width="29.54296875" style="166" customWidth="1"/>
    <col min="12549" max="12560" width="31" style="166" customWidth="1"/>
    <col min="12561" max="12561" width="8.81640625" style="166" customWidth="1"/>
    <col min="12562" max="12802" width="9.1796875" style="166"/>
    <col min="12803" max="12803" width="47.54296875" style="166" customWidth="1"/>
    <col min="12804" max="12804" width="29.54296875" style="166" customWidth="1"/>
    <col min="12805" max="12816" width="31" style="166" customWidth="1"/>
    <col min="12817" max="12817" width="8.81640625" style="166" customWidth="1"/>
    <col min="12818" max="13058" width="9.1796875" style="166"/>
    <col min="13059" max="13059" width="47.54296875" style="166" customWidth="1"/>
    <col min="13060" max="13060" width="29.54296875" style="166" customWidth="1"/>
    <col min="13061" max="13072" width="31" style="166" customWidth="1"/>
    <col min="13073" max="13073" width="8.81640625" style="166" customWidth="1"/>
    <col min="13074" max="13314" width="9.1796875" style="166"/>
    <col min="13315" max="13315" width="47.54296875" style="166" customWidth="1"/>
    <col min="13316" max="13316" width="29.54296875" style="166" customWidth="1"/>
    <col min="13317" max="13328" width="31" style="166" customWidth="1"/>
    <col min="13329" max="13329" width="8.81640625" style="166" customWidth="1"/>
    <col min="13330" max="13570" width="9.1796875" style="166"/>
    <col min="13571" max="13571" width="47.54296875" style="166" customWidth="1"/>
    <col min="13572" max="13572" width="29.54296875" style="166" customWidth="1"/>
    <col min="13573" max="13584" width="31" style="166" customWidth="1"/>
    <col min="13585" max="13585" width="8.81640625" style="166" customWidth="1"/>
    <col min="13586" max="13826" width="9.1796875" style="166"/>
    <col min="13827" max="13827" width="47.54296875" style="166" customWidth="1"/>
    <col min="13828" max="13828" width="29.54296875" style="166" customWidth="1"/>
    <col min="13829" max="13840" width="31" style="166" customWidth="1"/>
    <col min="13841" max="13841" width="8.81640625" style="166" customWidth="1"/>
    <col min="13842" max="14082" width="9.1796875" style="166"/>
    <col min="14083" max="14083" width="47.54296875" style="166" customWidth="1"/>
    <col min="14084" max="14084" width="29.54296875" style="166" customWidth="1"/>
    <col min="14085" max="14096" width="31" style="166" customWidth="1"/>
    <col min="14097" max="14097" width="8.81640625" style="166" customWidth="1"/>
    <col min="14098" max="14338" width="9.1796875" style="166"/>
    <col min="14339" max="14339" width="47.54296875" style="166" customWidth="1"/>
    <col min="14340" max="14340" width="29.54296875" style="166" customWidth="1"/>
    <col min="14341" max="14352" width="31" style="166" customWidth="1"/>
    <col min="14353" max="14353" width="8.81640625" style="166" customWidth="1"/>
    <col min="14354" max="14594" width="9.1796875" style="166"/>
    <col min="14595" max="14595" width="47.54296875" style="166" customWidth="1"/>
    <col min="14596" max="14596" width="29.54296875" style="166" customWidth="1"/>
    <col min="14597" max="14608" width="31" style="166" customWidth="1"/>
    <col min="14609" max="14609" width="8.81640625" style="166" customWidth="1"/>
    <col min="14610" max="14850" width="9.1796875" style="166"/>
    <col min="14851" max="14851" width="47.54296875" style="166" customWidth="1"/>
    <col min="14852" max="14852" width="29.54296875" style="166" customWidth="1"/>
    <col min="14853" max="14864" width="31" style="166" customWidth="1"/>
    <col min="14865" max="14865" width="8.81640625" style="166" customWidth="1"/>
    <col min="14866" max="15106" width="9.1796875" style="166"/>
    <col min="15107" max="15107" width="47.54296875" style="166" customWidth="1"/>
    <col min="15108" max="15108" width="29.54296875" style="166" customWidth="1"/>
    <col min="15109" max="15120" width="31" style="166" customWidth="1"/>
    <col min="15121" max="15121" width="8.81640625" style="166" customWidth="1"/>
    <col min="15122" max="15362" width="9.1796875" style="166"/>
    <col min="15363" max="15363" width="47.54296875" style="166" customWidth="1"/>
    <col min="15364" max="15364" width="29.54296875" style="166" customWidth="1"/>
    <col min="15365" max="15376" width="31" style="166" customWidth="1"/>
    <col min="15377" max="15377" width="8.81640625" style="166" customWidth="1"/>
    <col min="15378" max="15618" width="9.1796875" style="166"/>
    <col min="15619" max="15619" width="47.54296875" style="166" customWidth="1"/>
    <col min="15620" max="15620" width="29.54296875" style="166" customWidth="1"/>
    <col min="15621" max="15632" width="31" style="166" customWidth="1"/>
    <col min="15633" max="15633" width="8.81640625" style="166" customWidth="1"/>
    <col min="15634" max="15874" width="9.1796875" style="166"/>
    <col min="15875" max="15875" width="47.54296875" style="166" customWidth="1"/>
    <col min="15876" max="15876" width="29.54296875" style="166" customWidth="1"/>
    <col min="15877" max="15888" width="31" style="166" customWidth="1"/>
    <col min="15889" max="15889" width="8.81640625" style="166" customWidth="1"/>
    <col min="15890" max="16130" width="9.1796875" style="166"/>
    <col min="16131" max="16131" width="47.54296875" style="166" customWidth="1"/>
    <col min="16132" max="16132" width="29.54296875" style="166" customWidth="1"/>
    <col min="16133" max="16144" width="31" style="166" customWidth="1"/>
    <col min="16145" max="16145" width="8.81640625" style="166" customWidth="1"/>
    <col min="16146" max="16384" width="9.1796875" style="166"/>
  </cols>
  <sheetData>
    <row r="1" spans="1:13" ht="20.149999999999999" customHeight="1" thickBot="1" x14ac:dyDescent="0.3">
      <c r="A1" s="1182" t="s">
        <v>430</v>
      </c>
      <c r="B1" s="1183"/>
      <c r="C1" s="1183"/>
      <c r="D1" s="1183"/>
      <c r="E1" s="1183"/>
      <c r="F1" s="1183"/>
      <c r="G1" s="1184"/>
      <c r="H1" s="928"/>
      <c r="I1" s="291"/>
      <c r="J1" s="203" t="str">
        <f>+TITELBLAD!C10</f>
        <v>elektriciteit</v>
      </c>
      <c r="K1" s="291"/>
      <c r="L1" s="291"/>
      <c r="M1" s="291"/>
    </row>
    <row r="2" spans="1:13" x14ac:dyDescent="0.25">
      <c r="I2" s="291"/>
      <c r="J2" s="291"/>
      <c r="K2" s="291"/>
      <c r="L2" s="291"/>
      <c r="M2" s="291"/>
    </row>
    <row r="3" spans="1:13" ht="13" x14ac:dyDescent="0.25">
      <c r="B3" s="291"/>
      <c r="C3" s="884" t="s">
        <v>300</v>
      </c>
      <c r="D3" s="884" t="s">
        <v>301</v>
      </c>
      <c r="I3" s="291"/>
      <c r="J3" s="291"/>
      <c r="K3" s="291"/>
      <c r="L3" s="291"/>
      <c r="M3" s="291"/>
    </row>
    <row r="4" spans="1:13" ht="13" x14ac:dyDescent="0.25">
      <c r="A4" s="353" t="s">
        <v>435</v>
      </c>
      <c r="B4" s="895">
        <f>+TITELBLAD!E16</f>
        <v>2022</v>
      </c>
      <c r="C4" s="896">
        <f>-G42</f>
        <v>0</v>
      </c>
      <c r="D4" s="896">
        <f>-G75</f>
        <v>0</v>
      </c>
      <c r="E4" s="897"/>
      <c r="I4" s="291"/>
      <c r="J4" s="291"/>
      <c r="K4" s="291"/>
      <c r="L4" s="291"/>
      <c r="M4" s="291"/>
    </row>
    <row r="5" spans="1:13" x14ac:dyDescent="0.25">
      <c r="D5" s="897"/>
      <c r="E5" s="897"/>
      <c r="I5" s="291"/>
      <c r="J5" s="291"/>
      <c r="K5" s="291"/>
      <c r="L5" s="291"/>
      <c r="M5" s="291"/>
    </row>
    <row r="6" spans="1:13" x14ac:dyDescent="0.25">
      <c r="I6" s="291"/>
      <c r="J6" s="291"/>
      <c r="K6" s="291"/>
      <c r="L6" s="291"/>
      <c r="M6" s="291"/>
    </row>
    <row r="7" spans="1:13" x14ac:dyDescent="0.25">
      <c r="I7" s="291"/>
      <c r="J7" s="291"/>
      <c r="K7" s="291"/>
      <c r="L7" s="291"/>
      <c r="M7" s="291"/>
    </row>
    <row r="8" spans="1:13" ht="13" x14ac:dyDescent="0.25">
      <c r="A8" s="353" t="s">
        <v>262</v>
      </c>
      <c r="I8" s="291"/>
      <c r="J8" s="291"/>
      <c r="K8" s="291"/>
      <c r="L8" s="291"/>
      <c r="M8" s="291"/>
    </row>
    <row r="9" spans="1:13" ht="13" x14ac:dyDescent="0.25">
      <c r="A9" s="216" t="s">
        <v>263</v>
      </c>
      <c r="I9" s="291"/>
      <c r="J9" s="291"/>
      <c r="K9" s="291"/>
      <c r="L9" s="291"/>
      <c r="M9" s="291"/>
    </row>
    <row r="10" spans="1:13" ht="13" x14ac:dyDescent="0.25">
      <c r="A10" s="898" t="s">
        <v>264</v>
      </c>
      <c r="I10" s="291"/>
      <c r="J10" s="291"/>
      <c r="K10" s="291"/>
      <c r="L10" s="291"/>
      <c r="M10" s="291"/>
    </row>
    <row r="11" spans="1:13" ht="13" x14ac:dyDescent="0.25">
      <c r="A11" s="898" t="s">
        <v>265</v>
      </c>
      <c r="I11" s="291"/>
      <c r="J11" s="291"/>
      <c r="K11" s="291"/>
      <c r="L11" s="291"/>
      <c r="M11" s="291"/>
    </row>
    <row r="12" spans="1:13" ht="13" x14ac:dyDescent="0.25">
      <c r="A12" s="898"/>
      <c r="I12" s="291"/>
      <c r="J12" s="291"/>
      <c r="K12" s="291"/>
      <c r="L12" s="291"/>
      <c r="M12" s="291"/>
    </row>
    <row r="13" spans="1:13" ht="13.5" thickBot="1" x14ac:dyDescent="0.3">
      <c r="A13" s="898"/>
    </row>
    <row r="14" spans="1:13" ht="18" customHeight="1" thickBot="1" x14ac:dyDescent="0.3">
      <c r="A14" s="1189" t="str">
        <f>"BUDGET "&amp;B4</f>
        <v>BUDGET 2022</v>
      </c>
      <c r="B14" s="1190"/>
      <c r="C14" s="1190"/>
      <c r="D14" s="1190"/>
      <c r="E14" s="1190"/>
      <c r="F14" s="1190"/>
      <c r="G14" s="1190"/>
      <c r="H14" s="1190"/>
      <c r="I14" s="1191"/>
    </row>
    <row r="15" spans="1:13" ht="58.5" customHeight="1" x14ac:dyDescent="0.25">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historische indexatie einde boekjaar "&amp;B4</f>
        <v>Nettoboekwaarde meerwaarde op basis van historische indexatie einde boekjaar 2022</v>
      </c>
    </row>
    <row r="16" spans="1:13" ht="13.5" thickBot="1" x14ac:dyDescent="0.3">
      <c r="A16" s="902"/>
      <c r="B16" s="903"/>
      <c r="C16" s="904" t="s">
        <v>4</v>
      </c>
      <c r="D16" s="904" t="s">
        <v>8</v>
      </c>
      <c r="E16" s="904"/>
      <c r="F16" s="904" t="s">
        <v>4</v>
      </c>
      <c r="G16" s="904" t="s">
        <v>8</v>
      </c>
      <c r="H16" s="904" t="s">
        <v>8</v>
      </c>
      <c r="I16" s="905"/>
    </row>
    <row r="17" spans="1:9" x14ac:dyDescent="0.25">
      <c r="A17" s="906" t="s">
        <v>267</v>
      </c>
      <c r="B17" s="1186">
        <v>0.02</v>
      </c>
      <c r="C17" s="611">
        <v>0</v>
      </c>
      <c r="D17" s="611">
        <v>0</v>
      </c>
      <c r="E17" s="907">
        <f t="shared" ref="E17:E36" si="0">+C17+D17</f>
        <v>0</v>
      </c>
      <c r="F17" s="611">
        <v>0</v>
      </c>
      <c r="G17" s="611">
        <v>0</v>
      </c>
      <c r="H17" s="611">
        <v>0</v>
      </c>
      <c r="I17" s="908">
        <f>+SUM(E17:H17)</f>
        <v>0</v>
      </c>
    </row>
    <row r="18" spans="1:9" x14ac:dyDescent="0.25">
      <c r="A18" s="909" t="s">
        <v>268</v>
      </c>
      <c r="B18" s="1187"/>
      <c r="C18" s="612">
        <v>0</v>
      </c>
      <c r="D18" s="612">
        <v>0</v>
      </c>
      <c r="E18" s="910">
        <f t="shared" si="0"/>
        <v>0</v>
      </c>
      <c r="F18" s="612">
        <v>0</v>
      </c>
      <c r="G18" s="612">
        <v>0</v>
      </c>
      <c r="H18" s="612">
        <v>0</v>
      </c>
      <c r="I18" s="911">
        <f t="shared" ref="I18:I40" si="1">+SUM(E18:H18)</f>
        <v>0</v>
      </c>
    </row>
    <row r="19" spans="1:9" x14ac:dyDescent="0.25">
      <c r="A19" s="909" t="s">
        <v>269</v>
      </c>
      <c r="B19" s="1187"/>
      <c r="C19" s="612">
        <v>0</v>
      </c>
      <c r="D19" s="612">
        <v>0</v>
      </c>
      <c r="E19" s="910">
        <f t="shared" si="0"/>
        <v>0</v>
      </c>
      <c r="F19" s="612">
        <v>0</v>
      </c>
      <c r="G19" s="612">
        <v>0</v>
      </c>
      <c r="H19" s="612">
        <v>0</v>
      </c>
      <c r="I19" s="911">
        <f t="shared" si="1"/>
        <v>0</v>
      </c>
    </row>
    <row r="20" spans="1:9" x14ac:dyDescent="0.25">
      <c r="A20" s="909" t="s">
        <v>302</v>
      </c>
      <c r="B20" s="1187"/>
      <c r="C20" s="612">
        <v>0</v>
      </c>
      <c r="D20" s="612">
        <v>0</v>
      </c>
      <c r="E20" s="910">
        <f t="shared" si="0"/>
        <v>0</v>
      </c>
      <c r="F20" s="612">
        <v>0</v>
      </c>
      <c r="G20" s="612">
        <v>0</v>
      </c>
      <c r="H20" s="612">
        <v>0</v>
      </c>
      <c r="I20" s="911">
        <f t="shared" si="1"/>
        <v>0</v>
      </c>
    </row>
    <row r="21" spans="1:9" x14ac:dyDescent="0.25">
      <c r="A21" s="909" t="s">
        <v>303</v>
      </c>
      <c r="B21" s="1187"/>
      <c r="C21" s="612">
        <v>0</v>
      </c>
      <c r="D21" s="612">
        <v>0</v>
      </c>
      <c r="E21" s="910">
        <f t="shared" si="0"/>
        <v>0</v>
      </c>
      <c r="F21" s="612">
        <v>0</v>
      </c>
      <c r="G21" s="612">
        <v>0</v>
      </c>
      <c r="H21" s="612">
        <v>0</v>
      </c>
      <c r="I21" s="911">
        <f t="shared" si="1"/>
        <v>0</v>
      </c>
    </row>
    <row r="22" spans="1:9" x14ac:dyDescent="0.25">
      <c r="A22" s="909" t="s">
        <v>304</v>
      </c>
      <c r="B22" s="1187"/>
      <c r="C22" s="612">
        <v>0</v>
      </c>
      <c r="D22" s="612">
        <v>0</v>
      </c>
      <c r="E22" s="910">
        <f t="shared" si="0"/>
        <v>0</v>
      </c>
      <c r="F22" s="612">
        <v>0</v>
      </c>
      <c r="G22" s="612">
        <v>0</v>
      </c>
      <c r="H22" s="612">
        <v>0</v>
      </c>
      <c r="I22" s="911">
        <f t="shared" si="1"/>
        <v>0</v>
      </c>
    </row>
    <row r="23" spans="1:9" x14ac:dyDescent="0.25">
      <c r="A23" s="909" t="s">
        <v>305</v>
      </c>
      <c r="B23" s="1187"/>
      <c r="C23" s="612">
        <v>0</v>
      </c>
      <c r="D23" s="612">
        <v>0</v>
      </c>
      <c r="E23" s="910">
        <f t="shared" si="0"/>
        <v>0</v>
      </c>
      <c r="F23" s="612">
        <v>0</v>
      </c>
      <c r="G23" s="612">
        <v>0</v>
      </c>
      <c r="H23" s="612">
        <v>0</v>
      </c>
      <c r="I23" s="911">
        <f t="shared" si="1"/>
        <v>0</v>
      </c>
    </row>
    <row r="24" spans="1:9" x14ac:dyDescent="0.25">
      <c r="A24" s="909" t="s">
        <v>276</v>
      </c>
      <c r="B24" s="1187"/>
      <c r="C24" s="612">
        <v>0</v>
      </c>
      <c r="D24" s="612">
        <v>0</v>
      </c>
      <c r="E24" s="910">
        <f>+C24+D24</f>
        <v>0</v>
      </c>
      <c r="F24" s="612">
        <v>0</v>
      </c>
      <c r="G24" s="612">
        <v>0</v>
      </c>
      <c r="H24" s="612">
        <v>0</v>
      </c>
      <c r="I24" s="911">
        <f t="shared" si="1"/>
        <v>0</v>
      </c>
    </row>
    <row r="25" spans="1:9" x14ac:dyDescent="0.25">
      <c r="A25" s="909" t="s">
        <v>306</v>
      </c>
      <c r="B25" s="1187"/>
      <c r="C25" s="612">
        <v>0</v>
      </c>
      <c r="D25" s="612">
        <v>0</v>
      </c>
      <c r="E25" s="910">
        <f t="shared" si="0"/>
        <v>0</v>
      </c>
      <c r="F25" s="612">
        <v>0</v>
      </c>
      <c r="G25" s="612">
        <v>0</v>
      </c>
      <c r="H25" s="612">
        <v>0</v>
      </c>
      <c r="I25" s="911">
        <f t="shared" si="1"/>
        <v>0</v>
      </c>
    </row>
    <row r="26" spans="1:9" x14ac:dyDescent="0.25">
      <c r="A26" s="909" t="s">
        <v>307</v>
      </c>
      <c r="B26" s="1187"/>
      <c r="C26" s="612">
        <v>0</v>
      </c>
      <c r="D26" s="612">
        <v>0</v>
      </c>
      <c r="E26" s="910">
        <f t="shared" si="0"/>
        <v>0</v>
      </c>
      <c r="F26" s="612">
        <v>0</v>
      </c>
      <c r="G26" s="612">
        <v>0</v>
      </c>
      <c r="H26" s="612">
        <v>0</v>
      </c>
      <c r="I26" s="911">
        <f t="shared" si="1"/>
        <v>0</v>
      </c>
    </row>
    <row r="27" spans="1:9" x14ac:dyDescent="0.25">
      <c r="A27" s="909" t="s">
        <v>308</v>
      </c>
      <c r="B27" s="1187"/>
      <c r="C27" s="612">
        <v>0</v>
      </c>
      <c r="D27" s="612">
        <v>0</v>
      </c>
      <c r="E27" s="910">
        <f t="shared" si="0"/>
        <v>0</v>
      </c>
      <c r="F27" s="612">
        <v>0</v>
      </c>
      <c r="G27" s="612">
        <v>0</v>
      </c>
      <c r="H27" s="612">
        <v>0</v>
      </c>
      <c r="I27" s="911">
        <f t="shared" si="1"/>
        <v>0</v>
      </c>
    </row>
    <row r="28" spans="1:9" x14ac:dyDescent="0.25">
      <c r="A28" s="909" t="s">
        <v>309</v>
      </c>
      <c r="B28" s="1187"/>
      <c r="C28" s="612">
        <v>0</v>
      </c>
      <c r="D28" s="612">
        <v>0</v>
      </c>
      <c r="E28" s="910">
        <f t="shared" si="0"/>
        <v>0</v>
      </c>
      <c r="F28" s="612">
        <v>0</v>
      </c>
      <c r="G28" s="612">
        <v>0</v>
      </c>
      <c r="H28" s="612">
        <v>0</v>
      </c>
      <c r="I28" s="911">
        <f t="shared" si="1"/>
        <v>0</v>
      </c>
    </row>
    <row r="29" spans="1:9" x14ac:dyDescent="0.25">
      <c r="A29" s="909" t="s">
        <v>281</v>
      </c>
      <c r="B29" s="1187"/>
      <c r="C29" s="612">
        <v>0</v>
      </c>
      <c r="D29" s="612">
        <v>0</v>
      </c>
      <c r="E29" s="910">
        <f t="shared" si="0"/>
        <v>0</v>
      </c>
      <c r="F29" s="612">
        <v>0</v>
      </c>
      <c r="G29" s="612">
        <v>0</v>
      </c>
      <c r="H29" s="612">
        <v>0</v>
      </c>
      <c r="I29" s="911">
        <f t="shared" si="1"/>
        <v>0</v>
      </c>
    </row>
    <row r="30" spans="1:9" x14ac:dyDescent="0.25">
      <c r="A30" s="909" t="s">
        <v>298</v>
      </c>
      <c r="B30" s="1187"/>
      <c r="C30" s="612">
        <v>0</v>
      </c>
      <c r="D30" s="612">
        <v>0</v>
      </c>
      <c r="E30" s="910">
        <f t="shared" ref="E30" si="2">+C30+D30</f>
        <v>0</v>
      </c>
      <c r="F30" s="612">
        <v>0</v>
      </c>
      <c r="G30" s="612">
        <v>0</v>
      </c>
      <c r="H30" s="612">
        <v>0</v>
      </c>
      <c r="I30" s="911">
        <f t="shared" ref="I30" si="3">+SUM(E30:H30)</f>
        <v>0</v>
      </c>
    </row>
    <row r="31" spans="1:9" x14ac:dyDescent="0.25">
      <c r="A31" s="909" t="s">
        <v>282</v>
      </c>
      <c r="B31" s="1187"/>
      <c r="C31" s="612">
        <v>0</v>
      </c>
      <c r="D31" s="612">
        <v>0</v>
      </c>
      <c r="E31" s="910">
        <f t="shared" si="0"/>
        <v>0</v>
      </c>
      <c r="F31" s="612">
        <v>0</v>
      </c>
      <c r="G31" s="612">
        <v>0</v>
      </c>
      <c r="H31" s="612">
        <v>0</v>
      </c>
      <c r="I31" s="911">
        <f t="shared" si="1"/>
        <v>0</v>
      </c>
    </row>
    <row r="32" spans="1:9" x14ac:dyDescent="0.25">
      <c r="A32" s="909" t="s">
        <v>283</v>
      </c>
      <c r="B32" s="1187"/>
      <c r="C32" s="612">
        <v>0</v>
      </c>
      <c r="D32" s="612">
        <v>0</v>
      </c>
      <c r="E32" s="910">
        <f t="shared" si="0"/>
        <v>0</v>
      </c>
      <c r="F32" s="612">
        <v>0</v>
      </c>
      <c r="G32" s="612">
        <v>0</v>
      </c>
      <c r="H32" s="612">
        <v>0</v>
      </c>
      <c r="I32" s="911">
        <f t="shared" si="1"/>
        <v>0</v>
      </c>
    </row>
    <row r="33" spans="1:9" x14ac:dyDescent="0.25">
      <c r="A33" s="909" t="s">
        <v>284</v>
      </c>
      <c r="B33" s="1187"/>
      <c r="C33" s="612">
        <v>0</v>
      </c>
      <c r="D33" s="612">
        <v>0</v>
      </c>
      <c r="E33" s="910">
        <f t="shared" si="0"/>
        <v>0</v>
      </c>
      <c r="F33" s="612">
        <v>0</v>
      </c>
      <c r="G33" s="612">
        <v>0</v>
      </c>
      <c r="H33" s="612">
        <v>0</v>
      </c>
      <c r="I33" s="911">
        <f t="shared" si="1"/>
        <v>0</v>
      </c>
    </row>
    <row r="34" spans="1:9" x14ac:dyDescent="0.25">
      <c r="A34" s="909" t="s">
        <v>310</v>
      </c>
      <c r="B34" s="1187"/>
      <c r="C34" s="612">
        <v>0</v>
      </c>
      <c r="D34" s="612">
        <v>0</v>
      </c>
      <c r="E34" s="910">
        <f t="shared" si="0"/>
        <v>0</v>
      </c>
      <c r="F34" s="612">
        <v>0</v>
      </c>
      <c r="G34" s="612">
        <v>0</v>
      </c>
      <c r="H34" s="612">
        <v>0</v>
      </c>
      <c r="I34" s="911">
        <f t="shared" si="1"/>
        <v>0</v>
      </c>
    </row>
    <row r="35" spans="1:9" x14ac:dyDescent="0.25">
      <c r="A35" s="909" t="s">
        <v>286</v>
      </c>
      <c r="B35" s="1187"/>
      <c r="C35" s="612">
        <v>0</v>
      </c>
      <c r="D35" s="612">
        <v>0</v>
      </c>
      <c r="E35" s="910">
        <f t="shared" si="0"/>
        <v>0</v>
      </c>
      <c r="F35" s="612">
        <v>0</v>
      </c>
      <c r="G35" s="612">
        <v>0</v>
      </c>
      <c r="H35" s="612">
        <v>0</v>
      </c>
      <c r="I35" s="911">
        <f t="shared" si="1"/>
        <v>0</v>
      </c>
    </row>
    <row r="36" spans="1:9" x14ac:dyDescent="0.25">
      <c r="A36" s="909" t="s">
        <v>287</v>
      </c>
      <c r="B36" s="1187"/>
      <c r="C36" s="612">
        <v>0</v>
      </c>
      <c r="D36" s="612">
        <v>0</v>
      </c>
      <c r="E36" s="910">
        <f t="shared" si="0"/>
        <v>0</v>
      </c>
      <c r="F36" s="612">
        <v>0</v>
      </c>
      <c r="G36" s="612">
        <v>0</v>
      </c>
      <c r="H36" s="612">
        <v>0</v>
      </c>
      <c r="I36" s="911">
        <f t="shared" si="1"/>
        <v>0</v>
      </c>
    </row>
    <row r="37" spans="1:9" x14ac:dyDescent="0.25">
      <c r="A37" s="929" t="s">
        <v>288</v>
      </c>
      <c r="B37" s="1187"/>
      <c r="C37" s="616">
        <v>0</v>
      </c>
      <c r="D37" s="616">
        <v>0</v>
      </c>
      <c r="E37" s="930">
        <f>+C37+D37</f>
        <v>0</v>
      </c>
      <c r="F37" s="616">
        <v>0</v>
      </c>
      <c r="G37" s="616">
        <v>0</v>
      </c>
      <c r="H37" s="616">
        <v>0</v>
      </c>
      <c r="I37" s="931">
        <f t="shared" si="1"/>
        <v>0</v>
      </c>
    </row>
    <row r="38" spans="1:9" x14ac:dyDescent="0.25">
      <c r="A38" s="909" t="s">
        <v>290</v>
      </c>
      <c r="B38" s="1187"/>
      <c r="C38" s="616">
        <v>0</v>
      </c>
      <c r="D38" s="616">
        <v>0</v>
      </c>
      <c r="E38" s="930">
        <f>+C38+D38</f>
        <v>0</v>
      </c>
      <c r="F38" s="616">
        <v>0</v>
      </c>
      <c r="G38" s="616">
        <v>0</v>
      </c>
      <c r="H38" s="616">
        <v>0</v>
      </c>
      <c r="I38" s="931">
        <f t="shared" si="1"/>
        <v>0</v>
      </c>
    </row>
    <row r="39" spans="1:9" x14ac:dyDescent="0.25">
      <c r="A39" s="929" t="s">
        <v>293</v>
      </c>
      <c r="B39" s="1187"/>
      <c r="C39" s="616">
        <v>0</v>
      </c>
      <c r="D39" s="616">
        <v>0</v>
      </c>
      <c r="E39" s="930">
        <f>+C39+D39</f>
        <v>0</v>
      </c>
      <c r="F39" s="616">
        <v>0</v>
      </c>
      <c r="G39" s="616">
        <v>0</v>
      </c>
      <c r="H39" s="616">
        <v>0</v>
      </c>
      <c r="I39" s="931">
        <f t="shared" si="1"/>
        <v>0</v>
      </c>
    </row>
    <row r="40" spans="1:9" ht="13" thickBot="1" x14ac:dyDescent="0.3">
      <c r="A40" s="932" t="s">
        <v>295</v>
      </c>
      <c r="B40" s="1188"/>
      <c r="C40" s="617">
        <v>0</v>
      </c>
      <c r="D40" s="617">
        <v>0</v>
      </c>
      <c r="E40" s="933">
        <f>+C40+D40</f>
        <v>0</v>
      </c>
      <c r="F40" s="617">
        <v>0</v>
      </c>
      <c r="G40" s="617">
        <v>0</v>
      </c>
      <c r="H40" s="617">
        <v>0</v>
      </c>
      <c r="I40" s="934">
        <f t="shared" si="1"/>
        <v>0</v>
      </c>
    </row>
    <row r="41" spans="1:9" ht="13" x14ac:dyDescent="0.25">
      <c r="A41" s="915"/>
      <c r="B41" s="916"/>
      <c r="C41" s="935"/>
      <c r="D41" s="935"/>
      <c r="E41" s="935"/>
      <c r="F41" s="935"/>
      <c r="G41" s="935"/>
      <c r="H41" s="935"/>
      <c r="I41" s="935"/>
    </row>
    <row r="42" spans="1:9" ht="13" x14ac:dyDescent="0.25">
      <c r="A42" s="915" t="s">
        <v>296</v>
      </c>
      <c r="B42" s="916"/>
      <c r="C42" s="918">
        <f t="shared" ref="C42:I42" si="4">SUM(C17:C40)</f>
        <v>0</v>
      </c>
      <c r="D42" s="918">
        <f t="shared" si="4"/>
        <v>0</v>
      </c>
      <c r="E42" s="918">
        <f t="shared" si="4"/>
        <v>0</v>
      </c>
      <c r="F42" s="918">
        <f t="shared" ref="F42" si="5">SUM(F17:F40)</f>
        <v>0</v>
      </c>
      <c r="G42" s="918">
        <f t="shared" si="4"/>
        <v>0</v>
      </c>
      <c r="H42" s="918">
        <f t="shared" si="4"/>
        <v>0</v>
      </c>
      <c r="I42" s="918">
        <f t="shared" si="4"/>
        <v>0</v>
      </c>
    </row>
    <row r="43" spans="1:9" ht="13.5" thickBot="1" x14ac:dyDescent="0.3">
      <c r="A43" s="919"/>
      <c r="B43" s="920"/>
      <c r="C43" s="921"/>
      <c r="D43" s="921"/>
      <c r="E43" s="921"/>
      <c r="F43" s="921"/>
      <c r="G43" s="921"/>
      <c r="H43" s="921"/>
      <c r="I43" s="922"/>
    </row>
    <row r="46" spans="1:9" ht="13" thickBot="1" x14ac:dyDescent="0.3"/>
    <row r="47" spans="1:9" ht="18" customHeight="1" thickBot="1" x14ac:dyDescent="0.3">
      <c r="A47" s="1189" t="str">
        <f>"REALITEIT "&amp;B4</f>
        <v>REALITEIT 2022</v>
      </c>
      <c r="B47" s="1190"/>
      <c r="C47" s="1190"/>
      <c r="D47" s="1190"/>
      <c r="E47" s="1190"/>
      <c r="F47" s="1190"/>
      <c r="G47" s="1190"/>
      <c r="H47" s="1190"/>
      <c r="I47" s="1191"/>
    </row>
    <row r="48" spans="1:9" ht="58.5" customHeight="1" x14ac:dyDescent="0.25">
      <c r="A48" s="899" t="s">
        <v>266</v>
      </c>
      <c r="B48" s="900" t="s">
        <v>297</v>
      </c>
      <c r="C48" s="901" t="str">
        <f>"Oorspronkelijke meerwaarde op basis van historische indexatie voor activa einde boekjaar "&amp;B4-1</f>
        <v>Oorspronkelijke meerwaarde op basis van historische indexatie voor activa einde boekjaar 2021</v>
      </c>
      <c r="D48" s="901" t="str">
        <f>"Gecumuleerde afschrijvingen activa einde boekjaar "&amp; B4-1</f>
        <v>Gecumuleerde afschrijvingen activa einde boekjaar 2021</v>
      </c>
      <c r="E48" s="901" t="str">
        <f>"Nettoboekwaarde meerwaarde op basis van historische indexatie einde boekjaar "&amp; B4-1</f>
        <v>Nettoboekwaarde meerwaarde op basis van historische indexatie einde boekjaar 2021</v>
      </c>
      <c r="F48" s="901" t="str">
        <f>"Transfers boekjaar "&amp;B4</f>
        <v>Transfers boekjaar 2022</v>
      </c>
      <c r="G48" s="901" t="str">
        <f>"Afschrijvingen boekjaar "&amp;B4</f>
        <v>Afschrijvingen boekjaar 2022</v>
      </c>
      <c r="H48" s="901" t="str">
        <f>"Desinvesteringen boekjaar "&amp;B4&amp;" (n.a.v. verkoop of structuurwijziging)"</f>
        <v>Desinvesteringen boekjaar 2022 (n.a.v. verkoop of structuurwijziging)</v>
      </c>
      <c r="I48" s="901" t="str">
        <f>"Nettoboekwaarde meerwaarde op basis van historische indexatie einde boekjaar "&amp;B4</f>
        <v>Nettoboekwaarde meerwaarde op basis van historische indexatie einde boekjaar 2022</v>
      </c>
    </row>
    <row r="49" spans="1:9" ht="13.5" thickBot="1" x14ac:dyDescent="0.3">
      <c r="A49" s="902"/>
      <c r="B49" s="903"/>
      <c r="C49" s="904" t="s">
        <v>4</v>
      </c>
      <c r="D49" s="904" t="s">
        <v>8</v>
      </c>
      <c r="E49" s="904"/>
      <c r="F49" s="904" t="s">
        <v>4</v>
      </c>
      <c r="G49" s="904" t="s">
        <v>8</v>
      </c>
      <c r="H49" s="904" t="s">
        <v>8</v>
      </c>
      <c r="I49" s="905"/>
    </row>
    <row r="50" spans="1:9" x14ac:dyDescent="0.25">
      <c r="A50" s="906" t="s">
        <v>267</v>
      </c>
      <c r="B50" s="1186">
        <v>0.02</v>
      </c>
      <c r="C50" s="611">
        <v>0</v>
      </c>
      <c r="D50" s="611">
        <v>0</v>
      </c>
      <c r="E50" s="907">
        <f t="shared" ref="E50:E56" si="6">+C50+D50</f>
        <v>0</v>
      </c>
      <c r="F50" s="611">
        <v>0</v>
      </c>
      <c r="G50" s="611">
        <v>0</v>
      </c>
      <c r="H50" s="611">
        <v>0</v>
      </c>
      <c r="I50" s="908">
        <f>+SUM(E50:H50)</f>
        <v>0</v>
      </c>
    </row>
    <row r="51" spans="1:9" x14ac:dyDescent="0.25">
      <c r="A51" s="909" t="s">
        <v>268</v>
      </c>
      <c r="B51" s="1187"/>
      <c r="C51" s="612">
        <v>0</v>
      </c>
      <c r="D51" s="612">
        <v>0</v>
      </c>
      <c r="E51" s="910">
        <f t="shared" si="6"/>
        <v>0</v>
      </c>
      <c r="F51" s="612">
        <v>0</v>
      </c>
      <c r="G51" s="612">
        <v>0</v>
      </c>
      <c r="H51" s="612">
        <v>0</v>
      </c>
      <c r="I51" s="911">
        <f t="shared" ref="I51:I73" si="7">+SUM(E51:H51)</f>
        <v>0</v>
      </c>
    </row>
    <row r="52" spans="1:9" x14ac:dyDescent="0.25">
      <c r="A52" s="909" t="s">
        <v>269</v>
      </c>
      <c r="B52" s="1187"/>
      <c r="C52" s="612">
        <v>0</v>
      </c>
      <c r="D52" s="612">
        <v>0</v>
      </c>
      <c r="E52" s="910">
        <f t="shared" si="6"/>
        <v>0</v>
      </c>
      <c r="F52" s="612">
        <v>0</v>
      </c>
      <c r="G52" s="612">
        <v>0</v>
      </c>
      <c r="H52" s="612">
        <v>0</v>
      </c>
      <c r="I52" s="911">
        <f t="shared" si="7"/>
        <v>0</v>
      </c>
    </row>
    <row r="53" spans="1:9" x14ac:dyDescent="0.25">
      <c r="A53" s="909" t="s">
        <v>302</v>
      </c>
      <c r="B53" s="1187"/>
      <c r="C53" s="612">
        <v>0</v>
      </c>
      <c r="D53" s="612">
        <v>0</v>
      </c>
      <c r="E53" s="910">
        <f t="shared" si="6"/>
        <v>0</v>
      </c>
      <c r="F53" s="612">
        <v>0</v>
      </c>
      <c r="G53" s="612">
        <v>0</v>
      </c>
      <c r="H53" s="612">
        <v>0</v>
      </c>
      <c r="I53" s="911">
        <f t="shared" si="7"/>
        <v>0</v>
      </c>
    </row>
    <row r="54" spans="1:9" x14ac:dyDescent="0.25">
      <c r="A54" s="909" t="s">
        <v>303</v>
      </c>
      <c r="B54" s="1187"/>
      <c r="C54" s="612">
        <v>0</v>
      </c>
      <c r="D54" s="612">
        <v>0</v>
      </c>
      <c r="E54" s="910">
        <f t="shared" si="6"/>
        <v>0</v>
      </c>
      <c r="F54" s="612">
        <v>0</v>
      </c>
      <c r="G54" s="612">
        <v>0</v>
      </c>
      <c r="H54" s="612">
        <v>0</v>
      </c>
      <c r="I54" s="911">
        <f t="shared" si="7"/>
        <v>0</v>
      </c>
    </row>
    <row r="55" spans="1:9" x14ac:dyDescent="0.25">
      <c r="A55" s="909" t="s">
        <v>304</v>
      </c>
      <c r="B55" s="1187"/>
      <c r="C55" s="612">
        <v>0</v>
      </c>
      <c r="D55" s="612">
        <v>0</v>
      </c>
      <c r="E55" s="910">
        <f t="shared" si="6"/>
        <v>0</v>
      </c>
      <c r="F55" s="612">
        <v>1</v>
      </c>
      <c r="G55" s="612">
        <v>0</v>
      </c>
      <c r="H55" s="612">
        <v>0</v>
      </c>
      <c r="I55" s="911">
        <f t="shared" si="7"/>
        <v>1</v>
      </c>
    </row>
    <row r="56" spans="1:9" x14ac:dyDescent="0.25">
      <c r="A56" s="909" t="s">
        <v>305</v>
      </c>
      <c r="B56" s="1187"/>
      <c r="C56" s="612">
        <v>0</v>
      </c>
      <c r="D56" s="612">
        <v>0</v>
      </c>
      <c r="E56" s="910">
        <f t="shared" si="6"/>
        <v>0</v>
      </c>
      <c r="F56" s="612">
        <v>0</v>
      </c>
      <c r="G56" s="612">
        <v>0</v>
      </c>
      <c r="H56" s="612">
        <v>0</v>
      </c>
      <c r="I56" s="911">
        <f t="shared" si="7"/>
        <v>0</v>
      </c>
    </row>
    <row r="57" spans="1:9" x14ac:dyDescent="0.25">
      <c r="A57" s="909" t="s">
        <v>276</v>
      </c>
      <c r="B57" s="1187"/>
      <c r="C57" s="612">
        <v>0</v>
      </c>
      <c r="D57" s="612">
        <v>0</v>
      </c>
      <c r="E57" s="910">
        <f>+C57+D57</f>
        <v>0</v>
      </c>
      <c r="F57" s="612">
        <v>0</v>
      </c>
      <c r="G57" s="612">
        <v>0</v>
      </c>
      <c r="H57" s="612">
        <v>0</v>
      </c>
      <c r="I57" s="911">
        <f t="shared" si="7"/>
        <v>0</v>
      </c>
    </row>
    <row r="58" spans="1:9" x14ac:dyDescent="0.25">
      <c r="A58" s="909" t="s">
        <v>306</v>
      </c>
      <c r="B58" s="1187"/>
      <c r="C58" s="612">
        <v>0</v>
      </c>
      <c r="D58" s="612">
        <v>0</v>
      </c>
      <c r="E58" s="910">
        <f t="shared" ref="E58:E69" si="8">+C58+D58</f>
        <v>0</v>
      </c>
      <c r="F58" s="612">
        <v>0</v>
      </c>
      <c r="G58" s="612">
        <v>0</v>
      </c>
      <c r="H58" s="612">
        <v>0</v>
      </c>
      <c r="I58" s="911">
        <f t="shared" si="7"/>
        <v>0</v>
      </c>
    </row>
    <row r="59" spans="1:9" x14ac:dyDescent="0.25">
      <c r="A59" s="909" t="s">
        <v>307</v>
      </c>
      <c r="B59" s="1187"/>
      <c r="C59" s="612">
        <v>0</v>
      </c>
      <c r="D59" s="612">
        <v>0</v>
      </c>
      <c r="E59" s="910">
        <f t="shared" si="8"/>
        <v>0</v>
      </c>
      <c r="F59" s="612">
        <v>0</v>
      </c>
      <c r="G59" s="612">
        <v>0</v>
      </c>
      <c r="H59" s="612">
        <v>0</v>
      </c>
      <c r="I59" s="911">
        <f t="shared" si="7"/>
        <v>0</v>
      </c>
    </row>
    <row r="60" spans="1:9" x14ac:dyDescent="0.25">
      <c r="A60" s="909" t="s">
        <v>308</v>
      </c>
      <c r="B60" s="1187"/>
      <c r="C60" s="612">
        <v>0</v>
      </c>
      <c r="D60" s="612">
        <v>0</v>
      </c>
      <c r="E60" s="910">
        <f t="shared" si="8"/>
        <v>0</v>
      </c>
      <c r="F60" s="612">
        <v>0</v>
      </c>
      <c r="G60" s="612">
        <v>0</v>
      </c>
      <c r="H60" s="612">
        <v>0</v>
      </c>
      <c r="I60" s="911">
        <f t="shared" si="7"/>
        <v>0</v>
      </c>
    </row>
    <row r="61" spans="1:9" x14ac:dyDescent="0.25">
      <c r="A61" s="909" t="s">
        <v>309</v>
      </c>
      <c r="B61" s="1187"/>
      <c r="C61" s="612">
        <v>0</v>
      </c>
      <c r="D61" s="612">
        <v>0</v>
      </c>
      <c r="E61" s="910">
        <f t="shared" si="8"/>
        <v>0</v>
      </c>
      <c r="F61" s="612">
        <v>0</v>
      </c>
      <c r="G61" s="612">
        <v>0</v>
      </c>
      <c r="H61" s="612">
        <v>0</v>
      </c>
      <c r="I61" s="911">
        <f t="shared" si="7"/>
        <v>0</v>
      </c>
    </row>
    <row r="62" spans="1:9" x14ac:dyDescent="0.25">
      <c r="A62" s="909" t="s">
        <v>281</v>
      </c>
      <c r="B62" s="1187"/>
      <c r="C62" s="612">
        <v>0</v>
      </c>
      <c r="D62" s="612">
        <v>0</v>
      </c>
      <c r="E62" s="910">
        <f t="shared" si="8"/>
        <v>0</v>
      </c>
      <c r="F62" s="612">
        <v>0</v>
      </c>
      <c r="G62" s="612">
        <v>0</v>
      </c>
      <c r="H62" s="612">
        <v>0</v>
      </c>
      <c r="I62" s="911">
        <f t="shared" si="7"/>
        <v>0</v>
      </c>
    </row>
    <row r="63" spans="1:9" x14ac:dyDescent="0.25">
      <c r="A63" s="909" t="s">
        <v>298</v>
      </c>
      <c r="B63" s="1187"/>
      <c r="C63" s="612">
        <v>0</v>
      </c>
      <c r="D63" s="612">
        <v>0</v>
      </c>
      <c r="E63" s="910">
        <f t="shared" si="8"/>
        <v>0</v>
      </c>
      <c r="F63" s="612">
        <v>0</v>
      </c>
      <c r="G63" s="612">
        <v>0</v>
      </c>
      <c r="H63" s="612">
        <v>0</v>
      </c>
      <c r="I63" s="911">
        <f t="shared" si="7"/>
        <v>0</v>
      </c>
    </row>
    <row r="64" spans="1:9" x14ac:dyDescent="0.25">
      <c r="A64" s="909" t="s">
        <v>282</v>
      </c>
      <c r="B64" s="1187"/>
      <c r="C64" s="612">
        <v>0</v>
      </c>
      <c r="D64" s="612">
        <v>0</v>
      </c>
      <c r="E64" s="910">
        <f t="shared" si="8"/>
        <v>0</v>
      </c>
      <c r="F64" s="612">
        <v>0</v>
      </c>
      <c r="G64" s="612">
        <v>0</v>
      </c>
      <c r="H64" s="612">
        <v>0</v>
      </c>
      <c r="I64" s="911">
        <f t="shared" si="7"/>
        <v>0</v>
      </c>
    </row>
    <row r="65" spans="1:9" x14ac:dyDescent="0.25">
      <c r="A65" s="909" t="s">
        <v>283</v>
      </c>
      <c r="B65" s="1187"/>
      <c r="C65" s="612">
        <v>0</v>
      </c>
      <c r="D65" s="612">
        <v>0</v>
      </c>
      <c r="E65" s="910">
        <f t="shared" si="8"/>
        <v>0</v>
      </c>
      <c r="F65" s="612">
        <v>0</v>
      </c>
      <c r="G65" s="612">
        <v>0</v>
      </c>
      <c r="H65" s="612">
        <v>0</v>
      </c>
      <c r="I65" s="911">
        <f t="shared" si="7"/>
        <v>0</v>
      </c>
    </row>
    <row r="66" spans="1:9" x14ac:dyDescent="0.25">
      <c r="A66" s="909" t="s">
        <v>284</v>
      </c>
      <c r="B66" s="1187"/>
      <c r="C66" s="612">
        <v>0</v>
      </c>
      <c r="D66" s="612">
        <v>0</v>
      </c>
      <c r="E66" s="910">
        <f t="shared" si="8"/>
        <v>0</v>
      </c>
      <c r="F66" s="612">
        <v>0</v>
      </c>
      <c r="G66" s="612">
        <v>0</v>
      </c>
      <c r="H66" s="612">
        <v>0</v>
      </c>
      <c r="I66" s="911">
        <f t="shared" si="7"/>
        <v>0</v>
      </c>
    </row>
    <row r="67" spans="1:9" x14ac:dyDescent="0.25">
      <c r="A67" s="909" t="s">
        <v>310</v>
      </c>
      <c r="B67" s="1187"/>
      <c r="C67" s="612">
        <v>0</v>
      </c>
      <c r="D67" s="612">
        <v>0</v>
      </c>
      <c r="E67" s="910">
        <f t="shared" si="8"/>
        <v>0</v>
      </c>
      <c r="F67" s="612">
        <v>0</v>
      </c>
      <c r="G67" s="612">
        <v>0</v>
      </c>
      <c r="H67" s="612">
        <v>0</v>
      </c>
      <c r="I67" s="911">
        <f t="shared" si="7"/>
        <v>0</v>
      </c>
    </row>
    <row r="68" spans="1:9" x14ac:dyDescent="0.25">
      <c r="A68" s="909" t="s">
        <v>286</v>
      </c>
      <c r="B68" s="1187"/>
      <c r="C68" s="612">
        <v>0</v>
      </c>
      <c r="D68" s="612">
        <v>0</v>
      </c>
      <c r="E68" s="910">
        <f t="shared" si="8"/>
        <v>0</v>
      </c>
      <c r="F68" s="612">
        <v>0</v>
      </c>
      <c r="G68" s="612">
        <v>0</v>
      </c>
      <c r="H68" s="612">
        <v>0</v>
      </c>
      <c r="I68" s="911">
        <f t="shared" si="7"/>
        <v>0</v>
      </c>
    </row>
    <row r="69" spans="1:9" x14ac:dyDescent="0.25">
      <c r="A69" s="909" t="s">
        <v>287</v>
      </c>
      <c r="B69" s="1187"/>
      <c r="C69" s="612">
        <v>0</v>
      </c>
      <c r="D69" s="612">
        <v>0</v>
      </c>
      <c r="E69" s="910">
        <f t="shared" si="8"/>
        <v>0</v>
      </c>
      <c r="F69" s="612">
        <v>0</v>
      </c>
      <c r="G69" s="612">
        <v>0</v>
      </c>
      <c r="H69" s="612">
        <v>0</v>
      </c>
      <c r="I69" s="911">
        <f t="shared" si="7"/>
        <v>0</v>
      </c>
    </row>
    <row r="70" spans="1:9" x14ac:dyDescent="0.25">
      <c r="A70" s="929" t="s">
        <v>288</v>
      </c>
      <c r="B70" s="1187"/>
      <c r="C70" s="616">
        <v>0</v>
      </c>
      <c r="D70" s="616">
        <v>0</v>
      </c>
      <c r="E70" s="930">
        <f>+C70+D70</f>
        <v>0</v>
      </c>
      <c r="F70" s="616">
        <v>0</v>
      </c>
      <c r="G70" s="616">
        <v>0</v>
      </c>
      <c r="H70" s="616">
        <v>0</v>
      </c>
      <c r="I70" s="931">
        <f t="shared" si="7"/>
        <v>0</v>
      </c>
    </row>
    <row r="71" spans="1:9" x14ac:dyDescent="0.25">
      <c r="A71" s="909" t="s">
        <v>290</v>
      </c>
      <c r="B71" s="1187"/>
      <c r="C71" s="616">
        <v>0</v>
      </c>
      <c r="D71" s="616">
        <v>0</v>
      </c>
      <c r="E71" s="930">
        <f>+C71+D71</f>
        <v>0</v>
      </c>
      <c r="F71" s="616">
        <v>0</v>
      </c>
      <c r="G71" s="616">
        <v>0</v>
      </c>
      <c r="H71" s="616">
        <v>0</v>
      </c>
      <c r="I71" s="931">
        <f t="shared" si="7"/>
        <v>0</v>
      </c>
    </row>
    <row r="72" spans="1:9" x14ac:dyDescent="0.25">
      <c r="A72" s="929" t="s">
        <v>293</v>
      </c>
      <c r="B72" s="1187"/>
      <c r="C72" s="616">
        <v>0</v>
      </c>
      <c r="D72" s="616">
        <v>0</v>
      </c>
      <c r="E72" s="930">
        <f>+C72+D72</f>
        <v>0</v>
      </c>
      <c r="F72" s="616">
        <v>0</v>
      </c>
      <c r="G72" s="616">
        <v>0</v>
      </c>
      <c r="H72" s="616">
        <v>0</v>
      </c>
      <c r="I72" s="931">
        <f t="shared" si="7"/>
        <v>0</v>
      </c>
    </row>
    <row r="73" spans="1:9" ht="13" thickBot="1" x14ac:dyDescent="0.3">
      <c r="A73" s="932" t="s">
        <v>295</v>
      </c>
      <c r="B73" s="1188"/>
      <c r="C73" s="617">
        <v>0</v>
      </c>
      <c r="D73" s="617">
        <v>0</v>
      </c>
      <c r="E73" s="933">
        <f>+C73+D73</f>
        <v>0</v>
      </c>
      <c r="F73" s="617">
        <v>0</v>
      </c>
      <c r="G73" s="617">
        <v>0</v>
      </c>
      <c r="H73" s="617">
        <v>0</v>
      </c>
      <c r="I73" s="934">
        <f t="shared" si="7"/>
        <v>0</v>
      </c>
    </row>
    <row r="74" spans="1:9" ht="13" x14ac:dyDescent="0.25">
      <c r="A74" s="915"/>
      <c r="B74" s="916"/>
      <c r="C74" s="935"/>
      <c r="D74" s="935"/>
      <c r="E74" s="935"/>
      <c r="F74" s="935"/>
      <c r="G74" s="935"/>
      <c r="H74" s="935"/>
      <c r="I74" s="935"/>
    </row>
    <row r="75" spans="1:9" ht="13" x14ac:dyDescent="0.25">
      <c r="A75" s="915" t="s">
        <v>296</v>
      </c>
      <c r="B75" s="916"/>
      <c r="C75" s="918">
        <f t="shared" ref="C75:I75" si="9">SUM(C50:C73)</f>
        <v>0</v>
      </c>
      <c r="D75" s="918">
        <f t="shared" si="9"/>
        <v>0</v>
      </c>
      <c r="E75" s="918">
        <f t="shared" si="9"/>
        <v>0</v>
      </c>
      <c r="F75" s="918">
        <f t="shared" ref="F75" si="10">SUM(F50:F73)</f>
        <v>1</v>
      </c>
      <c r="G75" s="918">
        <f t="shared" si="9"/>
        <v>0</v>
      </c>
      <c r="H75" s="918">
        <f t="shared" si="9"/>
        <v>0</v>
      </c>
      <c r="I75" s="918">
        <f t="shared" si="9"/>
        <v>1</v>
      </c>
    </row>
    <row r="76" spans="1:9" ht="13.5" thickBot="1" x14ac:dyDescent="0.3">
      <c r="A76" s="919"/>
      <c r="B76" s="920"/>
      <c r="C76" s="921"/>
      <c r="D76" s="921"/>
      <c r="E76" s="921"/>
      <c r="F76" s="921"/>
      <c r="G76" s="921"/>
      <c r="H76" s="921"/>
      <c r="I76" s="922"/>
    </row>
  </sheetData>
  <sheetProtection algorithmName="SHA-512" hashValue="umU1xxDWQtD5hLkm6UaVXv9IIrjolmHX+Icpkjes/TS+gYKT0Zorq5UFEpP/4We7nQa2gnyqRjv1tvLMxaY1Fw==" saltValue="1f1WpNS4LuEjFEnVRsB43A==" spinCount="100000" sheet="1" objects="1" scenarios="1"/>
  <mergeCells count="5">
    <mergeCell ref="A47:I47"/>
    <mergeCell ref="B50:B73"/>
    <mergeCell ref="A1:G1"/>
    <mergeCell ref="B17:B40"/>
    <mergeCell ref="A14:I14"/>
  </mergeCells>
  <conditionalFormatting sqref="A1:XFD1048576">
    <cfRule type="expression" dxfId="4" priority="2">
      <formula>$J$1="elektriciteit"</formula>
    </cfRule>
  </conditionalFormatting>
  <dataValidations count="3">
    <dataValidation type="decimal" operator="lessThanOrEqual" allowBlank="1" showInputMessage="1" showErrorMessage="1" errorTitle="Positief bedrag" error="Gelieve een negatief bedrag in te geven" sqref="D65523:D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D131059:D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D196595:D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D262131:D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D327667:D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D393203:D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D458739:D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D524275:D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D589811:D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D655347:D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D720883:D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D786419:D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D851955:D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D917491:D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D983027:D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O65523:O65545 JK65523:JK65545 TG65523:TG65545 ADC65523:ADC65545 AMY65523:AMY65545 AWU65523:AWU65545 BGQ65523:BGQ65545 BQM65523:BQM65545 CAI65523:CAI65545 CKE65523:CKE65545 CUA65523:CUA65545 DDW65523:DDW65545 DNS65523:DNS65545 DXO65523:DXO65545 EHK65523:EHK65545 ERG65523:ERG65545 FBC65523:FBC65545 FKY65523:FKY65545 FUU65523:FUU65545 GEQ65523:GEQ65545 GOM65523:GOM65545 GYI65523:GYI65545 HIE65523:HIE65545 HSA65523:HSA65545 IBW65523:IBW65545 ILS65523:ILS65545 IVO65523:IVO65545 JFK65523:JFK65545 JPG65523:JPG65545 JZC65523:JZC65545 KIY65523:KIY65545 KSU65523:KSU65545 LCQ65523:LCQ65545 LMM65523:LMM65545 LWI65523:LWI65545 MGE65523:MGE65545 MQA65523:MQA65545 MZW65523:MZW65545 NJS65523:NJS65545 NTO65523:NTO65545 ODK65523:ODK65545 ONG65523:ONG65545 OXC65523:OXC65545 PGY65523:PGY65545 PQU65523:PQU65545 QAQ65523:QAQ65545 QKM65523:QKM65545 QUI65523:QUI65545 REE65523:REE65545 ROA65523:ROA65545 RXW65523:RXW65545 SHS65523:SHS65545 SRO65523:SRO65545 TBK65523:TBK65545 TLG65523:TLG65545 TVC65523:TVC65545 UEY65523:UEY65545 UOU65523:UOU65545 UYQ65523:UYQ65545 VIM65523:VIM65545 VSI65523:VSI65545 WCE65523:WCE65545 WMA65523:WMA65545 WVW65523:WVW65545 O131059:O131081 JK131059:JK131081 TG131059:TG131081 ADC131059:ADC131081 AMY131059:AMY131081 AWU131059:AWU131081 BGQ131059:BGQ131081 BQM131059:BQM131081 CAI131059:CAI131081 CKE131059:CKE131081 CUA131059:CUA131081 DDW131059:DDW131081 DNS131059:DNS131081 DXO131059:DXO131081 EHK131059:EHK131081 ERG131059:ERG131081 FBC131059:FBC131081 FKY131059:FKY131081 FUU131059:FUU131081 GEQ131059:GEQ131081 GOM131059:GOM131081 GYI131059:GYI131081 HIE131059:HIE131081 HSA131059:HSA131081 IBW131059:IBW131081 ILS131059:ILS131081 IVO131059:IVO131081 JFK131059:JFK131081 JPG131059:JPG131081 JZC131059:JZC131081 KIY131059:KIY131081 KSU131059:KSU131081 LCQ131059:LCQ131081 LMM131059:LMM131081 LWI131059:LWI131081 MGE131059:MGE131081 MQA131059:MQA131081 MZW131059:MZW131081 NJS131059:NJS131081 NTO131059:NTO131081 ODK131059:ODK131081 ONG131059:ONG131081 OXC131059:OXC131081 PGY131059:PGY131081 PQU131059:PQU131081 QAQ131059:QAQ131081 QKM131059:QKM131081 QUI131059:QUI131081 REE131059:REE131081 ROA131059:ROA131081 RXW131059:RXW131081 SHS131059:SHS131081 SRO131059:SRO131081 TBK131059:TBK131081 TLG131059:TLG131081 TVC131059:TVC131081 UEY131059:UEY131081 UOU131059:UOU131081 UYQ131059:UYQ131081 VIM131059:VIM131081 VSI131059:VSI131081 WCE131059:WCE131081 WMA131059:WMA131081 WVW131059:WVW131081 O196595:O196617 JK196595:JK196617 TG196595:TG196617 ADC196595:ADC196617 AMY196595:AMY196617 AWU196595:AWU196617 BGQ196595:BGQ196617 BQM196595:BQM196617 CAI196595:CAI196617 CKE196595:CKE196617 CUA196595:CUA196617 DDW196595:DDW196617 DNS196595:DNS196617 DXO196595:DXO196617 EHK196595:EHK196617 ERG196595:ERG196617 FBC196595:FBC196617 FKY196595:FKY196617 FUU196595:FUU196617 GEQ196595:GEQ196617 GOM196595:GOM196617 GYI196595:GYI196617 HIE196595:HIE196617 HSA196595:HSA196617 IBW196595:IBW196617 ILS196595:ILS196617 IVO196595:IVO196617 JFK196595:JFK196617 JPG196595:JPG196617 JZC196595:JZC196617 KIY196595:KIY196617 KSU196595:KSU196617 LCQ196595:LCQ196617 LMM196595:LMM196617 LWI196595:LWI196617 MGE196595:MGE196617 MQA196595:MQA196617 MZW196595:MZW196617 NJS196595:NJS196617 NTO196595:NTO196617 ODK196595:ODK196617 ONG196595:ONG196617 OXC196595:OXC196617 PGY196595:PGY196617 PQU196595:PQU196617 QAQ196595:QAQ196617 QKM196595:QKM196617 QUI196595:QUI196617 REE196595:REE196617 ROA196595:ROA196617 RXW196595:RXW196617 SHS196595:SHS196617 SRO196595:SRO196617 TBK196595:TBK196617 TLG196595:TLG196617 TVC196595:TVC196617 UEY196595:UEY196617 UOU196595:UOU196617 UYQ196595:UYQ196617 VIM196595:VIM196617 VSI196595:VSI196617 WCE196595:WCE196617 WMA196595:WMA196617 WVW196595:WVW196617 O262131:O262153 JK262131:JK262153 TG262131:TG262153 ADC262131:ADC262153 AMY262131:AMY262153 AWU262131:AWU262153 BGQ262131:BGQ262153 BQM262131:BQM262153 CAI262131:CAI262153 CKE262131:CKE262153 CUA262131:CUA262153 DDW262131:DDW262153 DNS262131:DNS262153 DXO262131:DXO262153 EHK262131:EHK262153 ERG262131:ERG262153 FBC262131:FBC262153 FKY262131:FKY262153 FUU262131:FUU262153 GEQ262131:GEQ262153 GOM262131:GOM262153 GYI262131:GYI262153 HIE262131:HIE262153 HSA262131:HSA262153 IBW262131:IBW262153 ILS262131:ILS262153 IVO262131:IVO262153 JFK262131:JFK262153 JPG262131:JPG262153 JZC262131:JZC262153 KIY262131:KIY262153 KSU262131:KSU262153 LCQ262131:LCQ262153 LMM262131:LMM262153 LWI262131:LWI262153 MGE262131:MGE262153 MQA262131:MQA262153 MZW262131:MZW262153 NJS262131:NJS262153 NTO262131:NTO262153 ODK262131:ODK262153 ONG262131:ONG262153 OXC262131:OXC262153 PGY262131:PGY262153 PQU262131:PQU262153 QAQ262131:QAQ262153 QKM262131:QKM262153 QUI262131:QUI262153 REE262131:REE262153 ROA262131:ROA262153 RXW262131:RXW262153 SHS262131:SHS262153 SRO262131:SRO262153 TBK262131:TBK262153 TLG262131:TLG262153 TVC262131:TVC262153 UEY262131:UEY262153 UOU262131:UOU262153 UYQ262131:UYQ262153 VIM262131:VIM262153 VSI262131:VSI262153 WCE262131:WCE262153 WMA262131:WMA262153 WVW262131:WVW262153 O327667:O327689 JK327667:JK327689 TG327667:TG327689 ADC327667:ADC327689 AMY327667:AMY327689 AWU327667:AWU327689 BGQ327667:BGQ327689 BQM327667:BQM327689 CAI327667:CAI327689 CKE327667:CKE327689 CUA327667:CUA327689 DDW327667:DDW327689 DNS327667:DNS327689 DXO327667:DXO327689 EHK327667:EHK327689 ERG327667:ERG327689 FBC327667:FBC327689 FKY327667:FKY327689 FUU327667:FUU327689 GEQ327667:GEQ327689 GOM327667:GOM327689 GYI327667:GYI327689 HIE327667:HIE327689 HSA327667:HSA327689 IBW327667:IBW327689 ILS327667:ILS327689 IVO327667:IVO327689 JFK327667:JFK327689 JPG327667:JPG327689 JZC327667:JZC327689 KIY327667:KIY327689 KSU327667:KSU327689 LCQ327667:LCQ327689 LMM327667:LMM327689 LWI327667:LWI327689 MGE327667:MGE327689 MQA327667:MQA327689 MZW327667:MZW327689 NJS327667:NJS327689 NTO327667:NTO327689 ODK327667:ODK327689 ONG327667:ONG327689 OXC327667:OXC327689 PGY327667:PGY327689 PQU327667:PQU327689 QAQ327667:QAQ327689 QKM327667:QKM327689 QUI327667:QUI327689 REE327667:REE327689 ROA327667:ROA327689 RXW327667:RXW327689 SHS327667:SHS327689 SRO327667:SRO327689 TBK327667:TBK327689 TLG327667:TLG327689 TVC327667:TVC327689 UEY327667:UEY327689 UOU327667:UOU327689 UYQ327667:UYQ327689 VIM327667:VIM327689 VSI327667:VSI327689 WCE327667:WCE327689 WMA327667:WMA327689 WVW327667:WVW327689 O393203:O393225 JK393203:JK393225 TG393203:TG393225 ADC393203:ADC393225 AMY393203:AMY393225 AWU393203:AWU393225 BGQ393203:BGQ393225 BQM393203:BQM393225 CAI393203:CAI393225 CKE393203:CKE393225 CUA393203:CUA393225 DDW393203:DDW393225 DNS393203:DNS393225 DXO393203:DXO393225 EHK393203:EHK393225 ERG393203:ERG393225 FBC393203:FBC393225 FKY393203:FKY393225 FUU393203:FUU393225 GEQ393203:GEQ393225 GOM393203:GOM393225 GYI393203:GYI393225 HIE393203:HIE393225 HSA393203:HSA393225 IBW393203:IBW393225 ILS393203:ILS393225 IVO393203:IVO393225 JFK393203:JFK393225 JPG393203:JPG393225 JZC393203:JZC393225 KIY393203:KIY393225 KSU393203:KSU393225 LCQ393203:LCQ393225 LMM393203:LMM393225 LWI393203:LWI393225 MGE393203:MGE393225 MQA393203:MQA393225 MZW393203:MZW393225 NJS393203:NJS393225 NTO393203:NTO393225 ODK393203:ODK393225 ONG393203:ONG393225 OXC393203:OXC393225 PGY393203:PGY393225 PQU393203:PQU393225 QAQ393203:QAQ393225 QKM393203:QKM393225 QUI393203:QUI393225 REE393203:REE393225 ROA393203:ROA393225 RXW393203:RXW393225 SHS393203:SHS393225 SRO393203:SRO393225 TBK393203:TBK393225 TLG393203:TLG393225 TVC393203:TVC393225 UEY393203:UEY393225 UOU393203:UOU393225 UYQ393203:UYQ393225 VIM393203:VIM393225 VSI393203:VSI393225 WCE393203:WCE393225 WMA393203:WMA393225 WVW393203:WVW393225 O458739:O458761 JK458739:JK458761 TG458739:TG458761 ADC458739:ADC458761 AMY458739:AMY458761 AWU458739:AWU458761 BGQ458739:BGQ458761 BQM458739:BQM458761 CAI458739:CAI458761 CKE458739:CKE458761 CUA458739:CUA458761 DDW458739:DDW458761 DNS458739:DNS458761 DXO458739:DXO458761 EHK458739:EHK458761 ERG458739:ERG458761 FBC458739:FBC458761 FKY458739:FKY458761 FUU458739:FUU458761 GEQ458739:GEQ458761 GOM458739:GOM458761 GYI458739:GYI458761 HIE458739:HIE458761 HSA458739:HSA458761 IBW458739:IBW458761 ILS458739:ILS458761 IVO458739:IVO458761 JFK458739:JFK458761 JPG458739:JPG458761 JZC458739:JZC458761 KIY458739:KIY458761 KSU458739:KSU458761 LCQ458739:LCQ458761 LMM458739:LMM458761 LWI458739:LWI458761 MGE458739:MGE458761 MQA458739:MQA458761 MZW458739:MZW458761 NJS458739:NJS458761 NTO458739:NTO458761 ODK458739:ODK458761 ONG458739:ONG458761 OXC458739:OXC458761 PGY458739:PGY458761 PQU458739:PQU458761 QAQ458739:QAQ458761 QKM458739:QKM458761 QUI458739:QUI458761 REE458739:REE458761 ROA458739:ROA458761 RXW458739:RXW458761 SHS458739:SHS458761 SRO458739:SRO458761 TBK458739:TBK458761 TLG458739:TLG458761 TVC458739:TVC458761 UEY458739:UEY458761 UOU458739:UOU458761 UYQ458739:UYQ458761 VIM458739:VIM458761 VSI458739:VSI458761 WCE458739:WCE458761 WMA458739:WMA458761 WVW458739:WVW458761 O524275:O524297 JK524275:JK524297 TG524275:TG524297 ADC524275:ADC524297 AMY524275:AMY524297 AWU524275:AWU524297 BGQ524275:BGQ524297 BQM524275:BQM524297 CAI524275:CAI524297 CKE524275:CKE524297 CUA524275:CUA524297 DDW524275:DDW524297 DNS524275:DNS524297 DXO524275:DXO524297 EHK524275:EHK524297 ERG524275:ERG524297 FBC524275:FBC524297 FKY524275:FKY524297 FUU524275:FUU524297 GEQ524275:GEQ524297 GOM524275:GOM524297 GYI524275:GYI524297 HIE524275:HIE524297 HSA524275:HSA524297 IBW524275:IBW524297 ILS524275:ILS524297 IVO524275:IVO524297 JFK524275:JFK524297 JPG524275:JPG524297 JZC524275:JZC524297 KIY524275:KIY524297 KSU524275:KSU524297 LCQ524275:LCQ524297 LMM524275:LMM524297 LWI524275:LWI524297 MGE524275:MGE524297 MQA524275:MQA524297 MZW524275:MZW524297 NJS524275:NJS524297 NTO524275:NTO524297 ODK524275:ODK524297 ONG524275:ONG524297 OXC524275:OXC524297 PGY524275:PGY524297 PQU524275:PQU524297 QAQ524275:QAQ524297 QKM524275:QKM524297 QUI524275:QUI524297 REE524275:REE524297 ROA524275:ROA524297 RXW524275:RXW524297 SHS524275:SHS524297 SRO524275:SRO524297 TBK524275:TBK524297 TLG524275:TLG524297 TVC524275:TVC524297 UEY524275:UEY524297 UOU524275:UOU524297 UYQ524275:UYQ524297 VIM524275:VIM524297 VSI524275:VSI524297 WCE524275:WCE524297 WMA524275:WMA524297 WVW524275:WVW524297 O589811:O589833 JK589811:JK589833 TG589811:TG589833 ADC589811:ADC589833 AMY589811:AMY589833 AWU589811:AWU589833 BGQ589811:BGQ589833 BQM589811:BQM589833 CAI589811:CAI589833 CKE589811:CKE589833 CUA589811:CUA589833 DDW589811:DDW589833 DNS589811:DNS589833 DXO589811:DXO589833 EHK589811:EHK589833 ERG589811:ERG589833 FBC589811:FBC589833 FKY589811:FKY589833 FUU589811:FUU589833 GEQ589811:GEQ589833 GOM589811:GOM589833 GYI589811:GYI589833 HIE589811:HIE589833 HSA589811:HSA589833 IBW589811:IBW589833 ILS589811:ILS589833 IVO589811:IVO589833 JFK589811:JFK589833 JPG589811:JPG589833 JZC589811:JZC589833 KIY589811:KIY589833 KSU589811:KSU589833 LCQ589811:LCQ589833 LMM589811:LMM589833 LWI589811:LWI589833 MGE589811:MGE589833 MQA589811:MQA589833 MZW589811:MZW589833 NJS589811:NJS589833 NTO589811:NTO589833 ODK589811:ODK589833 ONG589811:ONG589833 OXC589811:OXC589833 PGY589811:PGY589833 PQU589811:PQU589833 QAQ589811:QAQ589833 QKM589811:QKM589833 QUI589811:QUI589833 REE589811:REE589833 ROA589811:ROA589833 RXW589811:RXW589833 SHS589811:SHS589833 SRO589811:SRO589833 TBK589811:TBK589833 TLG589811:TLG589833 TVC589811:TVC589833 UEY589811:UEY589833 UOU589811:UOU589833 UYQ589811:UYQ589833 VIM589811:VIM589833 VSI589811:VSI589833 WCE589811:WCE589833 WMA589811:WMA589833 WVW589811:WVW589833 O655347:O655369 JK655347:JK655369 TG655347:TG655369 ADC655347:ADC655369 AMY655347:AMY655369 AWU655347:AWU655369 BGQ655347:BGQ655369 BQM655347:BQM655369 CAI655347:CAI655369 CKE655347:CKE655369 CUA655347:CUA655369 DDW655347:DDW655369 DNS655347:DNS655369 DXO655347:DXO655369 EHK655347:EHK655369 ERG655347:ERG655369 FBC655347:FBC655369 FKY655347:FKY655369 FUU655347:FUU655369 GEQ655347:GEQ655369 GOM655347:GOM655369 GYI655347:GYI655369 HIE655347:HIE655369 HSA655347:HSA655369 IBW655347:IBW655369 ILS655347:ILS655369 IVO655347:IVO655369 JFK655347:JFK655369 JPG655347:JPG655369 JZC655347:JZC655369 KIY655347:KIY655369 KSU655347:KSU655369 LCQ655347:LCQ655369 LMM655347:LMM655369 LWI655347:LWI655369 MGE655347:MGE655369 MQA655347:MQA655369 MZW655347:MZW655369 NJS655347:NJS655369 NTO655347:NTO655369 ODK655347:ODK655369 ONG655347:ONG655369 OXC655347:OXC655369 PGY655347:PGY655369 PQU655347:PQU655369 QAQ655347:QAQ655369 QKM655347:QKM655369 QUI655347:QUI655369 REE655347:REE655369 ROA655347:ROA655369 RXW655347:RXW655369 SHS655347:SHS655369 SRO655347:SRO655369 TBK655347:TBK655369 TLG655347:TLG655369 TVC655347:TVC655369 UEY655347:UEY655369 UOU655347:UOU655369 UYQ655347:UYQ655369 VIM655347:VIM655369 VSI655347:VSI655369 WCE655347:WCE655369 WMA655347:WMA655369 WVW655347:WVW655369 O720883:O720905 JK720883:JK720905 TG720883:TG720905 ADC720883:ADC720905 AMY720883:AMY720905 AWU720883:AWU720905 BGQ720883:BGQ720905 BQM720883:BQM720905 CAI720883:CAI720905 CKE720883:CKE720905 CUA720883:CUA720905 DDW720883:DDW720905 DNS720883:DNS720905 DXO720883:DXO720905 EHK720883:EHK720905 ERG720883:ERG720905 FBC720883:FBC720905 FKY720883:FKY720905 FUU720883:FUU720905 GEQ720883:GEQ720905 GOM720883:GOM720905 GYI720883:GYI720905 HIE720883:HIE720905 HSA720883:HSA720905 IBW720883:IBW720905 ILS720883:ILS720905 IVO720883:IVO720905 JFK720883:JFK720905 JPG720883:JPG720905 JZC720883:JZC720905 KIY720883:KIY720905 KSU720883:KSU720905 LCQ720883:LCQ720905 LMM720883:LMM720905 LWI720883:LWI720905 MGE720883:MGE720905 MQA720883:MQA720905 MZW720883:MZW720905 NJS720883:NJS720905 NTO720883:NTO720905 ODK720883:ODK720905 ONG720883:ONG720905 OXC720883:OXC720905 PGY720883:PGY720905 PQU720883:PQU720905 QAQ720883:QAQ720905 QKM720883:QKM720905 QUI720883:QUI720905 REE720883:REE720905 ROA720883:ROA720905 RXW720883:RXW720905 SHS720883:SHS720905 SRO720883:SRO720905 TBK720883:TBK720905 TLG720883:TLG720905 TVC720883:TVC720905 UEY720883:UEY720905 UOU720883:UOU720905 UYQ720883:UYQ720905 VIM720883:VIM720905 VSI720883:VSI720905 WCE720883:WCE720905 WMA720883:WMA720905 WVW720883:WVW720905 O786419:O786441 JK786419:JK786441 TG786419:TG786441 ADC786419:ADC786441 AMY786419:AMY786441 AWU786419:AWU786441 BGQ786419:BGQ786441 BQM786419:BQM786441 CAI786419:CAI786441 CKE786419:CKE786441 CUA786419:CUA786441 DDW786419:DDW786441 DNS786419:DNS786441 DXO786419:DXO786441 EHK786419:EHK786441 ERG786419:ERG786441 FBC786419:FBC786441 FKY786419:FKY786441 FUU786419:FUU786441 GEQ786419:GEQ786441 GOM786419:GOM786441 GYI786419:GYI786441 HIE786419:HIE786441 HSA786419:HSA786441 IBW786419:IBW786441 ILS786419:ILS786441 IVO786419:IVO786441 JFK786419:JFK786441 JPG786419:JPG786441 JZC786419:JZC786441 KIY786419:KIY786441 KSU786419:KSU786441 LCQ786419:LCQ786441 LMM786419:LMM786441 LWI786419:LWI786441 MGE786419:MGE786441 MQA786419:MQA786441 MZW786419:MZW786441 NJS786419:NJS786441 NTO786419:NTO786441 ODK786419:ODK786441 ONG786419:ONG786441 OXC786419:OXC786441 PGY786419:PGY786441 PQU786419:PQU786441 QAQ786419:QAQ786441 QKM786419:QKM786441 QUI786419:QUI786441 REE786419:REE786441 ROA786419:ROA786441 RXW786419:RXW786441 SHS786419:SHS786441 SRO786419:SRO786441 TBK786419:TBK786441 TLG786419:TLG786441 TVC786419:TVC786441 UEY786419:UEY786441 UOU786419:UOU786441 UYQ786419:UYQ786441 VIM786419:VIM786441 VSI786419:VSI786441 WCE786419:WCE786441 WMA786419:WMA786441 WVW786419:WVW786441 O851955:O851977 JK851955:JK851977 TG851955:TG851977 ADC851955:ADC851977 AMY851955:AMY851977 AWU851955:AWU851977 BGQ851955:BGQ851977 BQM851955:BQM851977 CAI851955:CAI851977 CKE851955:CKE851977 CUA851955:CUA851977 DDW851955:DDW851977 DNS851955:DNS851977 DXO851955:DXO851977 EHK851955:EHK851977 ERG851955:ERG851977 FBC851955:FBC851977 FKY851955:FKY851977 FUU851955:FUU851977 GEQ851955:GEQ851977 GOM851955:GOM851977 GYI851955:GYI851977 HIE851955:HIE851977 HSA851955:HSA851977 IBW851955:IBW851977 ILS851955:ILS851977 IVO851955:IVO851977 JFK851955:JFK851977 JPG851955:JPG851977 JZC851955:JZC851977 KIY851955:KIY851977 KSU851955:KSU851977 LCQ851955:LCQ851977 LMM851955:LMM851977 LWI851955:LWI851977 MGE851955:MGE851977 MQA851955:MQA851977 MZW851955:MZW851977 NJS851955:NJS851977 NTO851955:NTO851977 ODK851955:ODK851977 ONG851955:ONG851977 OXC851955:OXC851977 PGY851955:PGY851977 PQU851955:PQU851977 QAQ851955:QAQ851977 QKM851955:QKM851977 QUI851955:QUI851977 REE851955:REE851977 ROA851955:ROA851977 RXW851955:RXW851977 SHS851955:SHS851977 SRO851955:SRO851977 TBK851955:TBK851977 TLG851955:TLG851977 TVC851955:TVC851977 UEY851955:UEY851977 UOU851955:UOU851977 UYQ851955:UYQ851977 VIM851955:VIM851977 VSI851955:VSI851977 WCE851955:WCE851977 WMA851955:WMA851977 WVW851955:WVW851977 O917491:O917513 JK917491:JK917513 TG917491:TG917513 ADC917491:ADC917513 AMY917491:AMY917513 AWU917491:AWU917513 BGQ917491:BGQ917513 BQM917491:BQM917513 CAI917491:CAI917513 CKE917491:CKE917513 CUA917491:CUA917513 DDW917491:DDW917513 DNS917491:DNS917513 DXO917491:DXO917513 EHK917491:EHK917513 ERG917491:ERG917513 FBC917491:FBC917513 FKY917491:FKY917513 FUU917491:FUU917513 GEQ917491:GEQ917513 GOM917491:GOM917513 GYI917491:GYI917513 HIE917491:HIE917513 HSA917491:HSA917513 IBW917491:IBW917513 ILS917491:ILS917513 IVO917491:IVO917513 JFK917491:JFK917513 JPG917491:JPG917513 JZC917491:JZC917513 KIY917491:KIY917513 KSU917491:KSU917513 LCQ917491:LCQ917513 LMM917491:LMM917513 LWI917491:LWI917513 MGE917491:MGE917513 MQA917491:MQA917513 MZW917491:MZW917513 NJS917491:NJS917513 NTO917491:NTO917513 ODK917491:ODK917513 ONG917491:ONG917513 OXC917491:OXC917513 PGY917491:PGY917513 PQU917491:PQU917513 QAQ917491:QAQ917513 QKM917491:QKM917513 QUI917491:QUI917513 REE917491:REE917513 ROA917491:ROA917513 RXW917491:RXW917513 SHS917491:SHS917513 SRO917491:SRO917513 TBK917491:TBK917513 TLG917491:TLG917513 TVC917491:TVC917513 UEY917491:UEY917513 UOU917491:UOU917513 UYQ917491:UYQ917513 VIM917491:VIM917513 VSI917491:VSI917513 WCE917491:WCE917513 WMA917491:WMA917513 WVW917491:WVW917513 O983027:O983049 JK983027:JK983049 TG983027:TG983049 ADC983027:ADC983049 AMY983027:AMY983049 AWU983027:AWU983049 BGQ983027:BGQ983049 BQM983027:BQM983049 CAI983027:CAI983049 CKE983027:CKE983049 CUA983027:CUA983049 DDW983027:DDW983049 DNS983027:DNS983049 DXO983027:DXO983049 EHK983027:EHK983049 ERG983027:ERG983049 FBC983027:FBC983049 FKY983027:FKY983049 FUU983027:FUU983049 GEQ983027:GEQ983049 GOM983027:GOM983049 GYI983027:GYI983049 HIE983027:HIE983049 HSA983027:HSA983049 IBW983027:IBW983049 ILS983027:ILS983049 IVO983027:IVO983049 JFK983027:JFK983049 JPG983027:JPG983049 JZC983027:JZC983049 KIY983027:KIY983049 KSU983027:KSU983049 LCQ983027:LCQ983049 LMM983027:LMM983049 LWI983027:LWI983049 MGE983027:MGE983049 MQA983027:MQA983049 MZW983027:MZW983049 NJS983027:NJS983049 NTO983027:NTO983049 ODK983027:ODK983049 ONG983027:ONG983049 OXC983027:OXC983049 PGY983027:PGY983049 PQU983027:PQU983049 QAQ983027:QAQ983049 QKM983027:QKM983049 QUI983027:QUI983049 REE983027:REE983049 ROA983027:ROA983049 RXW983027:RXW983049 SHS983027:SHS983049 SRO983027:SRO983049 TBK983027:TBK983049 TLG983027:TLG983049 TVC983027:TVC983049 UEY983027:UEY983049 UOU983027:UOU983049 UYQ983027:UYQ983049 VIM983027:VIM983049 VSI983027:VSI983049 WCE983027:WCE983049 WMA983027:WMA983049 WVW983027:WVW983049 J65523:L65545 JF65523:JH65545 TB65523:TD65545 ACX65523:ACZ65545 AMT65523:AMV65545 AWP65523:AWR65545 BGL65523:BGN65545 BQH65523:BQJ65545 CAD65523:CAF65545 CJZ65523:CKB65545 CTV65523:CTX65545 DDR65523:DDT65545 DNN65523:DNP65545 DXJ65523:DXL65545 EHF65523:EHH65545 ERB65523:ERD65545 FAX65523:FAZ65545 FKT65523:FKV65545 FUP65523:FUR65545 GEL65523:GEN65545 GOH65523:GOJ65545 GYD65523:GYF65545 HHZ65523:HIB65545 HRV65523:HRX65545 IBR65523:IBT65545 ILN65523:ILP65545 IVJ65523:IVL65545 JFF65523:JFH65545 JPB65523:JPD65545 JYX65523:JYZ65545 KIT65523:KIV65545 KSP65523:KSR65545 LCL65523:LCN65545 LMH65523:LMJ65545 LWD65523:LWF65545 MFZ65523:MGB65545 MPV65523:MPX65545 MZR65523:MZT65545 NJN65523:NJP65545 NTJ65523:NTL65545 ODF65523:ODH65545 ONB65523:OND65545 OWX65523:OWZ65545 PGT65523:PGV65545 PQP65523:PQR65545 QAL65523:QAN65545 QKH65523:QKJ65545 QUD65523:QUF65545 RDZ65523:REB65545 RNV65523:RNX65545 RXR65523:RXT65545 SHN65523:SHP65545 SRJ65523:SRL65545 TBF65523:TBH65545 TLB65523:TLD65545 TUX65523:TUZ65545 UET65523:UEV65545 UOP65523:UOR65545 UYL65523:UYN65545 VIH65523:VIJ65545 VSD65523:VSF65545 WBZ65523:WCB65545 WLV65523:WLX65545 WVR65523:WVT65545 J131059:L131081 JF131059:JH131081 TB131059:TD131081 ACX131059:ACZ131081 AMT131059:AMV131081 AWP131059:AWR131081 BGL131059:BGN131081 BQH131059:BQJ131081 CAD131059:CAF131081 CJZ131059:CKB131081 CTV131059:CTX131081 DDR131059:DDT131081 DNN131059:DNP131081 DXJ131059:DXL131081 EHF131059:EHH131081 ERB131059:ERD131081 FAX131059:FAZ131081 FKT131059:FKV131081 FUP131059:FUR131081 GEL131059:GEN131081 GOH131059:GOJ131081 GYD131059:GYF131081 HHZ131059:HIB131081 HRV131059:HRX131081 IBR131059:IBT131081 ILN131059:ILP131081 IVJ131059:IVL131081 JFF131059:JFH131081 JPB131059:JPD131081 JYX131059:JYZ131081 KIT131059:KIV131081 KSP131059:KSR131081 LCL131059:LCN131081 LMH131059:LMJ131081 LWD131059:LWF131081 MFZ131059:MGB131081 MPV131059:MPX131081 MZR131059:MZT131081 NJN131059:NJP131081 NTJ131059:NTL131081 ODF131059:ODH131081 ONB131059:OND131081 OWX131059:OWZ131081 PGT131059:PGV131081 PQP131059:PQR131081 QAL131059:QAN131081 QKH131059:QKJ131081 QUD131059:QUF131081 RDZ131059:REB131081 RNV131059:RNX131081 RXR131059:RXT131081 SHN131059:SHP131081 SRJ131059:SRL131081 TBF131059:TBH131081 TLB131059:TLD131081 TUX131059:TUZ131081 UET131059:UEV131081 UOP131059:UOR131081 UYL131059:UYN131081 VIH131059:VIJ131081 VSD131059:VSF131081 WBZ131059:WCB131081 WLV131059:WLX131081 WVR131059:WVT131081 J196595:L196617 JF196595:JH196617 TB196595:TD196617 ACX196595:ACZ196617 AMT196595:AMV196617 AWP196595:AWR196617 BGL196595:BGN196617 BQH196595:BQJ196617 CAD196595:CAF196617 CJZ196595:CKB196617 CTV196595:CTX196617 DDR196595:DDT196617 DNN196595:DNP196617 DXJ196595:DXL196617 EHF196595:EHH196617 ERB196595:ERD196617 FAX196595:FAZ196617 FKT196595:FKV196617 FUP196595:FUR196617 GEL196595:GEN196617 GOH196595:GOJ196617 GYD196595:GYF196617 HHZ196595:HIB196617 HRV196595:HRX196617 IBR196595:IBT196617 ILN196595:ILP196617 IVJ196595:IVL196617 JFF196595:JFH196617 JPB196595:JPD196617 JYX196595:JYZ196617 KIT196595:KIV196617 KSP196595:KSR196617 LCL196595:LCN196617 LMH196595:LMJ196617 LWD196595:LWF196617 MFZ196595:MGB196617 MPV196595:MPX196617 MZR196595:MZT196617 NJN196595:NJP196617 NTJ196595:NTL196617 ODF196595:ODH196617 ONB196595:OND196617 OWX196595:OWZ196617 PGT196595:PGV196617 PQP196595:PQR196617 QAL196595:QAN196617 QKH196595:QKJ196617 QUD196595:QUF196617 RDZ196595:REB196617 RNV196595:RNX196617 RXR196595:RXT196617 SHN196595:SHP196617 SRJ196595:SRL196617 TBF196595:TBH196617 TLB196595:TLD196617 TUX196595:TUZ196617 UET196595:UEV196617 UOP196595:UOR196617 UYL196595:UYN196617 VIH196595:VIJ196617 VSD196595:VSF196617 WBZ196595:WCB196617 WLV196595:WLX196617 WVR196595:WVT196617 J262131:L262153 JF262131:JH262153 TB262131:TD262153 ACX262131:ACZ262153 AMT262131:AMV262153 AWP262131:AWR262153 BGL262131:BGN262153 BQH262131:BQJ262153 CAD262131:CAF262153 CJZ262131:CKB262153 CTV262131:CTX262153 DDR262131:DDT262153 DNN262131:DNP262153 DXJ262131:DXL262153 EHF262131:EHH262153 ERB262131:ERD262153 FAX262131:FAZ262153 FKT262131:FKV262153 FUP262131:FUR262153 GEL262131:GEN262153 GOH262131:GOJ262153 GYD262131:GYF262153 HHZ262131:HIB262153 HRV262131:HRX262153 IBR262131:IBT262153 ILN262131:ILP262153 IVJ262131:IVL262153 JFF262131:JFH262153 JPB262131:JPD262153 JYX262131:JYZ262153 KIT262131:KIV262153 KSP262131:KSR262153 LCL262131:LCN262153 LMH262131:LMJ262153 LWD262131:LWF262153 MFZ262131:MGB262153 MPV262131:MPX262153 MZR262131:MZT262153 NJN262131:NJP262153 NTJ262131:NTL262153 ODF262131:ODH262153 ONB262131:OND262153 OWX262131:OWZ262153 PGT262131:PGV262153 PQP262131:PQR262153 QAL262131:QAN262153 QKH262131:QKJ262153 QUD262131:QUF262153 RDZ262131:REB262153 RNV262131:RNX262153 RXR262131:RXT262153 SHN262131:SHP262153 SRJ262131:SRL262153 TBF262131:TBH262153 TLB262131:TLD262153 TUX262131:TUZ262153 UET262131:UEV262153 UOP262131:UOR262153 UYL262131:UYN262153 VIH262131:VIJ262153 VSD262131:VSF262153 WBZ262131:WCB262153 WLV262131:WLX262153 WVR262131:WVT262153 J327667:L327689 JF327667:JH327689 TB327667:TD327689 ACX327667:ACZ327689 AMT327667:AMV327689 AWP327667:AWR327689 BGL327667:BGN327689 BQH327667:BQJ327689 CAD327667:CAF327689 CJZ327667:CKB327689 CTV327667:CTX327689 DDR327667:DDT327689 DNN327667:DNP327689 DXJ327667:DXL327689 EHF327667:EHH327689 ERB327667:ERD327689 FAX327667:FAZ327689 FKT327667:FKV327689 FUP327667:FUR327689 GEL327667:GEN327689 GOH327667:GOJ327689 GYD327667:GYF327689 HHZ327667:HIB327689 HRV327667:HRX327689 IBR327667:IBT327689 ILN327667:ILP327689 IVJ327667:IVL327689 JFF327667:JFH327689 JPB327667:JPD327689 JYX327667:JYZ327689 KIT327667:KIV327689 KSP327667:KSR327689 LCL327667:LCN327689 LMH327667:LMJ327689 LWD327667:LWF327689 MFZ327667:MGB327689 MPV327667:MPX327689 MZR327667:MZT327689 NJN327667:NJP327689 NTJ327667:NTL327689 ODF327667:ODH327689 ONB327667:OND327689 OWX327667:OWZ327689 PGT327667:PGV327689 PQP327667:PQR327689 QAL327667:QAN327689 QKH327667:QKJ327689 QUD327667:QUF327689 RDZ327667:REB327689 RNV327667:RNX327689 RXR327667:RXT327689 SHN327667:SHP327689 SRJ327667:SRL327689 TBF327667:TBH327689 TLB327667:TLD327689 TUX327667:TUZ327689 UET327667:UEV327689 UOP327667:UOR327689 UYL327667:UYN327689 VIH327667:VIJ327689 VSD327667:VSF327689 WBZ327667:WCB327689 WLV327667:WLX327689 WVR327667:WVT327689 J393203:L393225 JF393203:JH393225 TB393203:TD393225 ACX393203:ACZ393225 AMT393203:AMV393225 AWP393203:AWR393225 BGL393203:BGN393225 BQH393203:BQJ393225 CAD393203:CAF393225 CJZ393203:CKB393225 CTV393203:CTX393225 DDR393203:DDT393225 DNN393203:DNP393225 DXJ393203:DXL393225 EHF393203:EHH393225 ERB393203:ERD393225 FAX393203:FAZ393225 FKT393203:FKV393225 FUP393203:FUR393225 GEL393203:GEN393225 GOH393203:GOJ393225 GYD393203:GYF393225 HHZ393203:HIB393225 HRV393203:HRX393225 IBR393203:IBT393225 ILN393203:ILP393225 IVJ393203:IVL393225 JFF393203:JFH393225 JPB393203:JPD393225 JYX393203:JYZ393225 KIT393203:KIV393225 KSP393203:KSR393225 LCL393203:LCN393225 LMH393203:LMJ393225 LWD393203:LWF393225 MFZ393203:MGB393225 MPV393203:MPX393225 MZR393203:MZT393225 NJN393203:NJP393225 NTJ393203:NTL393225 ODF393203:ODH393225 ONB393203:OND393225 OWX393203:OWZ393225 PGT393203:PGV393225 PQP393203:PQR393225 QAL393203:QAN393225 QKH393203:QKJ393225 QUD393203:QUF393225 RDZ393203:REB393225 RNV393203:RNX393225 RXR393203:RXT393225 SHN393203:SHP393225 SRJ393203:SRL393225 TBF393203:TBH393225 TLB393203:TLD393225 TUX393203:TUZ393225 UET393203:UEV393225 UOP393203:UOR393225 UYL393203:UYN393225 VIH393203:VIJ393225 VSD393203:VSF393225 WBZ393203:WCB393225 WLV393203:WLX393225 WVR393203:WVT393225 J458739:L458761 JF458739:JH458761 TB458739:TD458761 ACX458739:ACZ458761 AMT458739:AMV458761 AWP458739:AWR458761 BGL458739:BGN458761 BQH458739:BQJ458761 CAD458739:CAF458761 CJZ458739:CKB458761 CTV458739:CTX458761 DDR458739:DDT458761 DNN458739:DNP458761 DXJ458739:DXL458761 EHF458739:EHH458761 ERB458739:ERD458761 FAX458739:FAZ458761 FKT458739:FKV458761 FUP458739:FUR458761 GEL458739:GEN458761 GOH458739:GOJ458761 GYD458739:GYF458761 HHZ458739:HIB458761 HRV458739:HRX458761 IBR458739:IBT458761 ILN458739:ILP458761 IVJ458739:IVL458761 JFF458739:JFH458761 JPB458739:JPD458761 JYX458739:JYZ458761 KIT458739:KIV458761 KSP458739:KSR458761 LCL458739:LCN458761 LMH458739:LMJ458761 LWD458739:LWF458761 MFZ458739:MGB458761 MPV458739:MPX458761 MZR458739:MZT458761 NJN458739:NJP458761 NTJ458739:NTL458761 ODF458739:ODH458761 ONB458739:OND458761 OWX458739:OWZ458761 PGT458739:PGV458761 PQP458739:PQR458761 QAL458739:QAN458761 QKH458739:QKJ458761 QUD458739:QUF458761 RDZ458739:REB458761 RNV458739:RNX458761 RXR458739:RXT458761 SHN458739:SHP458761 SRJ458739:SRL458761 TBF458739:TBH458761 TLB458739:TLD458761 TUX458739:TUZ458761 UET458739:UEV458761 UOP458739:UOR458761 UYL458739:UYN458761 VIH458739:VIJ458761 VSD458739:VSF458761 WBZ458739:WCB458761 WLV458739:WLX458761 WVR458739:WVT458761 J524275:L524297 JF524275:JH524297 TB524275:TD524297 ACX524275:ACZ524297 AMT524275:AMV524297 AWP524275:AWR524297 BGL524275:BGN524297 BQH524275:BQJ524297 CAD524275:CAF524297 CJZ524275:CKB524297 CTV524275:CTX524297 DDR524275:DDT524297 DNN524275:DNP524297 DXJ524275:DXL524297 EHF524275:EHH524297 ERB524275:ERD524297 FAX524275:FAZ524297 FKT524275:FKV524297 FUP524275:FUR524297 GEL524275:GEN524297 GOH524275:GOJ524297 GYD524275:GYF524297 HHZ524275:HIB524297 HRV524275:HRX524297 IBR524275:IBT524297 ILN524275:ILP524297 IVJ524275:IVL524297 JFF524275:JFH524297 JPB524275:JPD524297 JYX524275:JYZ524297 KIT524275:KIV524297 KSP524275:KSR524297 LCL524275:LCN524297 LMH524275:LMJ524297 LWD524275:LWF524297 MFZ524275:MGB524297 MPV524275:MPX524297 MZR524275:MZT524297 NJN524275:NJP524297 NTJ524275:NTL524297 ODF524275:ODH524297 ONB524275:OND524297 OWX524275:OWZ524297 PGT524275:PGV524297 PQP524275:PQR524297 QAL524275:QAN524297 QKH524275:QKJ524297 QUD524275:QUF524297 RDZ524275:REB524297 RNV524275:RNX524297 RXR524275:RXT524297 SHN524275:SHP524297 SRJ524275:SRL524297 TBF524275:TBH524297 TLB524275:TLD524297 TUX524275:TUZ524297 UET524275:UEV524297 UOP524275:UOR524297 UYL524275:UYN524297 VIH524275:VIJ524297 VSD524275:VSF524297 WBZ524275:WCB524297 WLV524275:WLX524297 WVR524275:WVT524297 J589811:L589833 JF589811:JH589833 TB589811:TD589833 ACX589811:ACZ589833 AMT589811:AMV589833 AWP589811:AWR589833 BGL589811:BGN589833 BQH589811:BQJ589833 CAD589811:CAF589833 CJZ589811:CKB589833 CTV589811:CTX589833 DDR589811:DDT589833 DNN589811:DNP589833 DXJ589811:DXL589833 EHF589811:EHH589833 ERB589811:ERD589833 FAX589811:FAZ589833 FKT589811:FKV589833 FUP589811:FUR589833 GEL589811:GEN589833 GOH589811:GOJ589833 GYD589811:GYF589833 HHZ589811:HIB589833 HRV589811:HRX589833 IBR589811:IBT589833 ILN589811:ILP589833 IVJ589811:IVL589833 JFF589811:JFH589833 JPB589811:JPD589833 JYX589811:JYZ589833 KIT589811:KIV589833 KSP589811:KSR589833 LCL589811:LCN589833 LMH589811:LMJ589833 LWD589811:LWF589833 MFZ589811:MGB589833 MPV589811:MPX589833 MZR589811:MZT589833 NJN589811:NJP589833 NTJ589811:NTL589833 ODF589811:ODH589833 ONB589811:OND589833 OWX589811:OWZ589833 PGT589811:PGV589833 PQP589811:PQR589833 QAL589811:QAN589833 QKH589811:QKJ589833 QUD589811:QUF589833 RDZ589811:REB589833 RNV589811:RNX589833 RXR589811:RXT589833 SHN589811:SHP589833 SRJ589811:SRL589833 TBF589811:TBH589833 TLB589811:TLD589833 TUX589811:TUZ589833 UET589811:UEV589833 UOP589811:UOR589833 UYL589811:UYN589833 VIH589811:VIJ589833 VSD589811:VSF589833 WBZ589811:WCB589833 WLV589811:WLX589833 WVR589811:WVT589833 J655347:L655369 JF655347:JH655369 TB655347:TD655369 ACX655347:ACZ655369 AMT655347:AMV655369 AWP655347:AWR655369 BGL655347:BGN655369 BQH655347:BQJ655369 CAD655347:CAF655369 CJZ655347:CKB655369 CTV655347:CTX655369 DDR655347:DDT655369 DNN655347:DNP655369 DXJ655347:DXL655369 EHF655347:EHH655369 ERB655347:ERD655369 FAX655347:FAZ655369 FKT655347:FKV655369 FUP655347:FUR655369 GEL655347:GEN655369 GOH655347:GOJ655369 GYD655347:GYF655369 HHZ655347:HIB655369 HRV655347:HRX655369 IBR655347:IBT655369 ILN655347:ILP655369 IVJ655347:IVL655369 JFF655347:JFH655369 JPB655347:JPD655369 JYX655347:JYZ655369 KIT655347:KIV655369 KSP655347:KSR655369 LCL655347:LCN655369 LMH655347:LMJ655369 LWD655347:LWF655369 MFZ655347:MGB655369 MPV655347:MPX655369 MZR655347:MZT655369 NJN655347:NJP655369 NTJ655347:NTL655369 ODF655347:ODH655369 ONB655347:OND655369 OWX655347:OWZ655369 PGT655347:PGV655369 PQP655347:PQR655369 QAL655347:QAN655369 QKH655347:QKJ655369 QUD655347:QUF655369 RDZ655347:REB655369 RNV655347:RNX655369 RXR655347:RXT655369 SHN655347:SHP655369 SRJ655347:SRL655369 TBF655347:TBH655369 TLB655347:TLD655369 TUX655347:TUZ655369 UET655347:UEV655369 UOP655347:UOR655369 UYL655347:UYN655369 VIH655347:VIJ655369 VSD655347:VSF655369 WBZ655347:WCB655369 WLV655347:WLX655369 WVR655347:WVT655369 J720883:L720905 JF720883:JH720905 TB720883:TD720905 ACX720883:ACZ720905 AMT720883:AMV720905 AWP720883:AWR720905 BGL720883:BGN720905 BQH720883:BQJ720905 CAD720883:CAF720905 CJZ720883:CKB720905 CTV720883:CTX720905 DDR720883:DDT720905 DNN720883:DNP720905 DXJ720883:DXL720905 EHF720883:EHH720905 ERB720883:ERD720905 FAX720883:FAZ720905 FKT720883:FKV720905 FUP720883:FUR720905 GEL720883:GEN720905 GOH720883:GOJ720905 GYD720883:GYF720905 HHZ720883:HIB720905 HRV720883:HRX720905 IBR720883:IBT720905 ILN720883:ILP720905 IVJ720883:IVL720905 JFF720883:JFH720905 JPB720883:JPD720905 JYX720883:JYZ720905 KIT720883:KIV720905 KSP720883:KSR720905 LCL720883:LCN720905 LMH720883:LMJ720905 LWD720883:LWF720905 MFZ720883:MGB720905 MPV720883:MPX720905 MZR720883:MZT720905 NJN720883:NJP720905 NTJ720883:NTL720905 ODF720883:ODH720905 ONB720883:OND720905 OWX720883:OWZ720905 PGT720883:PGV720905 PQP720883:PQR720905 QAL720883:QAN720905 QKH720883:QKJ720905 QUD720883:QUF720905 RDZ720883:REB720905 RNV720883:RNX720905 RXR720883:RXT720905 SHN720883:SHP720905 SRJ720883:SRL720905 TBF720883:TBH720905 TLB720883:TLD720905 TUX720883:TUZ720905 UET720883:UEV720905 UOP720883:UOR720905 UYL720883:UYN720905 VIH720883:VIJ720905 VSD720883:VSF720905 WBZ720883:WCB720905 WLV720883:WLX720905 WVR720883:WVT720905 J786419:L786441 JF786419:JH786441 TB786419:TD786441 ACX786419:ACZ786441 AMT786419:AMV786441 AWP786419:AWR786441 BGL786419:BGN786441 BQH786419:BQJ786441 CAD786419:CAF786441 CJZ786419:CKB786441 CTV786419:CTX786441 DDR786419:DDT786441 DNN786419:DNP786441 DXJ786419:DXL786441 EHF786419:EHH786441 ERB786419:ERD786441 FAX786419:FAZ786441 FKT786419:FKV786441 FUP786419:FUR786441 GEL786419:GEN786441 GOH786419:GOJ786441 GYD786419:GYF786441 HHZ786419:HIB786441 HRV786419:HRX786441 IBR786419:IBT786441 ILN786419:ILP786441 IVJ786419:IVL786441 JFF786419:JFH786441 JPB786419:JPD786441 JYX786419:JYZ786441 KIT786419:KIV786441 KSP786419:KSR786441 LCL786419:LCN786441 LMH786419:LMJ786441 LWD786419:LWF786441 MFZ786419:MGB786441 MPV786419:MPX786441 MZR786419:MZT786441 NJN786419:NJP786441 NTJ786419:NTL786441 ODF786419:ODH786441 ONB786419:OND786441 OWX786419:OWZ786441 PGT786419:PGV786441 PQP786419:PQR786441 QAL786419:QAN786441 QKH786419:QKJ786441 QUD786419:QUF786441 RDZ786419:REB786441 RNV786419:RNX786441 RXR786419:RXT786441 SHN786419:SHP786441 SRJ786419:SRL786441 TBF786419:TBH786441 TLB786419:TLD786441 TUX786419:TUZ786441 UET786419:UEV786441 UOP786419:UOR786441 UYL786419:UYN786441 VIH786419:VIJ786441 VSD786419:VSF786441 WBZ786419:WCB786441 WLV786419:WLX786441 WVR786419:WVT786441 J851955:L851977 JF851955:JH851977 TB851955:TD851977 ACX851955:ACZ851977 AMT851955:AMV851977 AWP851955:AWR851977 BGL851955:BGN851977 BQH851955:BQJ851977 CAD851955:CAF851977 CJZ851955:CKB851977 CTV851955:CTX851977 DDR851955:DDT851977 DNN851955:DNP851977 DXJ851955:DXL851977 EHF851955:EHH851977 ERB851955:ERD851977 FAX851955:FAZ851977 FKT851955:FKV851977 FUP851955:FUR851977 GEL851955:GEN851977 GOH851955:GOJ851977 GYD851955:GYF851977 HHZ851955:HIB851977 HRV851955:HRX851977 IBR851955:IBT851977 ILN851955:ILP851977 IVJ851955:IVL851977 JFF851955:JFH851977 JPB851955:JPD851977 JYX851955:JYZ851977 KIT851955:KIV851977 KSP851955:KSR851977 LCL851955:LCN851977 LMH851955:LMJ851977 LWD851955:LWF851977 MFZ851955:MGB851977 MPV851955:MPX851977 MZR851955:MZT851977 NJN851955:NJP851977 NTJ851955:NTL851977 ODF851955:ODH851977 ONB851955:OND851977 OWX851955:OWZ851977 PGT851955:PGV851977 PQP851955:PQR851977 QAL851955:QAN851977 QKH851955:QKJ851977 QUD851955:QUF851977 RDZ851955:REB851977 RNV851955:RNX851977 RXR851955:RXT851977 SHN851955:SHP851977 SRJ851955:SRL851977 TBF851955:TBH851977 TLB851955:TLD851977 TUX851955:TUZ851977 UET851955:UEV851977 UOP851955:UOR851977 UYL851955:UYN851977 VIH851955:VIJ851977 VSD851955:VSF851977 WBZ851955:WCB851977 WLV851955:WLX851977 WVR851955:WVT851977 J917491:L917513 JF917491:JH917513 TB917491:TD917513 ACX917491:ACZ917513 AMT917491:AMV917513 AWP917491:AWR917513 BGL917491:BGN917513 BQH917491:BQJ917513 CAD917491:CAF917513 CJZ917491:CKB917513 CTV917491:CTX917513 DDR917491:DDT917513 DNN917491:DNP917513 DXJ917491:DXL917513 EHF917491:EHH917513 ERB917491:ERD917513 FAX917491:FAZ917513 FKT917491:FKV917513 FUP917491:FUR917513 GEL917491:GEN917513 GOH917491:GOJ917513 GYD917491:GYF917513 HHZ917491:HIB917513 HRV917491:HRX917513 IBR917491:IBT917513 ILN917491:ILP917513 IVJ917491:IVL917513 JFF917491:JFH917513 JPB917491:JPD917513 JYX917491:JYZ917513 KIT917491:KIV917513 KSP917491:KSR917513 LCL917491:LCN917513 LMH917491:LMJ917513 LWD917491:LWF917513 MFZ917491:MGB917513 MPV917491:MPX917513 MZR917491:MZT917513 NJN917491:NJP917513 NTJ917491:NTL917513 ODF917491:ODH917513 ONB917491:OND917513 OWX917491:OWZ917513 PGT917491:PGV917513 PQP917491:PQR917513 QAL917491:QAN917513 QKH917491:QKJ917513 QUD917491:QUF917513 RDZ917491:REB917513 RNV917491:RNX917513 RXR917491:RXT917513 SHN917491:SHP917513 SRJ917491:SRL917513 TBF917491:TBH917513 TLB917491:TLD917513 TUX917491:TUZ917513 UET917491:UEV917513 UOP917491:UOR917513 UYL917491:UYN917513 VIH917491:VIJ917513 VSD917491:VSF917513 WBZ917491:WCB917513 WLV917491:WLX917513 WVR917491:WVT917513 J983027:L983049 JF983027:JH983049 TB983027:TD983049 ACX983027:ACZ983049 AMT983027:AMV983049 AWP983027:AWR983049 BGL983027:BGN983049 BQH983027:BQJ983049 CAD983027:CAF983049 CJZ983027:CKB983049 CTV983027:CTX983049 DDR983027:DDT983049 DNN983027:DNP983049 DXJ983027:DXL983049 EHF983027:EHH983049 ERB983027:ERD983049 FAX983027:FAZ983049 FKT983027:FKV983049 FUP983027:FUR983049 GEL983027:GEN983049 GOH983027:GOJ983049 GYD983027:GYF983049 HHZ983027:HIB983049 HRV983027:HRX983049 IBR983027:IBT983049 ILN983027:ILP983049 IVJ983027:IVL983049 JFF983027:JFH983049 JPB983027:JPD983049 JYX983027:JYZ983049 KIT983027:KIV983049 KSP983027:KSR983049 LCL983027:LCN983049 LMH983027:LMJ983049 LWD983027:LWF983049 MFZ983027:MGB983049 MPV983027:MPX983049 MZR983027:MZT983049 NJN983027:NJP983049 NTJ983027:NTL983049 ODF983027:ODH983049 ONB983027:OND983049 OWX983027:OWZ983049 PGT983027:PGV983049 PQP983027:PQR983049 QAL983027:QAN983049 QKH983027:QKJ983049 QUD983027:QUF983049 RDZ983027:REB983049 RNV983027:RNX983049 RXR983027:RXT983049 SHN983027:SHP983049 SRJ983027:SRL983049 TBF983027:TBH983049 TLB983027:TLD983049 TUX983027:TUZ983049 UET983027:UEV983049 UOP983027:UOR983049 UYL983027:UYN983049 VIH983027:VIJ983049 VSD983027:VSF983049 WBZ983027:WCB983049 WLV983027:WLX983049 WVR983027:WVT983049 G50:H73 D17:D40 D50:D73 G17:H40" xr:uid="{B087FE4F-03DB-4B2D-BABD-0465B8AFA694}">
      <formula1>0</formula1>
    </dataValidation>
    <dataValidation type="decimal" operator="greaterThanOrEqual" allowBlank="1" showInputMessage="1" showErrorMessage="1" errorTitle="Negatieve waarde" error="Gelieve positieve waarde in te geven" sqref="JD65523:JE65545 SZ65523:TA65545 ACV65523:ACW65545 AMR65523:AMS65545 AWN65523:AWO65545 BGJ65523:BGK65545 BQF65523:BQG65545 CAB65523:CAC65545 CJX65523:CJY65545 CTT65523:CTU65545 DDP65523:DDQ65545 DNL65523:DNM65545 DXH65523:DXI65545 EHD65523:EHE65545 EQZ65523:ERA65545 FAV65523:FAW65545 FKR65523:FKS65545 FUN65523:FUO65545 GEJ65523:GEK65545 GOF65523:GOG65545 GYB65523:GYC65545 HHX65523:HHY65545 HRT65523:HRU65545 IBP65523:IBQ65545 ILL65523:ILM65545 IVH65523:IVI65545 JFD65523:JFE65545 JOZ65523:JPA65545 JYV65523:JYW65545 KIR65523:KIS65545 KSN65523:KSO65545 LCJ65523:LCK65545 LMF65523:LMG65545 LWB65523:LWC65545 MFX65523:MFY65545 MPT65523:MPU65545 MZP65523:MZQ65545 NJL65523:NJM65545 NTH65523:NTI65545 ODD65523:ODE65545 OMZ65523:ONA65545 OWV65523:OWW65545 PGR65523:PGS65545 PQN65523:PQO65545 QAJ65523:QAK65545 QKF65523:QKG65545 QUB65523:QUC65545 RDX65523:RDY65545 RNT65523:RNU65545 RXP65523:RXQ65545 SHL65523:SHM65545 SRH65523:SRI65545 TBD65523:TBE65545 TKZ65523:TLA65545 TUV65523:TUW65545 UER65523:UES65545 UON65523:UOO65545 UYJ65523:UYK65545 VIF65523:VIG65545 VSB65523:VSC65545 WBX65523:WBY65545 WLT65523:WLU65545 WVP65523:WVQ65545 JD131059:JE131081 SZ131059:TA131081 ACV131059:ACW131081 AMR131059:AMS131081 AWN131059:AWO131081 BGJ131059:BGK131081 BQF131059:BQG131081 CAB131059:CAC131081 CJX131059:CJY131081 CTT131059:CTU131081 DDP131059:DDQ131081 DNL131059:DNM131081 DXH131059:DXI131081 EHD131059:EHE131081 EQZ131059:ERA131081 FAV131059:FAW131081 FKR131059:FKS131081 FUN131059:FUO131081 GEJ131059:GEK131081 GOF131059:GOG131081 GYB131059:GYC131081 HHX131059:HHY131081 HRT131059:HRU131081 IBP131059:IBQ131081 ILL131059:ILM131081 IVH131059:IVI131081 JFD131059:JFE131081 JOZ131059:JPA131081 JYV131059:JYW131081 KIR131059:KIS131081 KSN131059:KSO131081 LCJ131059:LCK131081 LMF131059:LMG131081 LWB131059:LWC131081 MFX131059:MFY131081 MPT131059:MPU131081 MZP131059:MZQ131081 NJL131059:NJM131081 NTH131059:NTI131081 ODD131059:ODE131081 OMZ131059:ONA131081 OWV131059:OWW131081 PGR131059:PGS131081 PQN131059:PQO131081 QAJ131059:QAK131081 QKF131059:QKG131081 QUB131059:QUC131081 RDX131059:RDY131081 RNT131059:RNU131081 RXP131059:RXQ131081 SHL131059:SHM131081 SRH131059:SRI131081 TBD131059:TBE131081 TKZ131059:TLA131081 TUV131059:TUW131081 UER131059:UES131081 UON131059:UOO131081 UYJ131059:UYK131081 VIF131059:VIG131081 VSB131059:VSC131081 WBX131059:WBY131081 WLT131059:WLU131081 WVP131059:WVQ131081 JD196595:JE196617 SZ196595:TA196617 ACV196595:ACW196617 AMR196595:AMS196617 AWN196595:AWO196617 BGJ196595:BGK196617 BQF196595:BQG196617 CAB196595:CAC196617 CJX196595:CJY196617 CTT196595:CTU196617 DDP196595:DDQ196617 DNL196595:DNM196617 DXH196595:DXI196617 EHD196595:EHE196617 EQZ196595:ERA196617 FAV196595:FAW196617 FKR196595:FKS196617 FUN196595:FUO196617 GEJ196595:GEK196617 GOF196595:GOG196617 GYB196595:GYC196617 HHX196595:HHY196617 HRT196595:HRU196617 IBP196595:IBQ196617 ILL196595:ILM196617 IVH196595:IVI196617 JFD196595:JFE196617 JOZ196595:JPA196617 JYV196595:JYW196617 KIR196595:KIS196617 KSN196595:KSO196617 LCJ196595:LCK196617 LMF196595:LMG196617 LWB196595:LWC196617 MFX196595:MFY196617 MPT196595:MPU196617 MZP196595:MZQ196617 NJL196595:NJM196617 NTH196595:NTI196617 ODD196595:ODE196617 OMZ196595:ONA196617 OWV196595:OWW196617 PGR196595:PGS196617 PQN196595:PQO196617 QAJ196595:QAK196617 QKF196595:QKG196617 QUB196595:QUC196617 RDX196595:RDY196617 RNT196595:RNU196617 RXP196595:RXQ196617 SHL196595:SHM196617 SRH196595:SRI196617 TBD196595:TBE196617 TKZ196595:TLA196617 TUV196595:TUW196617 UER196595:UES196617 UON196595:UOO196617 UYJ196595:UYK196617 VIF196595:VIG196617 VSB196595:VSC196617 WBX196595:WBY196617 WLT196595:WLU196617 WVP196595:WVQ196617 JD262131:JE262153 SZ262131:TA262153 ACV262131:ACW262153 AMR262131:AMS262153 AWN262131:AWO262153 BGJ262131:BGK262153 BQF262131:BQG262153 CAB262131:CAC262153 CJX262131:CJY262153 CTT262131:CTU262153 DDP262131:DDQ262153 DNL262131:DNM262153 DXH262131:DXI262153 EHD262131:EHE262153 EQZ262131:ERA262153 FAV262131:FAW262153 FKR262131:FKS262153 FUN262131:FUO262153 GEJ262131:GEK262153 GOF262131:GOG262153 GYB262131:GYC262153 HHX262131:HHY262153 HRT262131:HRU262153 IBP262131:IBQ262153 ILL262131:ILM262153 IVH262131:IVI262153 JFD262131:JFE262153 JOZ262131:JPA262153 JYV262131:JYW262153 KIR262131:KIS262153 KSN262131:KSO262153 LCJ262131:LCK262153 LMF262131:LMG262153 LWB262131:LWC262153 MFX262131:MFY262153 MPT262131:MPU262153 MZP262131:MZQ262153 NJL262131:NJM262153 NTH262131:NTI262153 ODD262131:ODE262153 OMZ262131:ONA262153 OWV262131:OWW262153 PGR262131:PGS262153 PQN262131:PQO262153 QAJ262131:QAK262153 QKF262131:QKG262153 QUB262131:QUC262153 RDX262131:RDY262153 RNT262131:RNU262153 RXP262131:RXQ262153 SHL262131:SHM262153 SRH262131:SRI262153 TBD262131:TBE262153 TKZ262131:TLA262153 TUV262131:TUW262153 UER262131:UES262153 UON262131:UOO262153 UYJ262131:UYK262153 VIF262131:VIG262153 VSB262131:VSC262153 WBX262131:WBY262153 WLT262131:WLU262153 WVP262131:WVQ262153 JD327667:JE327689 SZ327667:TA327689 ACV327667:ACW327689 AMR327667:AMS327689 AWN327667:AWO327689 BGJ327667:BGK327689 BQF327667:BQG327689 CAB327667:CAC327689 CJX327667:CJY327689 CTT327667:CTU327689 DDP327667:DDQ327689 DNL327667:DNM327689 DXH327667:DXI327689 EHD327667:EHE327689 EQZ327667:ERA327689 FAV327667:FAW327689 FKR327667:FKS327689 FUN327667:FUO327689 GEJ327667:GEK327689 GOF327667:GOG327689 GYB327667:GYC327689 HHX327667:HHY327689 HRT327667:HRU327689 IBP327667:IBQ327689 ILL327667:ILM327689 IVH327667:IVI327689 JFD327667:JFE327689 JOZ327667:JPA327689 JYV327667:JYW327689 KIR327667:KIS327689 KSN327667:KSO327689 LCJ327667:LCK327689 LMF327667:LMG327689 LWB327667:LWC327689 MFX327667:MFY327689 MPT327667:MPU327689 MZP327667:MZQ327689 NJL327667:NJM327689 NTH327667:NTI327689 ODD327667:ODE327689 OMZ327667:ONA327689 OWV327667:OWW327689 PGR327667:PGS327689 PQN327667:PQO327689 QAJ327667:QAK327689 QKF327667:QKG327689 QUB327667:QUC327689 RDX327667:RDY327689 RNT327667:RNU327689 RXP327667:RXQ327689 SHL327667:SHM327689 SRH327667:SRI327689 TBD327667:TBE327689 TKZ327667:TLA327689 TUV327667:TUW327689 UER327667:UES327689 UON327667:UOO327689 UYJ327667:UYK327689 VIF327667:VIG327689 VSB327667:VSC327689 WBX327667:WBY327689 WLT327667:WLU327689 WVP327667:WVQ327689 JD393203:JE393225 SZ393203:TA393225 ACV393203:ACW393225 AMR393203:AMS393225 AWN393203:AWO393225 BGJ393203:BGK393225 BQF393203:BQG393225 CAB393203:CAC393225 CJX393203:CJY393225 CTT393203:CTU393225 DDP393203:DDQ393225 DNL393203:DNM393225 DXH393203:DXI393225 EHD393203:EHE393225 EQZ393203:ERA393225 FAV393203:FAW393225 FKR393203:FKS393225 FUN393203:FUO393225 GEJ393203:GEK393225 GOF393203:GOG393225 GYB393203:GYC393225 HHX393203:HHY393225 HRT393203:HRU393225 IBP393203:IBQ393225 ILL393203:ILM393225 IVH393203:IVI393225 JFD393203:JFE393225 JOZ393203:JPA393225 JYV393203:JYW393225 KIR393203:KIS393225 KSN393203:KSO393225 LCJ393203:LCK393225 LMF393203:LMG393225 LWB393203:LWC393225 MFX393203:MFY393225 MPT393203:MPU393225 MZP393203:MZQ393225 NJL393203:NJM393225 NTH393203:NTI393225 ODD393203:ODE393225 OMZ393203:ONA393225 OWV393203:OWW393225 PGR393203:PGS393225 PQN393203:PQO393225 QAJ393203:QAK393225 QKF393203:QKG393225 QUB393203:QUC393225 RDX393203:RDY393225 RNT393203:RNU393225 RXP393203:RXQ393225 SHL393203:SHM393225 SRH393203:SRI393225 TBD393203:TBE393225 TKZ393203:TLA393225 TUV393203:TUW393225 UER393203:UES393225 UON393203:UOO393225 UYJ393203:UYK393225 VIF393203:VIG393225 VSB393203:VSC393225 WBX393203:WBY393225 WLT393203:WLU393225 WVP393203:WVQ393225 JD458739:JE458761 SZ458739:TA458761 ACV458739:ACW458761 AMR458739:AMS458761 AWN458739:AWO458761 BGJ458739:BGK458761 BQF458739:BQG458761 CAB458739:CAC458761 CJX458739:CJY458761 CTT458739:CTU458761 DDP458739:DDQ458761 DNL458739:DNM458761 DXH458739:DXI458761 EHD458739:EHE458761 EQZ458739:ERA458761 FAV458739:FAW458761 FKR458739:FKS458761 FUN458739:FUO458761 GEJ458739:GEK458761 GOF458739:GOG458761 GYB458739:GYC458761 HHX458739:HHY458761 HRT458739:HRU458761 IBP458739:IBQ458761 ILL458739:ILM458761 IVH458739:IVI458761 JFD458739:JFE458761 JOZ458739:JPA458761 JYV458739:JYW458761 KIR458739:KIS458761 KSN458739:KSO458761 LCJ458739:LCK458761 LMF458739:LMG458761 LWB458739:LWC458761 MFX458739:MFY458761 MPT458739:MPU458761 MZP458739:MZQ458761 NJL458739:NJM458761 NTH458739:NTI458761 ODD458739:ODE458761 OMZ458739:ONA458761 OWV458739:OWW458761 PGR458739:PGS458761 PQN458739:PQO458761 QAJ458739:QAK458761 QKF458739:QKG458761 QUB458739:QUC458761 RDX458739:RDY458761 RNT458739:RNU458761 RXP458739:RXQ458761 SHL458739:SHM458761 SRH458739:SRI458761 TBD458739:TBE458761 TKZ458739:TLA458761 TUV458739:TUW458761 UER458739:UES458761 UON458739:UOO458761 UYJ458739:UYK458761 VIF458739:VIG458761 VSB458739:VSC458761 WBX458739:WBY458761 WLT458739:WLU458761 WVP458739:WVQ458761 JD524275:JE524297 SZ524275:TA524297 ACV524275:ACW524297 AMR524275:AMS524297 AWN524275:AWO524297 BGJ524275:BGK524297 BQF524275:BQG524297 CAB524275:CAC524297 CJX524275:CJY524297 CTT524275:CTU524297 DDP524275:DDQ524297 DNL524275:DNM524297 DXH524275:DXI524297 EHD524275:EHE524297 EQZ524275:ERA524297 FAV524275:FAW524297 FKR524275:FKS524297 FUN524275:FUO524297 GEJ524275:GEK524297 GOF524275:GOG524297 GYB524275:GYC524297 HHX524275:HHY524297 HRT524275:HRU524297 IBP524275:IBQ524297 ILL524275:ILM524297 IVH524275:IVI524297 JFD524275:JFE524297 JOZ524275:JPA524297 JYV524275:JYW524297 KIR524275:KIS524297 KSN524275:KSO524297 LCJ524275:LCK524297 LMF524275:LMG524297 LWB524275:LWC524297 MFX524275:MFY524297 MPT524275:MPU524297 MZP524275:MZQ524297 NJL524275:NJM524297 NTH524275:NTI524297 ODD524275:ODE524297 OMZ524275:ONA524297 OWV524275:OWW524297 PGR524275:PGS524297 PQN524275:PQO524297 QAJ524275:QAK524297 QKF524275:QKG524297 QUB524275:QUC524297 RDX524275:RDY524297 RNT524275:RNU524297 RXP524275:RXQ524297 SHL524275:SHM524297 SRH524275:SRI524297 TBD524275:TBE524297 TKZ524275:TLA524297 TUV524275:TUW524297 UER524275:UES524297 UON524275:UOO524297 UYJ524275:UYK524297 VIF524275:VIG524297 VSB524275:VSC524297 WBX524275:WBY524297 WLT524275:WLU524297 WVP524275:WVQ524297 JD589811:JE589833 SZ589811:TA589833 ACV589811:ACW589833 AMR589811:AMS589833 AWN589811:AWO589833 BGJ589811:BGK589833 BQF589811:BQG589833 CAB589811:CAC589833 CJX589811:CJY589833 CTT589811:CTU589833 DDP589811:DDQ589833 DNL589811:DNM589833 DXH589811:DXI589833 EHD589811:EHE589833 EQZ589811:ERA589833 FAV589811:FAW589833 FKR589811:FKS589833 FUN589811:FUO589833 GEJ589811:GEK589833 GOF589811:GOG589833 GYB589811:GYC589833 HHX589811:HHY589833 HRT589811:HRU589833 IBP589811:IBQ589833 ILL589811:ILM589833 IVH589811:IVI589833 JFD589811:JFE589833 JOZ589811:JPA589833 JYV589811:JYW589833 KIR589811:KIS589833 KSN589811:KSO589833 LCJ589811:LCK589833 LMF589811:LMG589833 LWB589811:LWC589833 MFX589811:MFY589833 MPT589811:MPU589833 MZP589811:MZQ589833 NJL589811:NJM589833 NTH589811:NTI589833 ODD589811:ODE589833 OMZ589811:ONA589833 OWV589811:OWW589833 PGR589811:PGS589833 PQN589811:PQO589833 QAJ589811:QAK589833 QKF589811:QKG589833 QUB589811:QUC589833 RDX589811:RDY589833 RNT589811:RNU589833 RXP589811:RXQ589833 SHL589811:SHM589833 SRH589811:SRI589833 TBD589811:TBE589833 TKZ589811:TLA589833 TUV589811:TUW589833 UER589811:UES589833 UON589811:UOO589833 UYJ589811:UYK589833 VIF589811:VIG589833 VSB589811:VSC589833 WBX589811:WBY589833 WLT589811:WLU589833 WVP589811:WVQ589833 JD655347:JE655369 SZ655347:TA655369 ACV655347:ACW655369 AMR655347:AMS655369 AWN655347:AWO655369 BGJ655347:BGK655369 BQF655347:BQG655369 CAB655347:CAC655369 CJX655347:CJY655369 CTT655347:CTU655369 DDP655347:DDQ655369 DNL655347:DNM655369 DXH655347:DXI655369 EHD655347:EHE655369 EQZ655347:ERA655369 FAV655347:FAW655369 FKR655347:FKS655369 FUN655347:FUO655369 GEJ655347:GEK655369 GOF655347:GOG655369 GYB655347:GYC655369 HHX655347:HHY655369 HRT655347:HRU655369 IBP655347:IBQ655369 ILL655347:ILM655369 IVH655347:IVI655369 JFD655347:JFE655369 JOZ655347:JPA655369 JYV655347:JYW655369 KIR655347:KIS655369 KSN655347:KSO655369 LCJ655347:LCK655369 LMF655347:LMG655369 LWB655347:LWC655369 MFX655347:MFY655369 MPT655347:MPU655369 MZP655347:MZQ655369 NJL655347:NJM655369 NTH655347:NTI655369 ODD655347:ODE655369 OMZ655347:ONA655369 OWV655347:OWW655369 PGR655347:PGS655369 PQN655347:PQO655369 QAJ655347:QAK655369 QKF655347:QKG655369 QUB655347:QUC655369 RDX655347:RDY655369 RNT655347:RNU655369 RXP655347:RXQ655369 SHL655347:SHM655369 SRH655347:SRI655369 TBD655347:TBE655369 TKZ655347:TLA655369 TUV655347:TUW655369 UER655347:UES655369 UON655347:UOO655369 UYJ655347:UYK655369 VIF655347:VIG655369 VSB655347:VSC655369 WBX655347:WBY655369 WLT655347:WLU655369 WVP655347:WVQ655369 JD720883:JE720905 SZ720883:TA720905 ACV720883:ACW720905 AMR720883:AMS720905 AWN720883:AWO720905 BGJ720883:BGK720905 BQF720883:BQG720905 CAB720883:CAC720905 CJX720883:CJY720905 CTT720883:CTU720905 DDP720883:DDQ720905 DNL720883:DNM720905 DXH720883:DXI720905 EHD720883:EHE720905 EQZ720883:ERA720905 FAV720883:FAW720905 FKR720883:FKS720905 FUN720883:FUO720905 GEJ720883:GEK720905 GOF720883:GOG720905 GYB720883:GYC720905 HHX720883:HHY720905 HRT720883:HRU720905 IBP720883:IBQ720905 ILL720883:ILM720905 IVH720883:IVI720905 JFD720883:JFE720905 JOZ720883:JPA720905 JYV720883:JYW720905 KIR720883:KIS720905 KSN720883:KSO720905 LCJ720883:LCK720905 LMF720883:LMG720905 LWB720883:LWC720905 MFX720883:MFY720905 MPT720883:MPU720905 MZP720883:MZQ720905 NJL720883:NJM720905 NTH720883:NTI720905 ODD720883:ODE720905 OMZ720883:ONA720905 OWV720883:OWW720905 PGR720883:PGS720905 PQN720883:PQO720905 QAJ720883:QAK720905 QKF720883:QKG720905 QUB720883:QUC720905 RDX720883:RDY720905 RNT720883:RNU720905 RXP720883:RXQ720905 SHL720883:SHM720905 SRH720883:SRI720905 TBD720883:TBE720905 TKZ720883:TLA720905 TUV720883:TUW720905 UER720883:UES720905 UON720883:UOO720905 UYJ720883:UYK720905 VIF720883:VIG720905 VSB720883:VSC720905 WBX720883:WBY720905 WLT720883:WLU720905 WVP720883:WVQ720905 JD786419:JE786441 SZ786419:TA786441 ACV786419:ACW786441 AMR786419:AMS786441 AWN786419:AWO786441 BGJ786419:BGK786441 BQF786419:BQG786441 CAB786419:CAC786441 CJX786419:CJY786441 CTT786419:CTU786441 DDP786419:DDQ786441 DNL786419:DNM786441 DXH786419:DXI786441 EHD786419:EHE786441 EQZ786419:ERA786441 FAV786419:FAW786441 FKR786419:FKS786441 FUN786419:FUO786441 GEJ786419:GEK786441 GOF786419:GOG786441 GYB786419:GYC786441 HHX786419:HHY786441 HRT786419:HRU786441 IBP786419:IBQ786441 ILL786419:ILM786441 IVH786419:IVI786441 JFD786419:JFE786441 JOZ786419:JPA786441 JYV786419:JYW786441 KIR786419:KIS786441 KSN786419:KSO786441 LCJ786419:LCK786441 LMF786419:LMG786441 LWB786419:LWC786441 MFX786419:MFY786441 MPT786419:MPU786441 MZP786419:MZQ786441 NJL786419:NJM786441 NTH786419:NTI786441 ODD786419:ODE786441 OMZ786419:ONA786441 OWV786419:OWW786441 PGR786419:PGS786441 PQN786419:PQO786441 QAJ786419:QAK786441 QKF786419:QKG786441 QUB786419:QUC786441 RDX786419:RDY786441 RNT786419:RNU786441 RXP786419:RXQ786441 SHL786419:SHM786441 SRH786419:SRI786441 TBD786419:TBE786441 TKZ786419:TLA786441 TUV786419:TUW786441 UER786419:UES786441 UON786419:UOO786441 UYJ786419:UYK786441 VIF786419:VIG786441 VSB786419:VSC786441 WBX786419:WBY786441 WLT786419:WLU786441 WVP786419:WVQ786441 JD851955:JE851977 SZ851955:TA851977 ACV851955:ACW851977 AMR851955:AMS851977 AWN851955:AWO851977 BGJ851955:BGK851977 BQF851955:BQG851977 CAB851955:CAC851977 CJX851955:CJY851977 CTT851955:CTU851977 DDP851955:DDQ851977 DNL851955:DNM851977 DXH851955:DXI851977 EHD851955:EHE851977 EQZ851955:ERA851977 FAV851955:FAW851977 FKR851955:FKS851977 FUN851955:FUO851977 GEJ851955:GEK851977 GOF851955:GOG851977 GYB851955:GYC851977 HHX851955:HHY851977 HRT851955:HRU851977 IBP851955:IBQ851977 ILL851955:ILM851977 IVH851955:IVI851977 JFD851955:JFE851977 JOZ851955:JPA851977 JYV851955:JYW851977 KIR851955:KIS851977 KSN851955:KSO851977 LCJ851955:LCK851977 LMF851955:LMG851977 LWB851955:LWC851977 MFX851955:MFY851977 MPT851955:MPU851977 MZP851955:MZQ851977 NJL851955:NJM851977 NTH851955:NTI851977 ODD851955:ODE851977 OMZ851955:ONA851977 OWV851955:OWW851977 PGR851955:PGS851977 PQN851955:PQO851977 QAJ851955:QAK851977 QKF851955:QKG851977 QUB851955:QUC851977 RDX851955:RDY851977 RNT851955:RNU851977 RXP851955:RXQ851977 SHL851955:SHM851977 SRH851955:SRI851977 TBD851955:TBE851977 TKZ851955:TLA851977 TUV851955:TUW851977 UER851955:UES851977 UON851955:UOO851977 UYJ851955:UYK851977 VIF851955:VIG851977 VSB851955:VSC851977 WBX851955:WBY851977 WLT851955:WLU851977 WVP851955:WVQ851977 JD917491:JE917513 SZ917491:TA917513 ACV917491:ACW917513 AMR917491:AMS917513 AWN917491:AWO917513 BGJ917491:BGK917513 BQF917491:BQG917513 CAB917491:CAC917513 CJX917491:CJY917513 CTT917491:CTU917513 DDP917491:DDQ917513 DNL917491:DNM917513 DXH917491:DXI917513 EHD917491:EHE917513 EQZ917491:ERA917513 FAV917491:FAW917513 FKR917491:FKS917513 FUN917491:FUO917513 GEJ917491:GEK917513 GOF917491:GOG917513 GYB917491:GYC917513 HHX917491:HHY917513 HRT917491:HRU917513 IBP917491:IBQ917513 ILL917491:ILM917513 IVH917491:IVI917513 JFD917491:JFE917513 JOZ917491:JPA917513 JYV917491:JYW917513 KIR917491:KIS917513 KSN917491:KSO917513 LCJ917491:LCK917513 LMF917491:LMG917513 LWB917491:LWC917513 MFX917491:MFY917513 MPT917491:MPU917513 MZP917491:MZQ917513 NJL917491:NJM917513 NTH917491:NTI917513 ODD917491:ODE917513 OMZ917491:ONA917513 OWV917491:OWW917513 PGR917491:PGS917513 PQN917491:PQO917513 QAJ917491:QAK917513 QKF917491:QKG917513 QUB917491:QUC917513 RDX917491:RDY917513 RNT917491:RNU917513 RXP917491:RXQ917513 SHL917491:SHM917513 SRH917491:SRI917513 TBD917491:TBE917513 TKZ917491:TLA917513 TUV917491:TUW917513 UER917491:UES917513 UON917491:UOO917513 UYJ917491:UYK917513 VIF917491:VIG917513 VSB917491:VSC917513 WBX917491:WBY917513 WLT917491:WLU917513 WVP917491:WVQ917513 WVU983027:WVU983049 JD983027:JE983049 SZ983027:TA983049 ACV983027:ACW983049 AMR983027:AMS983049 AWN983027:AWO983049 BGJ983027:BGK983049 BQF983027:BQG983049 CAB983027:CAC983049 CJX983027:CJY983049 CTT983027:CTU983049 DDP983027:DDQ983049 DNL983027:DNM983049 DXH983027:DXI983049 EHD983027:EHE983049 EQZ983027:ERA983049 FAV983027:FAW983049 FKR983027:FKS983049 FUN983027:FUO983049 GEJ983027:GEK983049 GOF983027:GOG983049 GYB983027:GYC983049 HHX983027:HHY983049 HRT983027:HRU983049 IBP983027:IBQ983049 ILL983027:ILM983049 IVH983027:IVI983049 JFD983027:JFE983049 JOZ983027:JPA983049 JYV983027:JYW983049 KIR983027:KIS983049 KSN983027:KSO983049 LCJ983027:LCK983049 LMF983027:LMG983049 LWB983027:LWC983049 MFX983027:MFY983049 MPT983027:MPU983049 MZP983027:MZQ983049 NJL983027:NJM983049 NTH983027:NTI983049 ODD983027:ODE983049 OMZ983027:ONA983049 OWV983027:OWW983049 PGR983027:PGS983049 PQN983027:PQO983049 QAJ983027:QAK983049 QKF983027:QKG983049 QUB983027:QUC983049 RDX983027:RDY983049 RNT983027:RNU983049 RXP983027:RXQ983049 SHL983027:SHM983049 SRH983027:SRI983049 TBD983027:TBE983049 TKZ983027:TLA983049 TUV983027:TUW983049 UER983027:UES983049 UON983027:UOO983049 UYJ983027:UYK983049 VIF983027:VIG983049 VSB983027:VSC983049 WBX983027:WBY983049 WLT983027:WLU983049 WVP983027:WVQ983049 C65523:C65545 JA65523:JA65545 SW65523:SW65545 ACS65523:ACS65545 AMO65523:AMO65545 AWK65523:AWK65545 BGG65523:BGG65545 BQC65523:BQC65545 BZY65523:BZY65545 CJU65523:CJU65545 CTQ65523:CTQ65545 DDM65523:DDM65545 DNI65523:DNI65545 DXE65523:DXE65545 EHA65523:EHA65545 EQW65523:EQW65545 FAS65523:FAS65545 FKO65523:FKO65545 FUK65523:FUK65545 GEG65523:GEG65545 GOC65523:GOC65545 GXY65523:GXY65545 HHU65523:HHU65545 HRQ65523:HRQ65545 IBM65523:IBM65545 ILI65523:ILI65545 IVE65523:IVE65545 JFA65523:JFA65545 JOW65523:JOW65545 JYS65523:JYS65545 KIO65523:KIO65545 KSK65523:KSK65545 LCG65523:LCG65545 LMC65523:LMC65545 LVY65523:LVY65545 MFU65523:MFU65545 MPQ65523:MPQ65545 MZM65523:MZM65545 NJI65523:NJI65545 NTE65523:NTE65545 ODA65523:ODA65545 OMW65523:OMW65545 OWS65523:OWS65545 PGO65523:PGO65545 PQK65523:PQK65545 QAG65523:QAG65545 QKC65523:QKC65545 QTY65523:QTY65545 RDU65523:RDU65545 RNQ65523:RNQ65545 RXM65523:RXM65545 SHI65523:SHI65545 SRE65523:SRE65545 TBA65523:TBA65545 TKW65523:TKW65545 TUS65523:TUS65545 UEO65523:UEO65545 UOK65523:UOK65545 UYG65523:UYG65545 VIC65523:VIC65545 VRY65523:VRY65545 WBU65523:WBU65545 WLQ65523:WLQ65545 WVM65523:WVM65545 C131059:C131081 JA131059:JA131081 SW131059:SW131081 ACS131059:ACS131081 AMO131059:AMO131081 AWK131059:AWK131081 BGG131059:BGG131081 BQC131059:BQC131081 BZY131059:BZY131081 CJU131059:CJU131081 CTQ131059:CTQ131081 DDM131059:DDM131081 DNI131059:DNI131081 DXE131059:DXE131081 EHA131059:EHA131081 EQW131059:EQW131081 FAS131059:FAS131081 FKO131059:FKO131081 FUK131059:FUK131081 GEG131059:GEG131081 GOC131059:GOC131081 GXY131059:GXY131081 HHU131059:HHU131081 HRQ131059:HRQ131081 IBM131059:IBM131081 ILI131059:ILI131081 IVE131059:IVE131081 JFA131059:JFA131081 JOW131059:JOW131081 JYS131059:JYS131081 KIO131059:KIO131081 KSK131059:KSK131081 LCG131059:LCG131081 LMC131059:LMC131081 LVY131059:LVY131081 MFU131059:MFU131081 MPQ131059:MPQ131081 MZM131059:MZM131081 NJI131059:NJI131081 NTE131059:NTE131081 ODA131059:ODA131081 OMW131059:OMW131081 OWS131059:OWS131081 PGO131059:PGO131081 PQK131059:PQK131081 QAG131059:QAG131081 QKC131059:QKC131081 QTY131059:QTY131081 RDU131059:RDU131081 RNQ131059:RNQ131081 RXM131059:RXM131081 SHI131059:SHI131081 SRE131059:SRE131081 TBA131059:TBA131081 TKW131059:TKW131081 TUS131059:TUS131081 UEO131059:UEO131081 UOK131059:UOK131081 UYG131059:UYG131081 VIC131059:VIC131081 VRY131059:VRY131081 WBU131059:WBU131081 WLQ131059:WLQ131081 WVM131059:WVM131081 C196595:C196617 JA196595:JA196617 SW196595:SW196617 ACS196595:ACS196617 AMO196595:AMO196617 AWK196595:AWK196617 BGG196595:BGG196617 BQC196595:BQC196617 BZY196595:BZY196617 CJU196595:CJU196617 CTQ196595:CTQ196617 DDM196595:DDM196617 DNI196595:DNI196617 DXE196595:DXE196617 EHA196595:EHA196617 EQW196595:EQW196617 FAS196595:FAS196617 FKO196595:FKO196617 FUK196595:FUK196617 GEG196595:GEG196617 GOC196595:GOC196617 GXY196595:GXY196617 HHU196595:HHU196617 HRQ196595:HRQ196617 IBM196595:IBM196617 ILI196595:ILI196617 IVE196595:IVE196617 JFA196595:JFA196617 JOW196595:JOW196617 JYS196595:JYS196617 KIO196595:KIO196617 KSK196595:KSK196617 LCG196595:LCG196617 LMC196595:LMC196617 LVY196595:LVY196617 MFU196595:MFU196617 MPQ196595:MPQ196617 MZM196595:MZM196617 NJI196595:NJI196617 NTE196595:NTE196617 ODA196595:ODA196617 OMW196595:OMW196617 OWS196595:OWS196617 PGO196595:PGO196617 PQK196595:PQK196617 QAG196595:QAG196617 QKC196595:QKC196617 QTY196595:QTY196617 RDU196595:RDU196617 RNQ196595:RNQ196617 RXM196595:RXM196617 SHI196595:SHI196617 SRE196595:SRE196617 TBA196595:TBA196617 TKW196595:TKW196617 TUS196595:TUS196617 UEO196595:UEO196617 UOK196595:UOK196617 UYG196595:UYG196617 VIC196595:VIC196617 VRY196595:VRY196617 WBU196595:WBU196617 WLQ196595:WLQ196617 WVM196595:WVM196617 C262131:C262153 JA262131:JA262153 SW262131:SW262153 ACS262131:ACS262153 AMO262131:AMO262153 AWK262131:AWK262153 BGG262131:BGG262153 BQC262131:BQC262153 BZY262131:BZY262153 CJU262131:CJU262153 CTQ262131:CTQ262153 DDM262131:DDM262153 DNI262131:DNI262153 DXE262131:DXE262153 EHA262131:EHA262153 EQW262131:EQW262153 FAS262131:FAS262153 FKO262131:FKO262153 FUK262131:FUK262153 GEG262131:GEG262153 GOC262131:GOC262153 GXY262131:GXY262153 HHU262131:HHU262153 HRQ262131:HRQ262153 IBM262131:IBM262153 ILI262131:ILI262153 IVE262131:IVE262153 JFA262131:JFA262153 JOW262131:JOW262153 JYS262131:JYS262153 KIO262131:KIO262153 KSK262131:KSK262153 LCG262131:LCG262153 LMC262131:LMC262153 LVY262131:LVY262153 MFU262131:MFU262153 MPQ262131:MPQ262153 MZM262131:MZM262153 NJI262131:NJI262153 NTE262131:NTE262153 ODA262131:ODA262153 OMW262131:OMW262153 OWS262131:OWS262153 PGO262131:PGO262153 PQK262131:PQK262153 QAG262131:QAG262153 QKC262131:QKC262153 QTY262131:QTY262153 RDU262131:RDU262153 RNQ262131:RNQ262153 RXM262131:RXM262153 SHI262131:SHI262153 SRE262131:SRE262153 TBA262131:TBA262153 TKW262131:TKW262153 TUS262131:TUS262153 UEO262131:UEO262153 UOK262131:UOK262153 UYG262131:UYG262153 VIC262131:VIC262153 VRY262131:VRY262153 WBU262131:WBU262153 WLQ262131:WLQ262153 WVM262131:WVM262153 C327667:C327689 JA327667:JA327689 SW327667:SW327689 ACS327667:ACS327689 AMO327667:AMO327689 AWK327667:AWK327689 BGG327667:BGG327689 BQC327667:BQC327689 BZY327667:BZY327689 CJU327667:CJU327689 CTQ327667:CTQ327689 DDM327667:DDM327689 DNI327667:DNI327689 DXE327667:DXE327689 EHA327667:EHA327689 EQW327667:EQW327689 FAS327667:FAS327689 FKO327667:FKO327689 FUK327667:FUK327689 GEG327667:GEG327689 GOC327667:GOC327689 GXY327667:GXY327689 HHU327667:HHU327689 HRQ327667:HRQ327689 IBM327667:IBM327689 ILI327667:ILI327689 IVE327667:IVE327689 JFA327667:JFA327689 JOW327667:JOW327689 JYS327667:JYS327689 KIO327667:KIO327689 KSK327667:KSK327689 LCG327667:LCG327689 LMC327667:LMC327689 LVY327667:LVY327689 MFU327667:MFU327689 MPQ327667:MPQ327689 MZM327667:MZM327689 NJI327667:NJI327689 NTE327667:NTE327689 ODA327667:ODA327689 OMW327667:OMW327689 OWS327667:OWS327689 PGO327667:PGO327689 PQK327667:PQK327689 QAG327667:QAG327689 QKC327667:QKC327689 QTY327667:QTY327689 RDU327667:RDU327689 RNQ327667:RNQ327689 RXM327667:RXM327689 SHI327667:SHI327689 SRE327667:SRE327689 TBA327667:TBA327689 TKW327667:TKW327689 TUS327667:TUS327689 UEO327667:UEO327689 UOK327667:UOK327689 UYG327667:UYG327689 VIC327667:VIC327689 VRY327667:VRY327689 WBU327667:WBU327689 WLQ327667:WLQ327689 WVM327667:WVM327689 C393203:C393225 JA393203:JA393225 SW393203:SW393225 ACS393203:ACS393225 AMO393203:AMO393225 AWK393203:AWK393225 BGG393203:BGG393225 BQC393203:BQC393225 BZY393203:BZY393225 CJU393203:CJU393225 CTQ393203:CTQ393225 DDM393203:DDM393225 DNI393203:DNI393225 DXE393203:DXE393225 EHA393203:EHA393225 EQW393203:EQW393225 FAS393203:FAS393225 FKO393203:FKO393225 FUK393203:FUK393225 GEG393203:GEG393225 GOC393203:GOC393225 GXY393203:GXY393225 HHU393203:HHU393225 HRQ393203:HRQ393225 IBM393203:IBM393225 ILI393203:ILI393225 IVE393203:IVE393225 JFA393203:JFA393225 JOW393203:JOW393225 JYS393203:JYS393225 KIO393203:KIO393225 KSK393203:KSK393225 LCG393203:LCG393225 LMC393203:LMC393225 LVY393203:LVY393225 MFU393203:MFU393225 MPQ393203:MPQ393225 MZM393203:MZM393225 NJI393203:NJI393225 NTE393203:NTE393225 ODA393203:ODA393225 OMW393203:OMW393225 OWS393203:OWS393225 PGO393203:PGO393225 PQK393203:PQK393225 QAG393203:QAG393225 QKC393203:QKC393225 QTY393203:QTY393225 RDU393203:RDU393225 RNQ393203:RNQ393225 RXM393203:RXM393225 SHI393203:SHI393225 SRE393203:SRE393225 TBA393203:TBA393225 TKW393203:TKW393225 TUS393203:TUS393225 UEO393203:UEO393225 UOK393203:UOK393225 UYG393203:UYG393225 VIC393203:VIC393225 VRY393203:VRY393225 WBU393203:WBU393225 WLQ393203:WLQ393225 WVM393203:WVM393225 C458739:C458761 JA458739:JA458761 SW458739:SW458761 ACS458739:ACS458761 AMO458739:AMO458761 AWK458739:AWK458761 BGG458739:BGG458761 BQC458739:BQC458761 BZY458739:BZY458761 CJU458739:CJU458761 CTQ458739:CTQ458761 DDM458739:DDM458761 DNI458739:DNI458761 DXE458739:DXE458761 EHA458739:EHA458761 EQW458739:EQW458761 FAS458739:FAS458761 FKO458739:FKO458761 FUK458739:FUK458761 GEG458739:GEG458761 GOC458739:GOC458761 GXY458739:GXY458761 HHU458739:HHU458761 HRQ458739:HRQ458761 IBM458739:IBM458761 ILI458739:ILI458761 IVE458739:IVE458761 JFA458739:JFA458761 JOW458739:JOW458761 JYS458739:JYS458761 KIO458739:KIO458761 KSK458739:KSK458761 LCG458739:LCG458761 LMC458739:LMC458761 LVY458739:LVY458761 MFU458739:MFU458761 MPQ458739:MPQ458761 MZM458739:MZM458761 NJI458739:NJI458761 NTE458739:NTE458761 ODA458739:ODA458761 OMW458739:OMW458761 OWS458739:OWS458761 PGO458739:PGO458761 PQK458739:PQK458761 QAG458739:QAG458761 QKC458739:QKC458761 QTY458739:QTY458761 RDU458739:RDU458761 RNQ458739:RNQ458761 RXM458739:RXM458761 SHI458739:SHI458761 SRE458739:SRE458761 TBA458739:TBA458761 TKW458739:TKW458761 TUS458739:TUS458761 UEO458739:UEO458761 UOK458739:UOK458761 UYG458739:UYG458761 VIC458739:VIC458761 VRY458739:VRY458761 WBU458739:WBU458761 WLQ458739:WLQ458761 WVM458739:WVM458761 C524275:C524297 JA524275:JA524297 SW524275:SW524297 ACS524275:ACS524297 AMO524275:AMO524297 AWK524275:AWK524297 BGG524275:BGG524297 BQC524275:BQC524297 BZY524275:BZY524297 CJU524275:CJU524297 CTQ524275:CTQ524297 DDM524275:DDM524297 DNI524275:DNI524297 DXE524275:DXE524297 EHA524275:EHA524297 EQW524275:EQW524297 FAS524275:FAS524297 FKO524275:FKO524297 FUK524275:FUK524297 GEG524275:GEG524297 GOC524275:GOC524297 GXY524275:GXY524297 HHU524275:HHU524297 HRQ524275:HRQ524297 IBM524275:IBM524297 ILI524275:ILI524297 IVE524275:IVE524297 JFA524275:JFA524297 JOW524275:JOW524297 JYS524275:JYS524297 KIO524275:KIO524297 KSK524275:KSK524297 LCG524275:LCG524297 LMC524275:LMC524297 LVY524275:LVY524297 MFU524275:MFU524297 MPQ524275:MPQ524297 MZM524275:MZM524297 NJI524275:NJI524297 NTE524275:NTE524297 ODA524275:ODA524297 OMW524275:OMW524297 OWS524275:OWS524297 PGO524275:PGO524297 PQK524275:PQK524297 QAG524275:QAG524297 QKC524275:QKC524297 QTY524275:QTY524297 RDU524275:RDU524297 RNQ524275:RNQ524297 RXM524275:RXM524297 SHI524275:SHI524297 SRE524275:SRE524297 TBA524275:TBA524297 TKW524275:TKW524297 TUS524275:TUS524297 UEO524275:UEO524297 UOK524275:UOK524297 UYG524275:UYG524297 VIC524275:VIC524297 VRY524275:VRY524297 WBU524275:WBU524297 WLQ524275:WLQ524297 WVM524275:WVM524297 C589811:C589833 JA589811:JA589833 SW589811:SW589833 ACS589811:ACS589833 AMO589811:AMO589833 AWK589811:AWK589833 BGG589811:BGG589833 BQC589811:BQC589833 BZY589811:BZY589833 CJU589811:CJU589833 CTQ589811:CTQ589833 DDM589811:DDM589833 DNI589811:DNI589833 DXE589811:DXE589833 EHA589811:EHA589833 EQW589811:EQW589833 FAS589811:FAS589833 FKO589811:FKO589833 FUK589811:FUK589833 GEG589811:GEG589833 GOC589811:GOC589833 GXY589811:GXY589833 HHU589811:HHU589833 HRQ589811:HRQ589833 IBM589811:IBM589833 ILI589811:ILI589833 IVE589811:IVE589833 JFA589811:JFA589833 JOW589811:JOW589833 JYS589811:JYS589833 KIO589811:KIO589833 KSK589811:KSK589833 LCG589811:LCG589833 LMC589811:LMC589833 LVY589811:LVY589833 MFU589811:MFU589833 MPQ589811:MPQ589833 MZM589811:MZM589833 NJI589811:NJI589833 NTE589811:NTE589833 ODA589811:ODA589833 OMW589811:OMW589833 OWS589811:OWS589833 PGO589811:PGO589833 PQK589811:PQK589833 QAG589811:QAG589833 QKC589811:QKC589833 QTY589811:QTY589833 RDU589811:RDU589833 RNQ589811:RNQ589833 RXM589811:RXM589833 SHI589811:SHI589833 SRE589811:SRE589833 TBA589811:TBA589833 TKW589811:TKW589833 TUS589811:TUS589833 UEO589811:UEO589833 UOK589811:UOK589833 UYG589811:UYG589833 VIC589811:VIC589833 VRY589811:VRY589833 WBU589811:WBU589833 WLQ589811:WLQ589833 WVM589811:WVM589833 C655347:C655369 JA655347:JA655369 SW655347:SW655369 ACS655347:ACS655369 AMO655347:AMO655369 AWK655347:AWK655369 BGG655347:BGG655369 BQC655347:BQC655369 BZY655347:BZY655369 CJU655347:CJU655369 CTQ655347:CTQ655369 DDM655347:DDM655369 DNI655347:DNI655369 DXE655347:DXE655369 EHA655347:EHA655369 EQW655347:EQW655369 FAS655347:FAS655369 FKO655347:FKO655369 FUK655347:FUK655369 GEG655347:GEG655369 GOC655347:GOC655369 GXY655347:GXY655369 HHU655347:HHU655369 HRQ655347:HRQ655369 IBM655347:IBM655369 ILI655347:ILI655369 IVE655347:IVE655369 JFA655347:JFA655369 JOW655347:JOW655369 JYS655347:JYS655369 KIO655347:KIO655369 KSK655347:KSK655369 LCG655347:LCG655369 LMC655347:LMC655369 LVY655347:LVY655369 MFU655347:MFU655369 MPQ655347:MPQ655369 MZM655347:MZM655369 NJI655347:NJI655369 NTE655347:NTE655369 ODA655347:ODA655369 OMW655347:OMW655369 OWS655347:OWS655369 PGO655347:PGO655369 PQK655347:PQK655369 QAG655347:QAG655369 QKC655347:QKC655369 QTY655347:QTY655369 RDU655347:RDU655369 RNQ655347:RNQ655369 RXM655347:RXM655369 SHI655347:SHI655369 SRE655347:SRE655369 TBA655347:TBA655369 TKW655347:TKW655369 TUS655347:TUS655369 UEO655347:UEO655369 UOK655347:UOK655369 UYG655347:UYG655369 VIC655347:VIC655369 VRY655347:VRY655369 WBU655347:WBU655369 WLQ655347:WLQ655369 WVM655347:WVM655369 C720883:C720905 JA720883:JA720905 SW720883:SW720905 ACS720883:ACS720905 AMO720883:AMO720905 AWK720883:AWK720905 BGG720883:BGG720905 BQC720883:BQC720905 BZY720883:BZY720905 CJU720883:CJU720905 CTQ720883:CTQ720905 DDM720883:DDM720905 DNI720883:DNI720905 DXE720883:DXE720905 EHA720883:EHA720905 EQW720883:EQW720905 FAS720883:FAS720905 FKO720883:FKO720905 FUK720883:FUK720905 GEG720883:GEG720905 GOC720883:GOC720905 GXY720883:GXY720905 HHU720883:HHU720905 HRQ720883:HRQ720905 IBM720883:IBM720905 ILI720883:ILI720905 IVE720883:IVE720905 JFA720883:JFA720905 JOW720883:JOW720905 JYS720883:JYS720905 KIO720883:KIO720905 KSK720883:KSK720905 LCG720883:LCG720905 LMC720883:LMC720905 LVY720883:LVY720905 MFU720883:MFU720905 MPQ720883:MPQ720905 MZM720883:MZM720905 NJI720883:NJI720905 NTE720883:NTE720905 ODA720883:ODA720905 OMW720883:OMW720905 OWS720883:OWS720905 PGO720883:PGO720905 PQK720883:PQK720905 QAG720883:QAG720905 QKC720883:QKC720905 QTY720883:QTY720905 RDU720883:RDU720905 RNQ720883:RNQ720905 RXM720883:RXM720905 SHI720883:SHI720905 SRE720883:SRE720905 TBA720883:TBA720905 TKW720883:TKW720905 TUS720883:TUS720905 UEO720883:UEO720905 UOK720883:UOK720905 UYG720883:UYG720905 VIC720883:VIC720905 VRY720883:VRY720905 WBU720883:WBU720905 WLQ720883:WLQ720905 WVM720883:WVM720905 C786419:C786441 JA786419:JA786441 SW786419:SW786441 ACS786419:ACS786441 AMO786419:AMO786441 AWK786419:AWK786441 BGG786419:BGG786441 BQC786419:BQC786441 BZY786419:BZY786441 CJU786419:CJU786441 CTQ786419:CTQ786441 DDM786419:DDM786441 DNI786419:DNI786441 DXE786419:DXE786441 EHA786419:EHA786441 EQW786419:EQW786441 FAS786419:FAS786441 FKO786419:FKO786441 FUK786419:FUK786441 GEG786419:GEG786441 GOC786419:GOC786441 GXY786419:GXY786441 HHU786419:HHU786441 HRQ786419:HRQ786441 IBM786419:IBM786441 ILI786419:ILI786441 IVE786419:IVE786441 JFA786419:JFA786441 JOW786419:JOW786441 JYS786419:JYS786441 KIO786419:KIO786441 KSK786419:KSK786441 LCG786419:LCG786441 LMC786419:LMC786441 LVY786419:LVY786441 MFU786419:MFU786441 MPQ786419:MPQ786441 MZM786419:MZM786441 NJI786419:NJI786441 NTE786419:NTE786441 ODA786419:ODA786441 OMW786419:OMW786441 OWS786419:OWS786441 PGO786419:PGO786441 PQK786419:PQK786441 QAG786419:QAG786441 QKC786419:QKC786441 QTY786419:QTY786441 RDU786419:RDU786441 RNQ786419:RNQ786441 RXM786419:RXM786441 SHI786419:SHI786441 SRE786419:SRE786441 TBA786419:TBA786441 TKW786419:TKW786441 TUS786419:TUS786441 UEO786419:UEO786441 UOK786419:UOK786441 UYG786419:UYG786441 VIC786419:VIC786441 VRY786419:VRY786441 WBU786419:WBU786441 WLQ786419:WLQ786441 WVM786419:WVM786441 C851955:C851977 JA851955:JA851977 SW851955:SW851977 ACS851955:ACS851977 AMO851955:AMO851977 AWK851955:AWK851977 BGG851955:BGG851977 BQC851955:BQC851977 BZY851955:BZY851977 CJU851955:CJU851977 CTQ851955:CTQ851977 DDM851955:DDM851977 DNI851955:DNI851977 DXE851955:DXE851977 EHA851955:EHA851977 EQW851955:EQW851977 FAS851955:FAS851977 FKO851955:FKO851977 FUK851955:FUK851977 GEG851955:GEG851977 GOC851955:GOC851977 GXY851955:GXY851977 HHU851955:HHU851977 HRQ851955:HRQ851977 IBM851955:IBM851977 ILI851955:ILI851977 IVE851955:IVE851977 JFA851955:JFA851977 JOW851955:JOW851977 JYS851955:JYS851977 KIO851955:KIO851977 KSK851955:KSK851977 LCG851955:LCG851977 LMC851955:LMC851977 LVY851955:LVY851977 MFU851955:MFU851977 MPQ851955:MPQ851977 MZM851955:MZM851977 NJI851955:NJI851977 NTE851955:NTE851977 ODA851955:ODA851977 OMW851955:OMW851977 OWS851955:OWS851977 PGO851955:PGO851977 PQK851955:PQK851977 QAG851955:QAG851977 QKC851955:QKC851977 QTY851955:QTY851977 RDU851955:RDU851977 RNQ851955:RNQ851977 RXM851955:RXM851977 SHI851955:SHI851977 SRE851955:SRE851977 TBA851955:TBA851977 TKW851955:TKW851977 TUS851955:TUS851977 UEO851955:UEO851977 UOK851955:UOK851977 UYG851955:UYG851977 VIC851955:VIC851977 VRY851955:VRY851977 WBU851955:WBU851977 WLQ851955:WLQ851977 WVM851955:WVM851977 C917491:C917513 JA917491:JA917513 SW917491:SW917513 ACS917491:ACS917513 AMO917491:AMO917513 AWK917491:AWK917513 BGG917491:BGG917513 BQC917491:BQC917513 BZY917491:BZY917513 CJU917491:CJU917513 CTQ917491:CTQ917513 DDM917491:DDM917513 DNI917491:DNI917513 DXE917491:DXE917513 EHA917491:EHA917513 EQW917491:EQW917513 FAS917491:FAS917513 FKO917491:FKO917513 FUK917491:FUK917513 GEG917491:GEG917513 GOC917491:GOC917513 GXY917491:GXY917513 HHU917491:HHU917513 HRQ917491:HRQ917513 IBM917491:IBM917513 ILI917491:ILI917513 IVE917491:IVE917513 JFA917491:JFA917513 JOW917491:JOW917513 JYS917491:JYS917513 KIO917491:KIO917513 KSK917491:KSK917513 LCG917491:LCG917513 LMC917491:LMC917513 LVY917491:LVY917513 MFU917491:MFU917513 MPQ917491:MPQ917513 MZM917491:MZM917513 NJI917491:NJI917513 NTE917491:NTE917513 ODA917491:ODA917513 OMW917491:OMW917513 OWS917491:OWS917513 PGO917491:PGO917513 PQK917491:PQK917513 QAG917491:QAG917513 QKC917491:QKC917513 QTY917491:QTY917513 RDU917491:RDU917513 RNQ917491:RNQ917513 RXM917491:RXM917513 SHI917491:SHI917513 SRE917491:SRE917513 TBA917491:TBA917513 TKW917491:TKW917513 TUS917491:TUS917513 UEO917491:UEO917513 UOK917491:UOK917513 UYG917491:UYG917513 VIC917491:VIC917513 VRY917491:VRY917513 WBU917491:WBU917513 WLQ917491:WLQ917513 WVM917491:WVM917513 C983027:C983049 JA983027:JA983049 SW983027:SW983049 ACS983027:ACS983049 AMO983027:AMO983049 AWK983027:AWK983049 BGG983027:BGG983049 BQC983027:BQC983049 BZY983027:BZY983049 CJU983027:CJU983049 CTQ983027:CTQ983049 DDM983027:DDM983049 DNI983027:DNI983049 DXE983027:DXE983049 EHA983027:EHA983049 EQW983027:EQW983049 FAS983027:FAS983049 FKO983027:FKO983049 FUK983027:FUK983049 GEG983027:GEG983049 GOC983027:GOC983049 GXY983027:GXY983049 HHU983027:HHU983049 HRQ983027:HRQ983049 IBM983027:IBM983049 ILI983027:ILI983049 IVE983027:IVE983049 JFA983027:JFA983049 JOW983027:JOW983049 JYS983027:JYS983049 KIO983027:KIO983049 KSK983027:KSK983049 LCG983027:LCG983049 LMC983027:LMC983049 LVY983027:LVY983049 MFU983027:MFU983049 MPQ983027:MPQ983049 MZM983027:MZM983049 NJI983027:NJI983049 NTE983027:NTE983049 ODA983027:ODA983049 OMW983027:OMW983049 OWS983027:OWS983049 PGO983027:PGO983049 PQK983027:PQK983049 QAG983027:QAG983049 QKC983027:QKC983049 QTY983027:QTY983049 RDU983027:RDU983049 RNQ983027:RNQ983049 RXM983027:RXM983049 SHI983027:SHI983049 SRE983027:SRE983049 TBA983027:TBA983049 TKW983027:TKW983049 TUS983027:TUS983049 UEO983027:UEO983049 UOK983027:UOK983049 UYG983027:UYG983049 VIC983027:VIC983049 VRY983027:VRY983049 WBU983027:WBU983049 WLQ983027:WLQ983049 WVM983027:WVM983049 M65523:M65545 JI65523:JI65545 TE65523:TE65545 ADA65523:ADA65545 AMW65523:AMW65545 AWS65523:AWS65545 BGO65523:BGO65545 BQK65523:BQK65545 CAG65523:CAG65545 CKC65523:CKC65545 CTY65523:CTY65545 DDU65523:DDU65545 DNQ65523:DNQ65545 DXM65523:DXM65545 EHI65523:EHI65545 ERE65523:ERE65545 FBA65523:FBA65545 FKW65523:FKW65545 FUS65523:FUS65545 GEO65523:GEO65545 GOK65523:GOK65545 GYG65523:GYG65545 HIC65523:HIC65545 HRY65523:HRY65545 IBU65523:IBU65545 ILQ65523:ILQ65545 IVM65523:IVM65545 JFI65523:JFI65545 JPE65523:JPE65545 JZA65523:JZA65545 KIW65523:KIW65545 KSS65523:KSS65545 LCO65523:LCO65545 LMK65523:LMK65545 LWG65523:LWG65545 MGC65523:MGC65545 MPY65523:MPY65545 MZU65523:MZU65545 NJQ65523:NJQ65545 NTM65523:NTM65545 ODI65523:ODI65545 ONE65523:ONE65545 OXA65523:OXA65545 PGW65523:PGW65545 PQS65523:PQS65545 QAO65523:QAO65545 QKK65523:QKK65545 QUG65523:QUG65545 REC65523:REC65545 RNY65523:RNY65545 RXU65523:RXU65545 SHQ65523:SHQ65545 SRM65523:SRM65545 TBI65523:TBI65545 TLE65523:TLE65545 TVA65523:TVA65545 UEW65523:UEW65545 UOS65523:UOS65545 UYO65523:UYO65545 VIK65523:VIK65545 VSG65523:VSG65545 WCC65523:WCC65545 WLY65523:WLY65545 WVU65523:WVU65545 M131059:M131081 JI131059:JI131081 TE131059:TE131081 ADA131059:ADA131081 AMW131059:AMW131081 AWS131059:AWS131081 BGO131059:BGO131081 BQK131059:BQK131081 CAG131059:CAG131081 CKC131059:CKC131081 CTY131059:CTY131081 DDU131059:DDU131081 DNQ131059:DNQ131081 DXM131059:DXM131081 EHI131059:EHI131081 ERE131059:ERE131081 FBA131059:FBA131081 FKW131059:FKW131081 FUS131059:FUS131081 GEO131059:GEO131081 GOK131059:GOK131081 GYG131059:GYG131081 HIC131059:HIC131081 HRY131059:HRY131081 IBU131059:IBU131081 ILQ131059:ILQ131081 IVM131059:IVM131081 JFI131059:JFI131081 JPE131059:JPE131081 JZA131059:JZA131081 KIW131059:KIW131081 KSS131059:KSS131081 LCO131059:LCO131081 LMK131059:LMK131081 LWG131059:LWG131081 MGC131059:MGC131081 MPY131059:MPY131081 MZU131059:MZU131081 NJQ131059:NJQ131081 NTM131059:NTM131081 ODI131059:ODI131081 ONE131059:ONE131081 OXA131059:OXA131081 PGW131059:PGW131081 PQS131059:PQS131081 QAO131059:QAO131081 QKK131059:QKK131081 QUG131059:QUG131081 REC131059:REC131081 RNY131059:RNY131081 RXU131059:RXU131081 SHQ131059:SHQ131081 SRM131059:SRM131081 TBI131059:TBI131081 TLE131059:TLE131081 TVA131059:TVA131081 UEW131059:UEW131081 UOS131059:UOS131081 UYO131059:UYO131081 VIK131059:VIK131081 VSG131059:VSG131081 WCC131059:WCC131081 WLY131059:WLY131081 WVU131059:WVU131081 M196595:M196617 JI196595:JI196617 TE196595:TE196617 ADA196595:ADA196617 AMW196595:AMW196617 AWS196595:AWS196617 BGO196595:BGO196617 BQK196595:BQK196617 CAG196595:CAG196617 CKC196595:CKC196617 CTY196595:CTY196617 DDU196595:DDU196617 DNQ196595:DNQ196617 DXM196595:DXM196617 EHI196595:EHI196617 ERE196595:ERE196617 FBA196595:FBA196617 FKW196595:FKW196617 FUS196595:FUS196617 GEO196595:GEO196617 GOK196595:GOK196617 GYG196595:GYG196617 HIC196595:HIC196617 HRY196595:HRY196617 IBU196595:IBU196617 ILQ196595:ILQ196617 IVM196595:IVM196617 JFI196595:JFI196617 JPE196595:JPE196617 JZA196595:JZA196617 KIW196595:KIW196617 KSS196595:KSS196617 LCO196595:LCO196617 LMK196595:LMK196617 LWG196595:LWG196617 MGC196595:MGC196617 MPY196595:MPY196617 MZU196595:MZU196617 NJQ196595:NJQ196617 NTM196595:NTM196617 ODI196595:ODI196617 ONE196595:ONE196617 OXA196595:OXA196617 PGW196595:PGW196617 PQS196595:PQS196617 QAO196595:QAO196617 QKK196595:QKK196617 QUG196595:QUG196617 REC196595:REC196617 RNY196595:RNY196617 RXU196595:RXU196617 SHQ196595:SHQ196617 SRM196595:SRM196617 TBI196595:TBI196617 TLE196595:TLE196617 TVA196595:TVA196617 UEW196595:UEW196617 UOS196595:UOS196617 UYO196595:UYO196617 VIK196595:VIK196617 VSG196595:VSG196617 WCC196595:WCC196617 WLY196595:WLY196617 WVU196595:WVU196617 M262131:M262153 JI262131:JI262153 TE262131:TE262153 ADA262131:ADA262153 AMW262131:AMW262153 AWS262131:AWS262153 BGO262131:BGO262153 BQK262131:BQK262153 CAG262131:CAG262153 CKC262131:CKC262153 CTY262131:CTY262153 DDU262131:DDU262153 DNQ262131:DNQ262153 DXM262131:DXM262153 EHI262131:EHI262153 ERE262131:ERE262153 FBA262131:FBA262153 FKW262131:FKW262153 FUS262131:FUS262153 GEO262131:GEO262153 GOK262131:GOK262153 GYG262131:GYG262153 HIC262131:HIC262153 HRY262131:HRY262153 IBU262131:IBU262153 ILQ262131:ILQ262153 IVM262131:IVM262153 JFI262131:JFI262153 JPE262131:JPE262153 JZA262131:JZA262153 KIW262131:KIW262153 KSS262131:KSS262153 LCO262131:LCO262153 LMK262131:LMK262153 LWG262131:LWG262153 MGC262131:MGC262153 MPY262131:MPY262153 MZU262131:MZU262153 NJQ262131:NJQ262153 NTM262131:NTM262153 ODI262131:ODI262153 ONE262131:ONE262153 OXA262131:OXA262153 PGW262131:PGW262153 PQS262131:PQS262153 QAO262131:QAO262153 QKK262131:QKK262153 QUG262131:QUG262153 REC262131:REC262153 RNY262131:RNY262153 RXU262131:RXU262153 SHQ262131:SHQ262153 SRM262131:SRM262153 TBI262131:TBI262153 TLE262131:TLE262153 TVA262131:TVA262153 UEW262131:UEW262153 UOS262131:UOS262153 UYO262131:UYO262153 VIK262131:VIK262153 VSG262131:VSG262153 WCC262131:WCC262153 WLY262131:WLY262153 WVU262131:WVU262153 M327667:M327689 JI327667:JI327689 TE327667:TE327689 ADA327667:ADA327689 AMW327667:AMW327689 AWS327667:AWS327689 BGO327667:BGO327689 BQK327667:BQK327689 CAG327667:CAG327689 CKC327667:CKC327689 CTY327667:CTY327689 DDU327667:DDU327689 DNQ327667:DNQ327689 DXM327667:DXM327689 EHI327667:EHI327689 ERE327667:ERE327689 FBA327667:FBA327689 FKW327667:FKW327689 FUS327667:FUS327689 GEO327667:GEO327689 GOK327667:GOK327689 GYG327667:GYG327689 HIC327667:HIC327689 HRY327667:HRY327689 IBU327667:IBU327689 ILQ327667:ILQ327689 IVM327667:IVM327689 JFI327667:JFI327689 JPE327667:JPE327689 JZA327667:JZA327689 KIW327667:KIW327689 KSS327667:KSS327689 LCO327667:LCO327689 LMK327667:LMK327689 LWG327667:LWG327689 MGC327667:MGC327689 MPY327667:MPY327689 MZU327667:MZU327689 NJQ327667:NJQ327689 NTM327667:NTM327689 ODI327667:ODI327689 ONE327667:ONE327689 OXA327667:OXA327689 PGW327667:PGW327689 PQS327667:PQS327689 QAO327667:QAO327689 QKK327667:QKK327689 QUG327667:QUG327689 REC327667:REC327689 RNY327667:RNY327689 RXU327667:RXU327689 SHQ327667:SHQ327689 SRM327667:SRM327689 TBI327667:TBI327689 TLE327667:TLE327689 TVA327667:TVA327689 UEW327667:UEW327689 UOS327667:UOS327689 UYO327667:UYO327689 VIK327667:VIK327689 VSG327667:VSG327689 WCC327667:WCC327689 WLY327667:WLY327689 WVU327667:WVU327689 M393203:M393225 JI393203:JI393225 TE393203:TE393225 ADA393203:ADA393225 AMW393203:AMW393225 AWS393203:AWS393225 BGO393203:BGO393225 BQK393203:BQK393225 CAG393203:CAG393225 CKC393203:CKC393225 CTY393203:CTY393225 DDU393203:DDU393225 DNQ393203:DNQ393225 DXM393203:DXM393225 EHI393203:EHI393225 ERE393203:ERE393225 FBA393203:FBA393225 FKW393203:FKW393225 FUS393203:FUS393225 GEO393203:GEO393225 GOK393203:GOK393225 GYG393203:GYG393225 HIC393203:HIC393225 HRY393203:HRY393225 IBU393203:IBU393225 ILQ393203:ILQ393225 IVM393203:IVM393225 JFI393203:JFI393225 JPE393203:JPE393225 JZA393203:JZA393225 KIW393203:KIW393225 KSS393203:KSS393225 LCO393203:LCO393225 LMK393203:LMK393225 LWG393203:LWG393225 MGC393203:MGC393225 MPY393203:MPY393225 MZU393203:MZU393225 NJQ393203:NJQ393225 NTM393203:NTM393225 ODI393203:ODI393225 ONE393203:ONE393225 OXA393203:OXA393225 PGW393203:PGW393225 PQS393203:PQS393225 QAO393203:QAO393225 QKK393203:QKK393225 QUG393203:QUG393225 REC393203:REC393225 RNY393203:RNY393225 RXU393203:RXU393225 SHQ393203:SHQ393225 SRM393203:SRM393225 TBI393203:TBI393225 TLE393203:TLE393225 TVA393203:TVA393225 UEW393203:UEW393225 UOS393203:UOS393225 UYO393203:UYO393225 VIK393203:VIK393225 VSG393203:VSG393225 WCC393203:WCC393225 WLY393203:WLY393225 WVU393203:WVU393225 M458739:M458761 JI458739:JI458761 TE458739:TE458761 ADA458739:ADA458761 AMW458739:AMW458761 AWS458739:AWS458761 BGO458739:BGO458761 BQK458739:BQK458761 CAG458739:CAG458761 CKC458739:CKC458761 CTY458739:CTY458761 DDU458739:DDU458761 DNQ458739:DNQ458761 DXM458739:DXM458761 EHI458739:EHI458761 ERE458739:ERE458761 FBA458739:FBA458761 FKW458739:FKW458761 FUS458739:FUS458761 GEO458739:GEO458761 GOK458739:GOK458761 GYG458739:GYG458761 HIC458739:HIC458761 HRY458739:HRY458761 IBU458739:IBU458761 ILQ458739:ILQ458761 IVM458739:IVM458761 JFI458739:JFI458761 JPE458739:JPE458761 JZA458739:JZA458761 KIW458739:KIW458761 KSS458739:KSS458761 LCO458739:LCO458761 LMK458739:LMK458761 LWG458739:LWG458761 MGC458739:MGC458761 MPY458739:MPY458761 MZU458739:MZU458761 NJQ458739:NJQ458761 NTM458739:NTM458761 ODI458739:ODI458761 ONE458739:ONE458761 OXA458739:OXA458761 PGW458739:PGW458761 PQS458739:PQS458761 QAO458739:QAO458761 QKK458739:QKK458761 QUG458739:QUG458761 REC458739:REC458761 RNY458739:RNY458761 RXU458739:RXU458761 SHQ458739:SHQ458761 SRM458739:SRM458761 TBI458739:TBI458761 TLE458739:TLE458761 TVA458739:TVA458761 UEW458739:UEW458761 UOS458739:UOS458761 UYO458739:UYO458761 VIK458739:VIK458761 VSG458739:VSG458761 WCC458739:WCC458761 WLY458739:WLY458761 WVU458739:WVU458761 M524275:M524297 JI524275:JI524297 TE524275:TE524297 ADA524275:ADA524297 AMW524275:AMW524297 AWS524275:AWS524297 BGO524275:BGO524297 BQK524275:BQK524297 CAG524275:CAG524297 CKC524275:CKC524297 CTY524275:CTY524297 DDU524275:DDU524297 DNQ524275:DNQ524297 DXM524275:DXM524297 EHI524275:EHI524297 ERE524275:ERE524297 FBA524275:FBA524297 FKW524275:FKW524297 FUS524275:FUS524297 GEO524275:GEO524297 GOK524275:GOK524297 GYG524275:GYG524297 HIC524275:HIC524297 HRY524275:HRY524297 IBU524275:IBU524297 ILQ524275:ILQ524297 IVM524275:IVM524297 JFI524275:JFI524297 JPE524275:JPE524297 JZA524275:JZA524297 KIW524275:KIW524297 KSS524275:KSS524297 LCO524275:LCO524297 LMK524275:LMK524297 LWG524275:LWG524297 MGC524275:MGC524297 MPY524275:MPY524297 MZU524275:MZU524297 NJQ524275:NJQ524297 NTM524275:NTM524297 ODI524275:ODI524297 ONE524275:ONE524297 OXA524275:OXA524297 PGW524275:PGW524297 PQS524275:PQS524297 QAO524275:QAO524297 QKK524275:QKK524297 QUG524275:QUG524297 REC524275:REC524297 RNY524275:RNY524297 RXU524275:RXU524297 SHQ524275:SHQ524297 SRM524275:SRM524297 TBI524275:TBI524297 TLE524275:TLE524297 TVA524275:TVA524297 UEW524275:UEW524297 UOS524275:UOS524297 UYO524275:UYO524297 VIK524275:VIK524297 VSG524275:VSG524297 WCC524275:WCC524297 WLY524275:WLY524297 WVU524275:WVU524297 M589811:M589833 JI589811:JI589833 TE589811:TE589833 ADA589811:ADA589833 AMW589811:AMW589833 AWS589811:AWS589833 BGO589811:BGO589833 BQK589811:BQK589833 CAG589811:CAG589833 CKC589811:CKC589833 CTY589811:CTY589833 DDU589811:DDU589833 DNQ589811:DNQ589833 DXM589811:DXM589833 EHI589811:EHI589833 ERE589811:ERE589833 FBA589811:FBA589833 FKW589811:FKW589833 FUS589811:FUS589833 GEO589811:GEO589833 GOK589811:GOK589833 GYG589811:GYG589833 HIC589811:HIC589833 HRY589811:HRY589833 IBU589811:IBU589833 ILQ589811:ILQ589833 IVM589811:IVM589833 JFI589811:JFI589833 JPE589811:JPE589833 JZA589811:JZA589833 KIW589811:KIW589833 KSS589811:KSS589833 LCO589811:LCO589833 LMK589811:LMK589833 LWG589811:LWG589833 MGC589811:MGC589833 MPY589811:MPY589833 MZU589811:MZU589833 NJQ589811:NJQ589833 NTM589811:NTM589833 ODI589811:ODI589833 ONE589811:ONE589833 OXA589811:OXA589833 PGW589811:PGW589833 PQS589811:PQS589833 QAO589811:QAO589833 QKK589811:QKK589833 QUG589811:QUG589833 REC589811:REC589833 RNY589811:RNY589833 RXU589811:RXU589833 SHQ589811:SHQ589833 SRM589811:SRM589833 TBI589811:TBI589833 TLE589811:TLE589833 TVA589811:TVA589833 UEW589811:UEW589833 UOS589811:UOS589833 UYO589811:UYO589833 VIK589811:VIK589833 VSG589811:VSG589833 WCC589811:WCC589833 WLY589811:WLY589833 WVU589811:WVU589833 M655347:M655369 JI655347:JI655369 TE655347:TE655369 ADA655347:ADA655369 AMW655347:AMW655369 AWS655347:AWS655369 BGO655347:BGO655369 BQK655347:BQK655369 CAG655347:CAG655369 CKC655347:CKC655369 CTY655347:CTY655369 DDU655347:DDU655369 DNQ655347:DNQ655369 DXM655347:DXM655369 EHI655347:EHI655369 ERE655347:ERE655369 FBA655347:FBA655369 FKW655347:FKW655369 FUS655347:FUS655369 GEO655347:GEO655369 GOK655347:GOK655369 GYG655347:GYG655369 HIC655347:HIC655369 HRY655347:HRY655369 IBU655347:IBU655369 ILQ655347:ILQ655369 IVM655347:IVM655369 JFI655347:JFI655369 JPE655347:JPE655369 JZA655347:JZA655369 KIW655347:KIW655369 KSS655347:KSS655369 LCO655347:LCO655369 LMK655347:LMK655369 LWG655347:LWG655369 MGC655347:MGC655369 MPY655347:MPY655369 MZU655347:MZU655369 NJQ655347:NJQ655369 NTM655347:NTM655369 ODI655347:ODI655369 ONE655347:ONE655369 OXA655347:OXA655369 PGW655347:PGW655369 PQS655347:PQS655369 QAO655347:QAO655369 QKK655347:QKK655369 QUG655347:QUG655369 REC655347:REC655369 RNY655347:RNY655369 RXU655347:RXU655369 SHQ655347:SHQ655369 SRM655347:SRM655369 TBI655347:TBI655369 TLE655347:TLE655369 TVA655347:TVA655369 UEW655347:UEW655369 UOS655347:UOS655369 UYO655347:UYO655369 VIK655347:VIK655369 VSG655347:VSG655369 WCC655347:WCC655369 WLY655347:WLY655369 WVU655347:WVU655369 M720883:M720905 JI720883:JI720905 TE720883:TE720905 ADA720883:ADA720905 AMW720883:AMW720905 AWS720883:AWS720905 BGO720883:BGO720905 BQK720883:BQK720905 CAG720883:CAG720905 CKC720883:CKC720905 CTY720883:CTY720905 DDU720883:DDU720905 DNQ720883:DNQ720905 DXM720883:DXM720905 EHI720883:EHI720905 ERE720883:ERE720905 FBA720883:FBA720905 FKW720883:FKW720905 FUS720883:FUS720905 GEO720883:GEO720905 GOK720883:GOK720905 GYG720883:GYG720905 HIC720883:HIC720905 HRY720883:HRY720905 IBU720883:IBU720905 ILQ720883:ILQ720905 IVM720883:IVM720905 JFI720883:JFI720905 JPE720883:JPE720905 JZA720883:JZA720905 KIW720883:KIW720905 KSS720883:KSS720905 LCO720883:LCO720905 LMK720883:LMK720905 LWG720883:LWG720905 MGC720883:MGC720905 MPY720883:MPY720905 MZU720883:MZU720905 NJQ720883:NJQ720905 NTM720883:NTM720905 ODI720883:ODI720905 ONE720883:ONE720905 OXA720883:OXA720905 PGW720883:PGW720905 PQS720883:PQS720905 QAO720883:QAO720905 QKK720883:QKK720905 QUG720883:QUG720905 REC720883:REC720905 RNY720883:RNY720905 RXU720883:RXU720905 SHQ720883:SHQ720905 SRM720883:SRM720905 TBI720883:TBI720905 TLE720883:TLE720905 TVA720883:TVA720905 UEW720883:UEW720905 UOS720883:UOS720905 UYO720883:UYO720905 VIK720883:VIK720905 VSG720883:VSG720905 WCC720883:WCC720905 WLY720883:WLY720905 WVU720883:WVU720905 M786419:M786441 JI786419:JI786441 TE786419:TE786441 ADA786419:ADA786441 AMW786419:AMW786441 AWS786419:AWS786441 BGO786419:BGO786441 BQK786419:BQK786441 CAG786419:CAG786441 CKC786419:CKC786441 CTY786419:CTY786441 DDU786419:DDU786441 DNQ786419:DNQ786441 DXM786419:DXM786441 EHI786419:EHI786441 ERE786419:ERE786441 FBA786419:FBA786441 FKW786419:FKW786441 FUS786419:FUS786441 GEO786419:GEO786441 GOK786419:GOK786441 GYG786419:GYG786441 HIC786419:HIC786441 HRY786419:HRY786441 IBU786419:IBU786441 ILQ786419:ILQ786441 IVM786419:IVM786441 JFI786419:JFI786441 JPE786419:JPE786441 JZA786419:JZA786441 KIW786419:KIW786441 KSS786419:KSS786441 LCO786419:LCO786441 LMK786419:LMK786441 LWG786419:LWG786441 MGC786419:MGC786441 MPY786419:MPY786441 MZU786419:MZU786441 NJQ786419:NJQ786441 NTM786419:NTM786441 ODI786419:ODI786441 ONE786419:ONE786441 OXA786419:OXA786441 PGW786419:PGW786441 PQS786419:PQS786441 QAO786419:QAO786441 QKK786419:QKK786441 QUG786419:QUG786441 REC786419:REC786441 RNY786419:RNY786441 RXU786419:RXU786441 SHQ786419:SHQ786441 SRM786419:SRM786441 TBI786419:TBI786441 TLE786419:TLE786441 TVA786419:TVA786441 UEW786419:UEW786441 UOS786419:UOS786441 UYO786419:UYO786441 VIK786419:VIK786441 VSG786419:VSG786441 WCC786419:WCC786441 WLY786419:WLY786441 WVU786419:WVU786441 M851955:M851977 JI851955:JI851977 TE851955:TE851977 ADA851955:ADA851977 AMW851955:AMW851977 AWS851955:AWS851977 BGO851955:BGO851977 BQK851955:BQK851977 CAG851955:CAG851977 CKC851955:CKC851977 CTY851955:CTY851977 DDU851955:DDU851977 DNQ851955:DNQ851977 DXM851955:DXM851977 EHI851955:EHI851977 ERE851955:ERE851977 FBA851955:FBA851977 FKW851955:FKW851977 FUS851955:FUS851977 GEO851955:GEO851977 GOK851955:GOK851977 GYG851955:GYG851977 HIC851955:HIC851977 HRY851955:HRY851977 IBU851955:IBU851977 ILQ851955:ILQ851977 IVM851955:IVM851977 JFI851955:JFI851977 JPE851955:JPE851977 JZA851955:JZA851977 KIW851955:KIW851977 KSS851955:KSS851977 LCO851955:LCO851977 LMK851955:LMK851977 LWG851955:LWG851977 MGC851955:MGC851977 MPY851955:MPY851977 MZU851955:MZU851977 NJQ851955:NJQ851977 NTM851955:NTM851977 ODI851955:ODI851977 ONE851955:ONE851977 OXA851955:OXA851977 PGW851955:PGW851977 PQS851955:PQS851977 QAO851955:QAO851977 QKK851955:QKK851977 QUG851955:QUG851977 REC851955:REC851977 RNY851955:RNY851977 RXU851955:RXU851977 SHQ851955:SHQ851977 SRM851955:SRM851977 TBI851955:TBI851977 TLE851955:TLE851977 TVA851955:TVA851977 UEW851955:UEW851977 UOS851955:UOS851977 UYO851955:UYO851977 VIK851955:VIK851977 VSG851955:VSG851977 WCC851955:WCC851977 WLY851955:WLY851977 WVU851955:WVU851977 M917491:M917513 JI917491:JI917513 TE917491:TE917513 ADA917491:ADA917513 AMW917491:AMW917513 AWS917491:AWS917513 BGO917491:BGO917513 BQK917491:BQK917513 CAG917491:CAG917513 CKC917491:CKC917513 CTY917491:CTY917513 DDU917491:DDU917513 DNQ917491:DNQ917513 DXM917491:DXM917513 EHI917491:EHI917513 ERE917491:ERE917513 FBA917491:FBA917513 FKW917491:FKW917513 FUS917491:FUS917513 GEO917491:GEO917513 GOK917491:GOK917513 GYG917491:GYG917513 HIC917491:HIC917513 HRY917491:HRY917513 IBU917491:IBU917513 ILQ917491:ILQ917513 IVM917491:IVM917513 JFI917491:JFI917513 JPE917491:JPE917513 JZA917491:JZA917513 KIW917491:KIW917513 KSS917491:KSS917513 LCO917491:LCO917513 LMK917491:LMK917513 LWG917491:LWG917513 MGC917491:MGC917513 MPY917491:MPY917513 MZU917491:MZU917513 NJQ917491:NJQ917513 NTM917491:NTM917513 ODI917491:ODI917513 ONE917491:ONE917513 OXA917491:OXA917513 PGW917491:PGW917513 PQS917491:PQS917513 QAO917491:QAO917513 QKK917491:QKK917513 QUG917491:QUG917513 REC917491:REC917513 RNY917491:RNY917513 RXU917491:RXU917513 SHQ917491:SHQ917513 SRM917491:SRM917513 TBI917491:TBI917513 TLE917491:TLE917513 TVA917491:TVA917513 UEW917491:UEW917513 UOS917491:UOS917513 UYO917491:UYO917513 VIK917491:VIK917513 VSG917491:VSG917513 WCC917491:WCC917513 WLY917491:WLY917513 WVU917491:WVU917513 M983027:M983049 JI983027:JI983049 TE983027:TE983049 ADA983027:ADA983049 AMW983027:AMW983049 AWS983027:AWS983049 BGO983027:BGO983049 BQK983027:BQK983049 CAG983027:CAG983049 CKC983027:CKC983049 CTY983027:CTY983049 DDU983027:DDU983049 DNQ983027:DNQ983049 DXM983027:DXM983049 EHI983027:EHI983049 ERE983027:ERE983049 FBA983027:FBA983049 FKW983027:FKW983049 FUS983027:FUS983049 GEO983027:GEO983049 GOK983027:GOK983049 GYG983027:GYG983049 HIC983027:HIC983049 HRY983027:HRY983049 IBU983027:IBU983049 ILQ983027:ILQ983049 IVM983027:IVM983049 JFI983027:JFI983049 JPE983027:JPE983049 JZA983027:JZA983049 KIW983027:KIW983049 KSS983027:KSS983049 LCO983027:LCO983049 LMK983027:LMK983049 LWG983027:LWG983049 MGC983027:MGC983049 MPY983027:MPY983049 MZU983027:MZU983049 NJQ983027:NJQ983049 NTM983027:NTM983049 ODI983027:ODI983049 ONE983027:ONE983049 OXA983027:OXA983049 PGW983027:PGW983049 PQS983027:PQS983049 QAO983027:QAO983049 QKK983027:QKK983049 QUG983027:QUG983049 REC983027:REC983049 RNY983027:RNY983049 RXU983027:RXU983049 SHQ983027:SHQ983049 SRM983027:SRM983049 TBI983027:TBI983049 TLE983027:TLE983049 TVA983027:TVA983049 UEW983027:UEW983049 UOS983027:UOS983049 UYO983027:UYO983049 VIK983027:VIK983049 VSG983027:VSG983049 WCC983027:WCC983049 WLY983027:WLY983049 F983027:I983049 F917491:I917513 F851955:I851977 F786419:I786441 F720883:I720905 F655347:I655369 F589811:I589833 F524275:I524297 F458739:I458761 F393203:I393225 F327667:I327689 F262131:I262153 F196595:I196617 F131059:I131081 F65523:I65545" xr:uid="{4570020C-069C-4226-9EE1-078DAB42C84A}">
      <formula1>0</formula1>
    </dataValidation>
    <dataValidation type="decimal" operator="greaterThanOrEqual" allowBlank="1" showInputMessage="1" showErrorMessage="1" errorTitle="Negatief bedrag" error="Gelieve een positieve waarde in te geven" sqref="C17:C40 C50:C73" xr:uid="{C71CA08F-53D2-477D-A148-606AB1840A6C}">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13F9955-C5D1-40CE-A80B-4E78DDC79F1A}">
            <xm:f>TITELBLAD!$F$16="ex-ante"</xm:f>
            <x14:dxf>
              <fill>
                <patternFill patternType="lightUp"/>
              </fill>
            </x14:dxf>
          </x14:cfRule>
          <xm:sqref>A47:I76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532E-8DC4-4063-A997-64A40902B99C}">
  <dimension ref="A1:M76"/>
  <sheetViews>
    <sheetView zoomScale="80" zoomScaleNormal="80" workbookViewId="0">
      <selection activeCell="D23" sqref="D23"/>
    </sheetView>
  </sheetViews>
  <sheetFormatPr defaultColWidth="9.1796875" defaultRowHeight="12.5" x14ac:dyDescent="0.25"/>
  <cols>
    <col min="1" max="1" width="47.54296875" style="166" customWidth="1"/>
    <col min="2" max="2" width="29.54296875" style="166" customWidth="1"/>
    <col min="3" max="16" width="31" style="166" customWidth="1"/>
    <col min="17" max="17" width="8.81640625" style="166" customWidth="1"/>
    <col min="18" max="44" width="9.1796875" style="166" customWidth="1"/>
    <col min="45" max="258" width="9.1796875" style="166"/>
    <col min="259" max="259" width="47.54296875" style="166" customWidth="1"/>
    <col min="260" max="260" width="29.54296875" style="166" customWidth="1"/>
    <col min="261" max="272" width="31" style="166" customWidth="1"/>
    <col min="273" max="273" width="8.81640625" style="166" customWidth="1"/>
    <col min="274" max="514" width="9.1796875" style="166"/>
    <col min="515" max="515" width="47.54296875" style="166" customWidth="1"/>
    <col min="516" max="516" width="29.54296875" style="166" customWidth="1"/>
    <col min="517" max="528" width="31" style="166" customWidth="1"/>
    <col min="529" max="529" width="8.81640625" style="166" customWidth="1"/>
    <col min="530" max="770" width="9.1796875" style="166"/>
    <col min="771" max="771" width="47.54296875" style="166" customWidth="1"/>
    <col min="772" max="772" width="29.54296875" style="166" customWidth="1"/>
    <col min="773" max="784" width="31" style="166" customWidth="1"/>
    <col min="785" max="785" width="8.81640625" style="166" customWidth="1"/>
    <col min="786" max="1026" width="9.1796875" style="166"/>
    <col min="1027" max="1027" width="47.54296875" style="166" customWidth="1"/>
    <col min="1028" max="1028" width="29.54296875" style="166" customWidth="1"/>
    <col min="1029" max="1040" width="31" style="166" customWidth="1"/>
    <col min="1041" max="1041" width="8.81640625" style="166" customWidth="1"/>
    <col min="1042" max="1282" width="9.1796875" style="166"/>
    <col min="1283" max="1283" width="47.54296875" style="166" customWidth="1"/>
    <col min="1284" max="1284" width="29.54296875" style="166" customWidth="1"/>
    <col min="1285" max="1296" width="31" style="166" customWidth="1"/>
    <col min="1297" max="1297" width="8.81640625" style="166" customWidth="1"/>
    <col min="1298" max="1538" width="9.1796875" style="166"/>
    <col min="1539" max="1539" width="47.54296875" style="166" customWidth="1"/>
    <col min="1540" max="1540" width="29.54296875" style="166" customWidth="1"/>
    <col min="1541" max="1552" width="31" style="166" customWidth="1"/>
    <col min="1553" max="1553" width="8.81640625" style="166" customWidth="1"/>
    <col min="1554" max="1794" width="9.1796875" style="166"/>
    <col min="1795" max="1795" width="47.54296875" style="166" customWidth="1"/>
    <col min="1796" max="1796" width="29.54296875" style="166" customWidth="1"/>
    <col min="1797" max="1808" width="31" style="166" customWidth="1"/>
    <col min="1809" max="1809" width="8.81640625" style="166" customWidth="1"/>
    <col min="1810" max="2050" width="9.1796875" style="166"/>
    <col min="2051" max="2051" width="47.54296875" style="166" customWidth="1"/>
    <col min="2052" max="2052" width="29.54296875" style="166" customWidth="1"/>
    <col min="2053" max="2064" width="31" style="166" customWidth="1"/>
    <col min="2065" max="2065" width="8.81640625" style="166" customWidth="1"/>
    <col min="2066" max="2306" width="9.1796875" style="166"/>
    <col min="2307" max="2307" width="47.54296875" style="166" customWidth="1"/>
    <col min="2308" max="2308" width="29.54296875" style="166" customWidth="1"/>
    <col min="2309" max="2320" width="31" style="166" customWidth="1"/>
    <col min="2321" max="2321" width="8.81640625" style="166" customWidth="1"/>
    <col min="2322" max="2562" width="9.1796875" style="166"/>
    <col min="2563" max="2563" width="47.54296875" style="166" customWidth="1"/>
    <col min="2564" max="2564" width="29.54296875" style="166" customWidth="1"/>
    <col min="2565" max="2576" width="31" style="166" customWidth="1"/>
    <col min="2577" max="2577" width="8.81640625" style="166" customWidth="1"/>
    <col min="2578" max="2818" width="9.1796875" style="166"/>
    <col min="2819" max="2819" width="47.54296875" style="166" customWidth="1"/>
    <col min="2820" max="2820" width="29.54296875" style="166" customWidth="1"/>
    <col min="2821" max="2832" width="31" style="166" customWidth="1"/>
    <col min="2833" max="2833" width="8.81640625" style="166" customWidth="1"/>
    <col min="2834" max="3074" width="9.1796875" style="166"/>
    <col min="3075" max="3075" width="47.54296875" style="166" customWidth="1"/>
    <col min="3076" max="3076" width="29.54296875" style="166" customWidth="1"/>
    <col min="3077" max="3088" width="31" style="166" customWidth="1"/>
    <col min="3089" max="3089" width="8.81640625" style="166" customWidth="1"/>
    <col min="3090" max="3330" width="9.1796875" style="166"/>
    <col min="3331" max="3331" width="47.54296875" style="166" customWidth="1"/>
    <col min="3332" max="3332" width="29.54296875" style="166" customWidth="1"/>
    <col min="3333" max="3344" width="31" style="166" customWidth="1"/>
    <col min="3345" max="3345" width="8.81640625" style="166" customWidth="1"/>
    <col min="3346" max="3586" width="9.1796875" style="166"/>
    <col min="3587" max="3587" width="47.54296875" style="166" customWidth="1"/>
    <col min="3588" max="3588" width="29.54296875" style="166" customWidth="1"/>
    <col min="3589" max="3600" width="31" style="166" customWidth="1"/>
    <col min="3601" max="3601" width="8.81640625" style="166" customWidth="1"/>
    <col min="3602" max="3842" width="9.1796875" style="166"/>
    <col min="3843" max="3843" width="47.54296875" style="166" customWidth="1"/>
    <col min="3844" max="3844" width="29.54296875" style="166" customWidth="1"/>
    <col min="3845" max="3856" width="31" style="166" customWidth="1"/>
    <col min="3857" max="3857" width="8.81640625" style="166" customWidth="1"/>
    <col min="3858" max="4098" width="9.1796875" style="166"/>
    <col min="4099" max="4099" width="47.54296875" style="166" customWidth="1"/>
    <col min="4100" max="4100" width="29.54296875" style="166" customWidth="1"/>
    <col min="4101" max="4112" width="31" style="166" customWidth="1"/>
    <col min="4113" max="4113" width="8.81640625" style="166" customWidth="1"/>
    <col min="4114" max="4354" width="9.1796875" style="166"/>
    <col min="4355" max="4355" width="47.54296875" style="166" customWidth="1"/>
    <col min="4356" max="4356" width="29.54296875" style="166" customWidth="1"/>
    <col min="4357" max="4368" width="31" style="166" customWidth="1"/>
    <col min="4369" max="4369" width="8.81640625" style="166" customWidth="1"/>
    <col min="4370" max="4610" width="9.1796875" style="166"/>
    <col min="4611" max="4611" width="47.54296875" style="166" customWidth="1"/>
    <col min="4612" max="4612" width="29.54296875" style="166" customWidth="1"/>
    <col min="4613" max="4624" width="31" style="166" customWidth="1"/>
    <col min="4625" max="4625" width="8.81640625" style="166" customWidth="1"/>
    <col min="4626" max="4866" width="9.1796875" style="166"/>
    <col min="4867" max="4867" width="47.54296875" style="166" customWidth="1"/>
    <col min="4868" max="4868" width="29.54296875" style="166" customWidth="1"/>
    <col min="4869" max="4880" width="31" style="166" customWidth="1"/>
    <col min="4881" max="4881" width="8.81640625" style="166" customWidth="1"/>
    <col min="4882" max="5122" width="9.1796875" style="166"/>
    <col min="5123" max="5123" width="47.54296875" style="166" customWidth="1"/>
    <col min="5124" max="5124" width="29.54296875" style="166" customWidth="1"/>
    <col min="5125" max="5136" width="31" style="166" customWidth="1"/>
    <col min="5137" max="5137" width="8.81640625" style="166" customWidth="1"/>
    <col min="5138" max="5378" width="9.1796875" style="166"/>
    <col min="5379" max="5379" width="47.54296875" style="166" customWidth="1"/>
    <col min="5380" max="5380" width="29.54296875" style="166" customWidth="1"/>
    <col min="5381" max="5392" width="31" style="166" customWidth="1"/>
    <col min="5393" max="5393" width="8.81640625" style="166" customWidth="1"/>
    <col min="5394" max="5634" width="9.1796875" style="166"/>
    <col min="5635" max="5635" width="47.54296875" style="166" customWidth="1"/>
    <col min="5636" max="5636" width="29.54296875" style="166" customWidth="1"/>
    <col min="5637" max="5648" width="31" style="166" customWidth="1"/>
    <col min="5649" max="5649" width="8.81640625" style="166" customWidth="1"/>
    <col min="5650" max="5890" width="9.1796875" style="166"/>
    <col min="5891" max="5891" width="47.54296875" style="166" customWidth="1"/>
    <col min="5892" max="5892" width="29.54296875" style="166" customWidth="1"/>
    <col min="5893" max="5904" width="31" style="166" customWidth="1"/>
    <col min="5905" max="5905" width="8.81640625" style="166" customWidth="1"/>
    <col min="5906" max="6146" width="9.1796875" style="166"/>
    <col min="6147" max="6147" width="47.54296875" style="166" customWidth="1"/>
    <col min="6148" max="6148" width="29.54296875" style="166" customWidth="1"/>
    <col min="6149" max="6160" width="31" style="166" customWidth="1"/>
    <col min="6161" max="6161" width="8.81640625" style="166" customWidth="1"/>
    <col min="6162" max="6402" width="9.1796875" style="166"/>
    <col min="6403" max="6403" width="47.54296875" style="166" customWidth="1"/>
    <col min="6404" max="6404" width="29.54296875" style="166" customWidth="1"/>
    <col min="6405" max="6416" width="31" style="166" customWidth="1"/>
    <col min="6417" max="6417" width="8.81640625" style="166" customWidth="1"/>
    <col min="6418" max="6658" width="9.1796875" style="166"/>
    <col min="6659" max="6659" width="47.54296875" style="166" customWidth="1"/>
    <col min="6660" max="6660" width="29.54296875" style="166" customWidth="1"/>
    <col min="6661" max="6672" width="31" style="166" customWidth="1"/>
    <col min="6673" max="6673" width="8.81640625" style="166" customWidth="1"/>
    <col min="6674" max="6914" width="9.1796875" style="166"/>
    <col min="6915" max="6915" width="47.54296875" style="166" customWidth="1"/>
    <col min="6916" max="6916" width="29.54296875" style="166" customWidth="1"/>
    <col min="6917" max="6928" width="31" style="166" customWidth="1"/>
    <col min="6929" max="6929" width="8.81640625" style="166" customWidth="1"/>
    <col min="6930" max="7170" width="9.1796875" style="166"/>
    <col min="7171" max="7171" width="47.54296875" style="166" customWidth="1"/>
    <col min="7172" max="7172" width="29.54296875" style="166" customWidth="1"/>
    <col min="7173" max="7184" width="31" style="166" customWidth="1"/>
    <col min="7185" max="7185" width="8.81640625" style="166" customWidth="1"/>
    <col min="7186" max="7426" width="9.1796875" style="166"/>
    <col min="7427" max="7427" width="47.54296875" style="166" customWidth="1"/>
    <col min="7428" max="7428" width="29.54296875" style="166" customWidth="1"/>
    <col min="7429" max="7440" width="31" style="166" customWidth="1"/>
    <col min="7441" max="7441" width="8.81640625" style="166" customWidth="1"/>
    <col min="7442" max="7682" width="9.1796875" style="166"/>
    <col min="7683" max="7683" width="47.54296875" style="166" customWidth="1"/>
    <col min="7684" max="7684" width="29.54296875" style="166" customWidth="1"/>
    <col min="7685" max="7696" width="31" style="166" customWidth="1"/>
    <col min="7697" max="7697" width="8.81640625" style="166" customWidth="1"/>
    <col min="7698" max="7938" width="9.1796875" style="166"/>
    <col min="7939" max="7939" width="47.54296875" style="166" customWidth="1"/>
    <col min="7940" max="7940" width="29.54296875" style="166" customWidth="1"/>
    <col min="7941" max="7952" width="31" style="166" customWidth="1"/>
    <col min="7953" max="7953" width="8.81640625" style="166" customWidth="1"/>
    <col min="7954" max="8194" width="9.1796875" style="166"/>
    <col min="8195" max="8195" width="47.54296875" style="166" customWidth="1"/>
    <col min="8196" max="8196" width="29.54296875" style="166" customWidth="1"/>
    <col min="8197" max="8208" width="31" style="166" customWidth="1"/>
    <col min="8209" max="8209" width="8.81640625" style="166" customWidth="1"/>
    <col min="8210" max="8450" width="9.1796875" style="166"/>
    <col min="8451" max="8451" width="47.54296875" style="166" customWidth="1"/>
    <col min="8452" max="8452" width="29.54296875" style="166" customWidth="1"/>
    <col min="8453" max="8464" width="31" style="166" customWidth="1"/>
    <col min="8465" max="8465" width="8.81640625" style="166" customWidth="1"/>
    <col min="8466" max="8706" width="9.1796875" style="166"/>
    <col min="8707" max="8707" width="47.54296875" style="166" customWidth="1"/>
    <col min="8708" max="8708" width="29.54296875" style="166" customWidth="1"/>
    <col min="8709" max="8720" width="31" style="166" customWidth="1"/>
    <col min="8721" max="8721" width="8.81640625" style="166" customWidth="1"/>
    <col min="8722" max="8962" width="9.1796875" style="166"/>
    <col min="8963" max="8963" width="47.54296875" style="166" customWidth="1"/>
    <col min="8964" max="8964" width="29.54296875" style="166" customWidth="1"/>
    <col min="8965" max="8976" width="31" style="166" customWidth="1"/>
    <col min="8977" max="8977" width="8.81640625" style="166" customWidth="1"/>
    <col min="8978" max="9218" width="9.1796875" style="166"/>
    <col min="9219" max="9219" width="47.54296875" style="166" customWidth="1"/>
    <col min="9220" max="9220" width="29.54296875" style="166" customWidth="1"/>
    <col min="9221" max="9232" width="31" style="166" customWidth="1"/>
    <col min="9233" max="9233" width="8.81640625" style="166" customWidth="1"/>
    <col min="9234" max="9474" width="9.1796875" style="166"/>
    <col min="9475" max="9475" width="47.54296875" style="166" customWidth="1"/>
    <col min="9476" max="9476" width="29.54296875" style="166" customWidth="1"/>
    <col min="9477" max="9488" width="31" style="166" customWidth="1"/>
    <col min="9489" max="9489" width="8.81640625" style="166" customWidth="1"/>
    <col min="9490" max="9730" width="9.1796875" style="166"/>
    <col min="9731" max="9731" width="47.54296875" style="166" customWidth="1"/>
    <col min="9732" max="9732" width="29.54296875" style="166" customWidth="1"/>
    <col min="9733" max="9744" width="31" style="166" customWidth="1"/>
    <col min="9745" max="9745" width="8.81640625" style="166" customWidth="1"/>
    <col min="9746" max="9986" width="9.1796875" style="166"/>
    <col min="9987" max="9987" width="47.54296875" style="166" customWidth="1"/>
    <col min="9988" max="9988" width="29.54296875" style="166" customWidth="1"/>
    <col min="9989" max="10000" width="31" style="166" customWidth="1"/>
    <col min="10001" max="10001" width="8.81640625" style="166" customWidth="1"/>
    <col min="10002" max="10242" width="9.1796875" style="166"/>
    <col min="10243" max="10243" width="47.54296875" style="166" customWidth="1"/>
    <col min="10244" max="10244" width="29.54296875" style="166" customWidth="1"/>
    <col min="10245" max="10256" width="31" style="166" customWidth="1"/>
    <col min="10257" max="10257" width="8.81640625" style="166" customWidth="1"/>
    <col min="10258" max="10498" width="9.1796875" style="166"/>
    <col min="10499" max="10499" width="47.54296875" style="166" customWidth="1"/>
    <col min="10500" max="10500" width="29.54296875" style="166" customWidth="1"/>
    <col min="10501" max="10512" width="31" style="166" customWidth="1"/>
    <col min="10513" max="10513" width="8.81640625" style="166" customWidth="1"/>
    <col min="10514" max="10754" width="9.1796875" style="166"/>
    <col min="10755" max="10755" width="47.54296875" style="166" customWidth="1"/>
    <col min="10756" max="10756" width="29.54296875" style="166" customWidth="1"/>
    <col min="10757" max="10768" width="31" style="166" customWidth="1"/>
    <col min="10769" max="10769" width="8.81640625" style="166" customWidth="1"/>
    <col min="10770" max="11010" width="9.1796875" style="166"/>
    <col min="11011" max="11011" width="47.54296875" style="166" customWidth="1"/>
    <col min="11012" max="11012" width="29.54296875" style="166" customWidth="1"/>
    <col min="11013" max="11024" width="31" style="166" customWidth="1"/>
    <col min="11025" max="11025" width="8.81640625" style="166" customWidth="1"/>
    <col min="11026" max="11266" width="9.1796875" style="166"/>
    <col min="11267" max="11267" width="47.54296875" style="166" customWidth="1"/>
    <col min="11268" max="11268" width="29.54296875" style="166" customWidth="1"/>
    <col min="11269" max="11280" width="31" style="166" customWidth="1"/>
    <col min="11281" max="11281" width="8.81640625" style="166" customWidth="1"/>
    <col min="11282" max="11522" width="9.1796875" style="166"/>
    <col min="11523" max="11523" width="47.54296875" style="166" customWidth="1"/>
    <col min="11524" max="11524" width="29.54296875" style="166" customWidth="1"/>
    <col min="11525" max="11536" width="31" style="166" customWidth="1"/>
    <col min="11537" max="11537" width="8.81640625" style="166" customWidth="1"/>
    <col min="11538" max="11778" width="9.1796875" style="166"/>
    <col min="11779" max="11779" width="47.54296875" style="166" customWidth="1"/>
    <col min="11780" max="11780" width="29.54296875" style="166" customWidth="1"/>
    <col min="11781" max="11792" width="31" style="166" customWidth="1"/>
    <col min="11793" max="11793" width="8.81640625" style="166" customWidth="1"/>
    <col min="11794" max="12034" width="9.1796875" style="166"/>
    <col min="12035" max="12035" width="47.54296875" style="166" customWidth="1"/>
    <col min="12036" max="12036" width="29.54296875" style="166" customWidth="1"/>
    <col min="12037" max="12048" width="31" style="166" customWidth="1"/>
    <col min="12049" max="12049" width="8.81640625" style="166" customWidth="1"/>
    <col min="12050" max="12290" width="9.1796875" style="166"/>
    <col min="12291" max="12291" width="47.54296875" style="166" customWidth="1"/>
    <col min="12292" max="12292" width="29.54296875" style="166" customWidth="1"/>
    <col min="12293" max="12304" width="31" style="166" customWidth="1"/>
    <col min="12305" max="12305" width="8.81640625" style="166" customWidth="1"/>
    <col min="12306" max="12546" width="9.1796875" style="166"/>
    <col min="12547" max="12547" width="47.54296875" style="166" customWidth="1"/>
    <col min="12548" max="12548" width="29.54296875" style="166" customWidth="1"/>
    <col min="12549" max="12560" width="31" style="166" customWidth="1"/>
    <col min="12561" max="12561" width="8.81640625" style="166" customWidth="1"/>
    <col min="12562" max="12802" width="9.1796875" style="166"/>
    <col min="12803" max="12803" width="47.54296875" style="166" customWidth="1"/>
    <col min="12804" max="12804" width="29.54296875" style="166" customWidth="1"/>
    <col min="12805" max="12816" width="31" style="166" customWidth="1"/>
    <col min="12817" max="12817" width="8.81640625" style="166" customWidth="1"/>
    <col min="12818" max="13058" width="9.1796875" style="166"/>
    <col min="13059" max="13059" width="47.54296875" style="166" customWidth="1"/>
    <col min="13060" max="13060" width="29.54296875" style="166" customWidth="1"/>
    <col min="13061" max="13072" width="31" style="166" customWidth="1"/>
    <col min="13073" max="13073" width="8.81640625" style="166" customWidth="1"/>
    <col min="13074" max="13314" width="9.1796875" style="166"/>
    <col min="13315" max="13315" width="47.54296875" style="166" customWidth="1"/>
    <col min="13316" max="13316" width="29.54296875" style="166" customWidth="1"/>
    <col min="13317" max="13328" width="31" style="166" customWidth="1"/>
    <col min="13329" max="13329" width="8.81640625" style="166" customWidth="1"/>
    <col min="13330" max="13570" width="9.1796875" style="166"/>
    <col min="13571" max="13571" width="47.54296875" style="166" customWidth="1"/>
    <col min="13572" max="13572" width="29.54296875" style="166" customWidth="1"/>
    <col min="13573" max="13584" width="31" style="166" customWidth="1"/>
    <col min="13585" max="13585" width="8.81640625" style="166" customWidth="1"/>
    <col min="13586" max="13826" width="9.1796875" style="166"/>
    <col min="13827" max="13827" width="47.54296875" style="166" customWidth="1"/>
    <col min="13828" max="13828" width="29.54296875" style="166" customWidth="1"/>
    <col min="13829" max="13840" width="31" style="166" customWidth="1"/>
    <col min="13841" max="13841" width="8.81640625" style="166" customWidth="1"/>
    <col min="13842" max="14082" width="9.1796875" style="166"/>
    <col min="14083" max="14083" width="47.54296875" style="166" customWidth="1"/>
    <col min="14084" max="14084" width="29.54296875" style="166" customWidth="1"/>
    <col min="14085" max="14096" width="31" style="166" customWidth="1"/>
    <col min="14097" max="14097" width="8.81640625" style="166" customWidth="1"/>
    <col min="14098" max="14338" width="9.1796875" style="166"/>
    <col min="14339" max="14339" width="47.54296875" style="166" customWidth="1"/>
    <col min="14340" max="14340" width="29.54296875" style="166" customWidth="1"/>
    <col min="14341" max="14352" width="31" style="166" customWidth="1"/>
    <col min="14353" max="14353" width="8.81640625" style="166" customWidth="1"/>
    <col min="14354" max="14594" width="9.1796875" style="166"/>
    <col min="14595" max="14595" width="47.54296875" style="166" customWidth="1"/>
    <col min="14596" max="14596" width="29.54296875" style="166" customWidth="1"/>
    <col min="14597" max="14608" width="31" style="166" customWidth="1"/>
    <col min="14609" max="14609" width="8.81640625" style="166" customWidth="1"/>
    <col min="14610" max="14850" width="9.1796875" style="166"/>
    <col min="14851" max="14851" width="47.54296875" style="166" customWidth="1"/>
    <col min="14852" max="14852" width="29.54296875" style="166" customWidth="1"/>
    <col min="14853" max="14864" width="31" style="166" customWidth="1"/>
    <col min="14865" max="14865" width="8.81640625" style="166" customWidth="1"/>
    <col min="14866" max="15106" width="9.1796875" style="166"/>
    <col min="15107" max="15107" width="47.54296875" style="166" customWidth="1"/>
    <col min="15108" max="15108" width="29.54296875" style="166" customWidth="1"/>
    <col min="15109" max="15120" width="31" style="166" customWidth="1"/>
    <col min="15121" max="15121" width="8.81640625" style="166" customWidth="1"/>
    <col min="15122" max="15362" width="9.1796875" style="166"/>
    <col min="15363" max="15363" width="47.54296875" style="166" customWidth="1"/>
    <col min="15364" max="15364" width="29.54296875" style="166" customWidth="1"/>
    <col min="15365" max="15376" width="31" style="166" customWidth="1"/>
    <col min="15377" max="15377" width="8.81640625" style="166" customWidth="1"/>
    <col min="15378" max="15618" width="9.1796875" style="166"/>
    <col min="15619" max="15619" width="47.54296875" style="166" customWidth="1"/>
    <col min="15620" max="15620" width="29.54296875" style="166" customWidth="1"/>
    <col min="15621" max="15632" width="31" style="166" customWidth="1"/>
    <col min="15633" max="15633" width="8.81640625" style="166" customWidth="1"/>
    <col min="15634" max="15874" width="9.1796875" style="166"/>
    <col min="15875" max="15875" width="47.54296875" style="166" customWidth="1"/>
    <col min="15876" max="15876" width="29.54296875" style="166" customWidth="1"/>
    <col min="15877" max="15888" width="31" style="166" customWidth="1"/>
    <col min="15889" max="15889" width="8.81640625" style="166" customWidth="1"/>
    <col min="15890" max="16130" width="9.1796875" style="166"/>
    <col min="16131" max="16131" width="47.54296875" style="166" customWidth="1"/>
    <col min="16132" max="16132" width="29.54296875" style="166" customWidth="1"/>
    <col min="16133" max="16144" width="31" style="166" customWidth="1"/>
    <col min="16145" max="16145" width="8.81640625" style="166" customWidth="1"/>
    <col min="16146" max="16384" width="9.1796875" style="166"/>
  </cols>
  <sheetData>
    <row r="1" spans="1:13" ht="20.149999999999999" customHeight="1" thickBot="1" x14ac:dyDescent="0.3">
      <c r="A1" s="1182" t="s">
        <v>431</v>
      </c>
      <c r="B1" s="1183"/>
      <c r="C1" s="1183"/>
      <c r="D1" s="1183"/>
      <c r="E1" s="1183"/>
      <c r="F1" s="1183"/>
      <c r="G1" s="1184"/>
      <c r="H1" s="928"/>
      <c r="I1" s="291"/>
      <c r="J1" s="203" t="str">
        <f>+TITELBLAD!C10</f>
        <v>elektriciteit</v>
      </c>
      <c r="K1" s="291"/>
      <c r="L1" s="291"/>
      <c r="M1" s="291"/>
    </row>
    <row r="2" spans="1:13" x14ac:dyDescent="0.25">
      <c r="I2" s="291"/>
      <c r="J2" s="291"/>
      <c r="K2" s="291"/>
      <c r="L2" s="291"/>
      <c r="M2" s="291"/>
    </row>
    <row r="3" spans="1:13" ht="13" x14ac:dyDescent="0.25">
      <c r="B3" s="291"/>
      <c r="C3" s="884" t="s">
        <v>300</v>
      </c>
      <c r="D3" s="884" t="s">
        <v>301</v>
      </c>
      <c r="I3" s="291"/>
      <c r="J3" s="291"/>
      <c r="K3" s="291"/>
      <c r="L3" s="291"/>
      <c r="M3" s="291"/>
    </row>
    <row r="4" spans="1:13" ht="13" x14ac:dyDescent="0.25">
      <c r="A4" s="353" t="s">
        <v>435</v>
      </c>
      <c r="B4" s="895">
        <f>+TITELBLAD!E16</f>
        <v>2022</v>
      </c>
      <c r="C4" s="896">
        <f>-G42</f>
        <v>0</v>
      </c>
      <c r="D4" s="896">
        <f>-G75</f>
        <v>0</v>
      </c>
      <c r="E4" s="897"/>
      <c r="I4" s="291"/>
      <c r="J4" s="291"/>
      <c r="K4" s="291"/>
      <c r="L4" s="291"/>
      <c r="M4" s="291"/>
    </row>
    <row r="5" spans="1:13" x14ac:dyDescent="0.25">
      <c r="D5" s="897"/>
      <c r="E5" s="897"/>
      <c r="I5" s="291"/>
      <c r="J5" s="291"/>
      <c r="K5" s="291"/>
      <c r="L5" s="291"/>
      <c r="M5" s="291"/>
    </row>
    <row r="6" spans="1:13" x14ac:dyDescent="0.25">
      <c r="I6" s="291"/>
      <c r="J6" s="291"/>
      <c r="K6" s="291"/>
      <c r="L6" s="291"/>
      <c r="M6" s="291"/>
    </row>
    <row r="7" spans="1:13" x14ac:dyDescent="0.25">
      <c r="I7" s="291"/>
      <c r="J7" s="291"/>
      <c r="K7" s="291"/>
      <c r="L7" s="291"/>
      <c r="M7" s="291"/>
    </row>
    <row r="8" spans="1:13" ht="13" x14ac:dyDescent="0.25">
      <c r="A8" s="353" t="s">
        <v>299</v>
      </c>
      <c r="I8" s="291"/>
      <c r="J8" s="291"/>
      <c r="K8" s="291"/>
      <c r="L8" s="291"/>
      <c r="M8" s="291"/>
    </row>
    <row r="9" spans="1:13" ht="13" x14ac:dyDescent="0.25">
      <c r="A9" s="216" t="s">
        <v>263</v>
      </c>
      <c r="I9" s="291"/>
      <c r="J9" s="291"/>
      <c r="K9" s="291"/>
      <c r="L9" s="291"/>
      <c r="M9" s="291"/>
    </row>
    <row r="10" spans="1:13" ht="13" x14ac:dyDescent="0.25">
      <c r="A10" s="898" t="s">
        <v>264</v>
      </c>
      <c r="I10" s="291"/>
      <c r="J10" s="291"/>
      <c r="K10" s="291"/>
      <c r="L10" s="291"/>
      <c r="M10" s="291"/>
    </row>
    <row r="11" spans="1:13" ht="13" x14ac:dyDescent="0.25">
      <c r="A11" s="898" t="s">
        <v>265</v>
      </c>
      <c r="I11" s="291"/>
      <c r="J11" s="291"/>
      <c r="K11" s="291"/>
      <c r="L11" s="291"/>
      <c r="M11" s="291"/>
    </row>
    <row r="12" spans="1:13" ht="13" x14ac:dyDescent="0.25">
      <c r="A12" s="898"/>
      <c r="I12" s="291"/>
      <c r="J12" s="291"/>
      <c r="K12" s="291"/>
      <c r="L12" s="291"/>
      <c r="M12" s="291"/>
    </row>
    <row r="13" spans="1:13" ht="13.5" thickBot="1" x14ac:dyDescent="0.3">
      <c r="A13" s="898"/>
    </row>
    <row r="14" spans="1:13" ht="18" customHeight="1" thickBot="1" x14ac:dyDescent="0.3">
      <c r="A14" s="1189" t="str">
        <f>"BUDGET "&amp;B4</f>
        <v>BUDGET 2022</v>
      </c>
      <c r="B14" s="1190"/>
      <c r="C14" s="1190"/>
      <c r="D14" s="1190"/>
      <c r="E14" s="1190"/>
      <c r="F14" s="1190"/>
      <c r="G14" s="1190"/>
      <c r="H14" s="1190"/>
      <c r="I14" s="1191"/>
    </row>
    <row r="15" spans="1:13" ht="58.5" customHeight="1" x14ac:dyDescent="0.25">
      <c r="A15" s="899" t="s">
        <v>266</v>
      </c>
      <c r="B15" s="900" t="s">
        <v>297</v>
      </c>
      <c r="C15" s="901" t="str">
        <f>"Oorspronkelijke meerwaarde op basis van iRAB voor activa einde boekjaar "&amp;B4-1</f>
        <v>Oorspronkelijke meerwaarde op basis van iRAB voor activa einde boekjaar 2021</v>
      </c>
      <c r="D15" s="901" t="str">
        <f>"Gecumuleerde afschrijvingen activa einde boekjaar "&amp; B4-1</f>
        <v>Gecumuleerde afschrijvingen activa einde boekjaar 2021</v>
      </c>
      <c r="E15" s="901" t="str">
        <f>"Nettoboekwaarde meerwaarde op basis van iRAB einde boekjaar "&amp; B4-1</f>
        <v>Nettoboekwaarde meerwaarde op basis van iRAB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iRAB einde boekjaar "&amp;B4</f>
        <v>Nettoboekwaarde meerwaarde op basis van iRAB einde boekjaar 2022</v>
      </c>
    </row>
    <row r="16" spans="1:13" ht="13.5" thickBot="1" x14ac:dyDescent="0.3">
      <c r="A16" s="902"/>
      <c r="B16" s="903"/>
      <c r="C16" s="904" t="s">
        <v>4</v>
      </c>
      <c r="D16" s="904" t="s">
        <v>8</v>
      </c>
      <c r="E16" s="904"/>
      <c r="F16" s="904" t="s">
        <v>4</v>
      </c>
      <c r="G16" s="904" t="s">
        <v>8</v>
      </c>
      <c r="H16" s="904" t="s">
        <v>8</v>
      </c>
      <c r="I16" s="905"/>
    </row>
    <row r="17" spans="1:9" x14ac:dyDescent="0.25">
      <c r="A17" s="906" t="s">
        <v>267</v>
      </c>
      <c r="B17" s="1186">
        <v>0.02</v>
      </c>
      <c r="C17" s="611">
        <v>0</v>
      </c>
      <c r="D17" s="611">
        <v>0</v>
      </c>
      <c r="E17" s="907">
        <f t="shared" ref="E17:E36" si="0">+C17+D17</f>
        <v>0</v>
      </c>
      <c r="F17" s="611">
        <v>0</v>
      </c>
      <c r="G17" s="611">
        <v>0</v>
      </c>
      <c r="H17" s="611">
        <v>0</v>
      </c>
      <c r="I17" s="908">
        <f>+SUM(E17:H17)</f>
        <v>0</v>
      </c>
    </row>
    <row r="18" spans="1:9" x14ac:dyDescent="0.25">
      <c r="A18" s="909" t="s">
        <v>268</v>
      </c>
      <c r="B18" s="1187"/>
      <c r="C18" s="612">
        <v>0</v>
      </c>
      <c r="D18" s="612">
        <v>0</v>
      </c>
      <c r="E18" s="910">
        <f t="shared" si="0"/>
        <v>0</v>
      </c>
      <c r="F18" s="612">
        <v>0</v>
      </c>
      <c r="G18" s="612">
        <v>0</v>
      </c>
      <c r="H18" s="612">
        <v>0</v>
      </c>
      <c r="I18" s="911">
        <f t="shared" ref="I18:I40" si="1">+SUM(E18:H18)</f>
        <v>0</v>
      </c>
    </row>
    <row r="19" spans="1:9" x14ac:dyDescent="0.25">
      <c r="A19" s="909" t="s">
        <v>269</v>
      </c>
      <c r="B19" s="1187"/>
      <c r="C19" s="612">
        <v>0</v>
      </c>
      <c r="D19" s="612">
        <v>0</v>
      </c>
      <c r="E19" s="910">
        <f t="shared" si="0"/>
        <v>0</v>
      </c>
      <c r="F19" s="612">
        <v>0</v>
      </c>
      <c r="G19" s="612">
        <v>0</v>
      </c>
      <c r="H19" s="612">
        <v>0</v>
      </c>
      <c r="I19" s="911">
        <f t="shared" si="1"/>
        <v>0</v>
      </c>
    </row>
    <row r="20" spans="1:9" x14ac:dyDescent="0.25">
      <c r="A20" s="909" t="s">
        <v>302</v>
      </c>
      <c r="B20" s="1187"/>
      <c r="C20" s="612">
        <v>0</v>
      </c>
      <c r="D20" s="612">
        <v>0</v>
      </c>
      <c r="E20" s="910">
        <f t="shared" si="0"/>
        <v>0</v>
      </c>
      <c r="F20" s="612">
        <v>0</v>
      </c>
      <c r="G20" s="612">
        <v>0</v>
      </c>
      <c r="H20" s="612">
        <v>0</v>
      </c>
      <c r="I20" s="911">
        <f t="shared" si="1"/>
        <v>0</v>
      </c>
    </row>
    <row r="21" spans="1:9" x14ac:dyDescent="0.25">
      <c r="A21" s="909" t="s">
        <v>303</v>
      </c>
      <c r="B21" s="1187"/>
      <c r="C21" s="612">
        <v>0</v>
      </c>
      <c r="D21" s="612">
        <v>0</v>
      </c>
      <c r="E21" s="910">
        <f t="shared" si="0"/>
        <v>0</v>
      </c>
      <c r="F21" s="612">
        <v>0</v>
      </c>
      <c r="G21" s="612">
        <v>0</v>
      </c>
      <c r="H21" s="612">
        <v>0</v>
      </c>
      <c r="I21" s="911">
        <f t="shared" si="1"/>
        <v>0</v>
      </c>
    </row>
    <row r="22" spans="1:9" x14ac:dyDescent="0.25">
      <c r="A22" s="909" t="s">
        <v>304</v>
      </c>
      <c r="B22" s="1187"/>
      <c r="C22" s="612">
        <v>0</v>
      </c>
      <c r="D22" s="612">
        <v>0</v>
      </c>
      <c r="E22" s="910">
        <f t="shared" si="0"/>
        <v>0</v>
      </c>
      <c r="F22" s="612">
        <v>0</v>
      </c>
      <c r="G22" s="612">
        <v>0</v>
      </c>
      <c r="H22" s="612">
        <v>0</v>
      </c>
      <c r="I22" s="911">
        <f t="shared" si="1"/>
        <v>0</v>
      </c>
    </row>
    <row r="23" spans="1:9" x14ac:dyDescent="0.25">
      <c r="A23" s="909" t="s">
        <v>305</v>
      </c>
      <c r="B23" s="1187"/>
      <c r="C23" s="612">
        <v>0</v>
      </c>
      <c r="D23" s="612">
        <v>0</v>
      </c>
      <c r="E23" s="910">
        <f t="shared" si="0"/>
        <v>0</v>
      </c>
      <c r="F23" s="612">
        <v>0</v>
      </c>
      <c r="G23" s="612">
        <v>0</v>
      </c>
      <c r="H23" s="612">
        <v>0</v>
      </c>
      <c r="I23" s="911">
        <f t="shared" si="1"/>
        <v>0</v>
      </c>
    </row>
    <row r="24" spans="1:9" x14ac:dyDescent="0.25">
      <c r="A24" s="909" t="s">
        <v>276</v>
      </c>
      <c r="B24" s="1187"/>
      <c r="C24" s="612">
        <v>0</v>
      </c>
      <c r="D24" s="612">
        <v>0</v>
      </c>
      <c r="E24" s="910">
        <f>+C24+D24</f>
        <v>0</v>
      </c>
      <c r="F24" s="612">
        <v>0</v>
      </c>
      <c r="G24" s="612">
        <v>0</v>
      </c>
      <c r="H24" s="612">
        <v>0</v>
      </c>
      <c r="I24" s="911">
        <f t="shared" si="1"/>
        <v>0</v>
      </c>
    </row>
    <row r="25" spans="1:9" x14ac:dyDescent="0.25">
      <c r="A25" s="909" t="s">
        <v>306</v>
      </c>
      <c r="B25" s="1187"/>
      <c r="C25" s="612">
        <v>0</v>
      </c>
      <c r="D25" s="612">
        <v>0</v>
      </c>
      <c r="E25" s="910">
        <f t="shared" si="0"/>
        <v>0</v>
      </c>
      <c r="F25" s="612">
        <v>0</v>
      </c>
      <c r="G25" s="612">
        <v>0</v>
      </c>
      <c r="H25" s="612">
        <v>0</v>
      </c>
      <c r="I25" s="911">
        <f t="shared" si="1"/>
        <v>0</v>
      </c>
    </row>
    <row r="26" spans="1:9" x14ac:dyDescent="0.25">
      <c r="A26" s="909" t="s">
        <v>307</v>
      </c>
      <c r="B26" s="1187"/>
      <c r="C26" s="612">
        <v>0</v>
      </c>
      <c r="D26" s="612">
        <v>0</v>
      </c>
      <c r="E26" s="910">
        <f t="shared" si="0"/>
        <v>0</v>
      </c>
      <c r="F26" s="612">
        <v>0</v>
      </c>
      <c r="G26" s="612">
        <v>0</v>
      </c>
      <c r="H26" s="612">
        <v>0</v>
      </c>
      <c r="I26" s="911">
        <f t="shared" si="1"/>
        <v>0</v>
      </c>
    </row>
    <row r="27" spans="1:9" x14ac:dyDescent="0.25">
      <c r="A27" s="909" t="s">
        <v>308</v>
      </c>
      <c r="B27" s="1187"/>
      <c r="C27" s="612">
        <v>0</v>
      </c>
      <c r="D27" s="612">
        <v>0</v>
      </c>
      <c r="E27" s="910">
        <f t="shared" si="0"/>
        <v>0</v>
      </c>
      <c r="F27" s="612">
        <v>0</v>
      </c>
      <c r="G27" s="612">
        <v>0</v>
      </c>
      <c r="H27" s="612">
        <v>0</v>
      </c>
      <c r="I27" s="911">
        <f t="shared" si="1"/>
        <v>0</v>
      </c>
    </row>
    <row r="28" spans="1:9" x14ac:dyDescent="0.25">
      <c r="A28" s="909" t="s">
        <v>309</v>
      </c>
      <c r="B28" s="1187"/>
      <c r="C28" s="612">
        <v>0</v>
      </c>
      <c r="D28" s="612">
        <v>0</v>
      </c>
      <c r="E28" s="910">
        <f t="shared" si="0"/>
        <v>0</v>
      </c>
      <c r="F28" s="612">
        <v>0</v>
      </c>
      <c r="G28" s="612">
        <v>0</v>
      </c>
      <c r="H28" s="612">
        <v>0</v>
      </c>
      <c r="I28" s="911">
        <f t="shared" si="1"/>
        <v>0</v>
      </c>
    </row>
    <row r="29" spans="1:9" x14ac:dyDescent="0.25">
      <c r="A29" s="909" t="s">
        <v>281</v>
      </c>
      <c r="B29" s="1187"/>
      <c r="C29" s="612">
        <v>0</v>
      </c>
      <c r="D29" s="612">
        <v>0</v>
      </c>
      <c r="E29" s="910">
        <f t="shared" si="0"/>
        <v>0</v>
      </c>
      <c r="F29" s="612">
        <v>0</v>
      </c>
      <c r="G29" s="612">
        <v>0</v>
      </c>
      <c r="H29" s="612">
        <v>0</v>
      </c>
      <c r="I29" s="911">
        <f t="shared" si="1"/>
        <v>0</v>
      </c>
    </row>
    <row r="30" spans="1:9" x14ac:dyDescent="0.25">
      <c r="A30" s="909" t="s">
        <v>298</v>
      </c>
      <c r="B30" s="1187"/>
      <c r="C30" s="612">
        <v>0</v>
      </c>
      <c r="D30" s="612">
        <v>0</v>
      </c>
      <c r="E30" s="910">
        <f t="shared" si="0"/>
        <v>0</v>
      </c>
      <c r="F30" s="612">
        <v>0</v>
      </c>
      <c r="G30" s="612">
        <v>0</v>
      </c>
      <c r="H30" s="612">
        <v>0</v>
      </c>
      <c r="I30" s="911">
        <f t="shared" si="1"/>
        <v>0</v>
      </c>
    </row>
    <row r="31" spans="1:9" x14ac:dyDescent="0.25">
      <c r="A31" s="909" t="s">
        <v>282</v>
      </c>
      <c r="B31" s="1187"/>
      <c r="C31" s="612">
        <v>0</v>
      </c>
      <c r="D31" s="612">
        <v>0</v>
      </c>
      <c r="E31" s="910">
        <f t="shared" si="0"/>
        <v>0</v>
      </c>
      <c r="F31" s="612">
        <v>0</v>
      </c>
      <c r="G31" s="612">
        <v>0</v>
      </c>
      <c r="H31" s="612">
        <v>0</v>
      </c>
      <c r="I31" s="911">
        <f t="shared" si="1"/>
        <v>0</v>
      </c>
    </row>
    <row r="32" spans="1:9" x14ac:dyDescent="0.25">
      <c r="A32" s="909" t="s">
        <v>283</v>
      </c>
      <c r="B32" s="1187"/>
      <c r="C32" s="612">
        <v>0</v>
      </c>
      <c r="D32" s="612">
        <v>0</v>
      </c>
      <c r="E32" s="910">
        <f t="shared" si="0"/>
        <v>0</v>
      </c>
      <c r="F32" s="612">
        <v>0</v>
      </c>
      <c r="G32" s="612">
        <v>0</v>
      </c>
      <c r="H32" s="612">
        <v>0</v>
      </c>
      <c r="I32" s="911">
        <f t="shared" si="1"/>
        <v>0</v>
      </c>
    </row>
    <row r="33" spans="1:9" x14ac:dyDescent="0.25">
      <c r="A33" s="909" t="s">
        <v>284</v>
      </c>
      <c r="B33" s="1187"/>
      <c r="C33" s="612">
        <v>0</v>
      </c>
      <c r="D33" s="612">
        <v>0</v>
      </c>
      <c r="E33" s="910">
        <f t="shared" si="0"/>
        <v>0</v>
      </c>
      <c r="F33" s="612">
        <v>0</v>
      </c>
      <c r="G33" s="612">
        <v>0</v>
      </c>
      <c r="H33" s="612">
        <v>0</v>
      </c>
      <c r="I33" s="911">
        <f t="shared" si="1"/>
        <v>0</v>
      </c>
    </row>
    <row r="34" spans="1:9" x14ac:dyDescent="0.25">
      <c r="A34" s="909" t="s">
        <v>310</v>
      </c>
      <c r="B34" s="1187"/>
      <c r="C34" s="612">
        <v>0</v>
      </c>
      <c r="D34" s="612">
        <v>0</v>
      </c>
      <c r="E34" s="910">
        <f t="shared" si="0"/>
        <v>0</v>
      </c>
      <c r="F34" s="612">
        <v>0</v>
      </c>
      <c r="G34" s="612">
        <v>0</v>
      </c>
      <c r="H34" s="612">
        <v>0</v>
      </c>
      <c r="I34" s="911">
        <f t="shared" si="1"/>
        <v>0</v>
      </c>
    </row>
    <row r="35" spans="1:9" x14ac:dyDescent="0.25">
      <c r="A35" s="909" t="s">
        <v>286</v>
      </c>
      <c r="B35" s="1187"/>
      <c r="C35" s="612">
        <v>0</v>
      </c>
      <c r="D35" s="612">
        <v>0</v>
      </c>
      <c r="E35" s="910">
        <f t="shared" si="0"/>
        <v>0</v>
      </c>
      <c r="F35" s="612">
        <v>0</v>
      </c>
      <c r="G35" s="612">
        <v>0</v>
      </c>
      <c r="H35" s="612">
        <v>0</v>
      </c>
      <c r="I35" s="911">
        <f t="shared" si="1"/>
        <v>0</v>
      </c>
    </row>
    <row r="36" spans="1:9" x14ac:dyDescent="0.25">
      <c r="A36" s="909" t="s">
        <v>287</v>
      </c>
      <c r="B36" s="1187"/>
      <c r="C36" s="612">
        <v>0</v>
      </c>
      <c r="D36" s="612">
        <v>0</v>
      </c>
      <c r="E36" s="910">
        <f t="shared" si="0"/>
        <v>0</v>
      </c>
      <c r="F36" s="612">
        <v>0</v>
      </c>
      <c r="G36" s="612">
        <v>0</v>
      </c>
      <c r="H36" s="612">
        <v>0</v>
      </c>
      <c r="I36" s="911">
        <f t="shared" si="1"/>
        <v>0</v>
      </c>
    </row>
    <row r="37" spans="1:9" x14ac:dyDescent="0.25">
      <c r="A37" s="929" t="s">
        <v>288</v>
      </c>
      <c r="B37" s="1187"/>
      <c r="C37" s="616">
        <v>0</v>
      </c>
      <c r="D37" s="616">
        <v>0</v>
      </c>
      <c r="E37" s="930">
        <f>+C37+D37</f>
        <v>0</v>
      </c>
      <c r="F37" s="616">
        <v>0</v>
      </c>
      <c r="G37" s="616">
        <v>0</v>
      </c>
      <c r="H37" s="616">
        <v>0</v>
      </c>
      <c r="I37" s="931">
        <f t="shared" si="1"/>
        <v>0</v>
      </c>
    </row>
    <row r="38" spans="1:9" x14ac:dyDescent="0.25">
      <c r="A38" s="909" t="s">
        <v>290</v>
      </c>
      <c r="B38" s="1187"/>
      <c r="C38" s="616">
        <v>0</v>
      </c>
      <c r="D38" s="616">
        <v>0</v>
      </c>
      <c r="E38" s="930">
        <f>+C38+D38</f>
        <v>0</v>
      </c>
      <c r="F38" s="616">
        <v>0</v>
      </c>
      <c r="G38" s="616">
        <v>0</v>
      </c>
      <c r="H38" s="616">
        <v>0</v>
      </c>
      <c r="I38" s="931">
        <f t="shared" si="1"/>
        <v>0</v>
      </c>
    </row>
    <row r="39" spans="1:9" x14ac:dyDescent="0.25">
      <c r="A39" s="929" t="s">
        <v>293</v>
      </c>
      <c r="B39" s="1187"/>
      <c r="C39" s="616">
        <v>0</v>
      </c>
      <c r="D39" s="616">
        <v>0</v>
      </c>
      <c r="E39" s="930">
        <f>+C39+D39</f>
        <v>0</v>
      </c>
      <c r="F39" s="616">
        <v>0</v>
      </c>
      <c r="G39" s="616">
        <v>0</v>
      </c>
      <c r="H39" s="616">
        <v>0</v>
      </c>
      <c r="I39" s="931">
        <f t="shared" si="1"/>
        <v>0</v>
      </c>
    </row>
    <row r="40" spans="1:9" ht="13" thickBot="1" x14ac:dyDescent="0.3">
      <c r="A40" s="932" t="s">
        <v>295</v>
      </c>
      <c r="B40" s="1188"/>
      <c r="C40" s="617">
        <v>0</v>
      </c>
      <c r="D40" s="617">
        <v>0</v>
      </c>
      <c r="E40" s="933">
        <f>+C40+D40</f>
        <v>0</v>
      </c>
      <c r="F40" s="617">
        <v>0</v>
      </c>
      <c r="G40" s="617">
        <v>0</v>
      </c>
      <c r="H40" s="617">
        <v>0</v>
      </c>
      <c r="I40" s="934">
        <f t="shared" si="1"/>
        <v>0</v>
      </c>
    </row>
    <row r="41" spans="1:9" ht="13" x14ac:dyDescent="0.25">
      <c r="A41" s="915"/>
      <c r="B41" s="916"/>
      <c r="C41" s="935"/>
      <c r="D41" s="935"/>
      <c r="E41" s="935"/>
      <c r="F41" s="935"/>
      <c r="G41" s="935"/>
      <c r="H41" s="935"/>
      <c r="I41" s="935"/>
    </row>
    <row r="42" spans="1:9" ht="13" x14ac:dyDescent="0.25">
      <c r="A42" s="915" t="s">
        <v>296</v>
      </c>
      <c r="B42" s="916"/>
      <c r="C42" s="918">
        <f t="shared" ref="C42:I42" si="2">SUM(C17:C40)</f>
        <v>0</v>
      </c>
      <c r="D42" s="918">
        <f t="shared" si="2"/>
        <v>0</v>
      </c>
      <c r="E42" s="918">
        <f t="shared" si="2"/>
        <v>0</v>
      </c>
      <c r="F42" s="918">
        <f t="shared" ref="F42" si="3">SUM(F17:F40)</f>
        <v>0</v>
      </c>
      <c r="G42" s="918">
        <f t="shared" si="2"/>
        <v>0</v>
      </c>
      <c r="H42" s="918">
        <f t="shared" si="2"/>
        <v>0</v>
      </c>
      <c r="I42" s="918">
        <f t="shared" si="2"/>
        <v>0</v>
      </c>
    </row>
    <row r="43" spans="1:9" ht="13.5" thickBot="1" x14ac:dyDescent="0.3">
      <c r="A43" s="919"/>
      <c r="B43" s="920"/>
      <c r="C43" s="921"/>
      <c r="D43" s="921"/>
      <c r="E43" s="921"/>
      <c r="F43" s="921"/>
      <c r="G43" s="921"/>
      <c r="H43" s="921"/>
      <c r="I43" s="922"/>
    </row>
    <row r="46" spans="1:9" ht="13" thickBot="1" x14ac:dyDescent="0.3"/>
    <row r="47" spans="1:9" ht="18" customHeight="1" thickBot="1" x14ac:dyDescent="0.3">
      <c r="A47" s="1189" t="str">
        <f>"REALITEIT "&amp;B4</f>
        <v>REALITEIT 2022</v>
      </c>
      <c r="B47" s="1190"/>
      <c r="C47" s="1190"/>
      <c r="D47" s="1190"/>
      <c r="E47" s="1190"/>
      <c r="F47" s="1190"/>
      <c r="G47" s="1190"/>
      <c r="H47" s="1190"/>
      <c r="I47" s="1191"/>
    </row>
    <row r="48" spans="1:9" ht="58.5" customHeight="1" x14ac:dyDescent="0.25">
      <c r="A48" s="899" t="s">
        <v>266</v>
      </c>
      <c r="B48" s="900" t="s">
        <v>297</v>
      </c>
      <c r="C48" s="901" t="str">
        <f>"Oorspronkelijke meerwaarde op basis van iRAB voor activa einde boekjaar "&amp;B4-1</f>
        <v>Oorspronkelijke meerwaarde op basis van iRAB voor activa einde boekjaar 2021</v>
      </c>
      <c r="D48" s="901" t="str">
        <f>"Gecumuleerde afschrijvingen activa einde boekjaar "&amp; B4-1</f>
        <v>Gecumuleerde afschrijvingen activa einde boekjaar 2021</v>
      </c>
      <c r="E48" s="901" t="str">
        <f>"Nettoboekwaarde meerwaarde op basis van iRAB einde boekjaar "&amp; B4-1</f>
        <v>Nettoboekwaarde meerwaarde op basis van iRAB einde boekjaar 2021</v>
      </c>
      <c r="F48" s="901" t="str">
        <f>"Transfers boekjaar "&amp;B4</f>
        <v>Transfers boekjaar 2022</v>
      </c>
      <c r="G48" s="901" t="str">
        <f>"Afschrijvingen boekjaar "&amp;B4</f>
        <v>Afschrijvingen boekjaar 2022</v>
      </c>
      <c r="H48" s="901" t="str">
        <f>"Desinvesteringen boekjaar "&amp;B4&amp;" (n.a.v. verkoop of structuurwijziging)"</f>
        <v>Desinvesteringen boekjaar 2022 (n.a.v. verkoop of structuurwijziging)</v>
      </c>
      <c r="I48" s="901" t="str">
        <f>"Nettoboekwaarde meerwaarde op basis van iRAB einde boekjaar "&amp;B4</f>
        <v>Nettoboekwaarde meerwaarde op basis van iRAB einde boekjaar 2022</v>
      </c>
    </row>
    <row r="49" spans="1:9" ht="13.5" thickBot="1" x14ac:dyDescent="0.3">
      <c r="A49" s="902"/>
      <c r="B49" s="903"/>
      <c r="C49" s="904" t="s">
        <v>4</v>
      </c>
      <c r="D49" s="904" t="s">
        <v>8</v>
      </c>
      <c r="E49" s="904"/>
      <c r="F49" s="904" t="s">
        <v>4</v>
      </c>
      <c r="G49" s="904" t="s">
        <v>8</v>
      </c>
      <c r="H49" s="904" t="s">
        <v>8</v>
      </c>
      <c r="I49" s="905"/>
    </row>
    <row r="50" spans="1:9" x14ac:dyDescent="0.25">
      <c r="A50" s="906" t="s">
        <v>267</v>
      </c>
      <c r="B50" s="1186">
        <v>0.02</v>
      </c>
      <c r="C50" s="611">
        <v>0</v>
      </c>
      <c r="D50" s="611">
        <v>0</v>
      </c>
      <c r="E50" s="907">
        <f t="shared" ref="E50:E56" si="4">+C50+D50</f>
        <v>0</v>
      </c>
      <c r="F50" s="611">
        <v>0</v>
      </c>
      <c r="G50" s="611">
        <v>0</v>
      </c>
      <c r="H50" s="611">
        <v>0</v>
      </c>
      <c r="I50" s="908">
        <f>+SUM(E50:H50)</f>
        <v>0</v>
      </c>
    </row>
    <row r="51" spans="1:9" x14ac:dyDescent="0.25">
      <c r="A51" s="909" t="s">
        <v>268</v>
      </c>
      <c r="B51" s="1187"/>
      <c r="C51" s="612">
        <v>0</v>
      </c>
      <c r="D51" s="612">
        <v>0</v>
      </c>
      <c r="E51" s="910">
        <f t="shared" si="4"/>
        <v>0</v>
      </c>
      <c r="F51" s="612">
        <v>0</v>
      </c>
      <c r="G51" s="612">
        <v>0</v>
      </c>
      <c r="H51" s="612">
        <v>0</v>
      </c>
      <c r="I51" s="911">
        <f t="shared" ref="I51:I73" si="5">+SUM(E51:H51)</f>
        <v>0</v>
      </c>
    </row>
    <row r="52" spans="1:9" x14ac:dyDescent="0.25">
      <c r="A52" s="909" t="s">
        <v>269</v>
      </c>
      <c r="B52" s="1187"/>
      <c r="C52" s="612">
        <v>0</v>
      </c>
      <c r="D52" s="612">
        <v>0</v>
      </c>
      <c r="E52" s="910">
        <f t="shared" si="4"/>
        <v>0</v>
      </c>
      <c r="F52" s="612">
        <v>0</v>
      </c>
      <c r="G52" s="612">
        <v>0</v>
      </c>
      <c r="H52" s="612">
        <v>0</v>
      </c>
      <c r="I52" s="911">
        <f t="shared" si="5"/>
        <v>0</v>
      </c>
    </row>
    <row r="53" spans="1:9" x14ac:dyDescent="0.25">
      <c r="A53" s="909" t="s">
        <v>302</v>
      </c>
      <c r="B53" s="1187"/>
      <c r="C53" s="612">
        <v>0</v>
      </c>
      <c r="D53" s="612">
        <v>0</v>
      </c>
      <c r="E53" s="910">
        <f t="shared" si="4"/>
        <v>0</v>
      </c>
      <c r="F53" s="612">
        <v>0</v>
      </c>
      <c r="G53" s="612">
        <v>0</v>
      </c>
      <c r="H53" s="612">
        <v>0</v>
      </c>
      <c r="I53" s="911">
        <f t="shared" si="5"/>
        <v>0</v>
      </c>
    </row>
    <row r="54" spans="1:9" x14ac:dyDescent="0.25">
      <c r="A54" s="909" t="s">
        <v>303</v>
      </c>
      <c r="B54" s="1187"/>
      <c r="C54" s="612">
        <v>0</v>
      </c>
      <c r="D54" s="612">
        <v>0</v>
      </c>
      <c r="E54" s="910">
        <f t="shared" si="4"/>
        <v>0</v>
      </c>
      <c r="F54" s="612">
        <v>0</v>
      </c>
      <c r="G54" s="612">
        <v>0</v>
      </c>
      <c r="H54" s="612">
        <v>0</v>
      </c>
      <c r="I54" s="911">
        <f t="shared" si="5"/>
        <v>0</v>
      </c>
    </row>
    <row r="55" spans="1:9" x14ac:dyDescent="0.25">
      <c r="A55" s="909" t="s">
        <v>304</v>
      </c>
      <c r="B55" s="1187"/>
      <c r="C55" s="612">
        <v>0</v>
      </c>
      <c r="D55" s="612">
        <v>0</v>
      </c>
      <c r="E55" s="910">
        <f t="shared" si="4"/>
        <v>0</v>
      </c>
      <c r="F55" s="612">
        <v>0</v>
      </c>
      <c r="G55" s="612">
        <v>0</v>
      </c>
      <c r="H55" s="612">
        <v>0</v>
      </c>
      <c r="I55" s="911">
        <f t="shared" si="5"/>
        <v>0</v>
      </c>
    </row>
    <row r="56" spans="1:9" x14ac:dyDescent="0.25">
      <c r="A56" s="909" t="s">
        <v>305</v>
      </c>
      <c r="B56" s="1187"/>
      <c r="C56" s="612">
        <v>0</v>
      </c>
      <c r="D56" s="612">
        <v>0</v>
      </c>
      <c r="E56" s="910">
        <f t="shared" si="4"/>
        <v>0</v>
      </c>
      <c r="F56" s="612">
        <v>0</v>
      </c>
      <c r="G56" s="612">
        <v>0</v>
      </c>
      <c r="H56" s="612">
        <v>0</v>
      </c>
      <c r="I56" s="911">
        <f t="shared" si="5"/>
        <v>0</v>
      </c>
    </row>
    <row r="57" spans="1:9" x14ac:dyDescent="0.25">
      <c r="A57" s="909" t="s">
        <v>276</v>
      </c>
      <c r="B57" s="1187"/>
      <c r="C57" s="612">
        <v>0</v>
      </c>
      <c r="D57" s="612">
        <v>0</v>
      </c>
      <c r="E57" s="910">
        <f>+C57+D57</f>
        <v>0</v>
      </c>
      <c r="F57" s="612">
        <v>0</v>
      </c>
      <c r="G57" s="612">
        <v>0</v>
      </c>
      <c r="H57" s="612">
        <v>0</v>
      </c>
      <c r="I57" s="911">
        <f t="shared" si="5"/>
        <v>0</v>
      </c>
    </row>
    <row r="58" spans="1:9" x14ac:dyDescent="0.25">
      <c r="A58" s="909" t="s">
        <v>306</v>
      </c>
      <c r="B58" s="1187"/>
      <c r="C58" s="612">
        <v>0</v>
      </c>
      <c r="D58" s="612">
        <v>0</v>
      </c>
      <c r="E58" s="910">
        <f t="shared" ref="E58:E69" si="6">+C58+D58</f>
        <v>0</v>
      </c>
      <c r="F58" s="612">
        <v>0</v>
      </c>
      <c r="G58" s="612">
        <v>0</v>
      </c>
      <c r="H58" s="612">
        <v>0</v>
      </c>
      <c r="I58" s="911">
        <f t="shared" si="5"/>
        <v>0</v>
      </c>
    </row>
    <row r="59" spans="1:9" x14ac:dyDescent="0.25">
      <c r="A59" s="909" t="s">
        <v>307</v>
      </c>
      <c r="B59" s="1187"/>
      <c r="C59" s="612">
        <v>0</v>
      </c>
      <c r="D59" s="612">
        <v>0</v>
      </c>
      <c r="E59" s="910">
        <f t="shared" si="6"/>
        <v>0</v>
      </c>
      <c r="F59" s="612">
        <v>0</v>
      </c>
      <c r="G59" s="612">
        <v>0</v>
      </c>
      <c r="H59" s="612">
        <v>0</v>
      </c>
      <c r="I59" s="911">
        <f t="shared" si="5"/>
        <v>0</v>
      </c>
    </row>
    <row r="60" spans="1:9" x14ac:dyDescent="0.25">
      <c r="A60" s="909" t="s">
        <v>308</v>
      </c>
      <c r="B60" s="1187"/>
      <c r="C60" s="612">
        <v>0</v>
      </c>
      <c r="D60" s="612">
        <v>0</v>
      </c>
      <c r="E60" s="910">
        <f t="shared" si="6"/>
        <v>0</v>
      </c>
      <c r="F60" s="612">
        <v>0</v>
      </c>
      <c r="G60" s="612">
        <v>0</v>
      </c>
      <c r="H60" s="612">
        <v>0</v>
      </c>
      <c r="I60" s="911">
        <f t="shared" si="5"/>
        <v>0</v>
      </c>
    </row>
    <row r="61" spans="1:9" x14ac:dyDescent="0.25">
      <c r="A61" s="909" t="s">
        <v>309</v>
      </c>
      <c r="B61" s="1187"/>
      <c r="C61" s="612">
        <v>0</v>
      </c>
      <c r="D61" s="612">
        <v>0</v>
      </c>
      <c r="E61" s="910">
        <f t="shared" si="6"/>
        <v>0</v>
      </c>
      <c r="F61" s="612">
        <v>0</v>
      </c>
      <c r="G61" s="612">
        <v>0</v>
      </c>
      <c r="H61" s="612">
        <v>0</v>
      </c>
      <c r="I61" s="911">
        <f t="shared" si="5"/>
        <v>0</v>
      </c>
    </row>
    <row r="62" spans="1:9" x14ac:dyDescent="0.25">
      <c r="A62" s="909" t="s">
        <v>281</v>
      </c>
      <c r="B62" s="1187"/>
      <c r="C62" s="612">
        <v>0</v>
      </c>
      <c r="D62" s="612">
        <v>0</v>
      </c>
      <c r="E62" s="910">
        <f t="shared" si="6"/>
        <v>0</v>
      </c>
      <c r="F62" s="612">
        <v>0</v>
      </c>
      <c r="G62" s="612">
        <v>0</v>
      </c>
      <c r="H62" s="612">
        <v>0</v>
      </c>
      <c r="I62" s="911">
        <f t="shared" si="5"/>
        <v>0</v>
      </c>
    </row>
    <row r="63" spans="1:9" x14ac:dyDescent="0.25">
      <c r="A63" s="909" t="s">
        <v>298</v>
      </c>
      <c r="B63" s="1187"/>
      <c r="C63" s="612">
        <v>0</v>
      </c>
      <c r="D63" s="612">
        <v>0</v>
      </c>
      <c r="E63" s="910">
        <f t="shared" si="6"/>
        <v>0</v>
      </c>
      <c r="F63" s="612">
        <v>0</v>
      </c>
      <c r="G63" s="612">
        <v>0</v>
      </c>
      <c r="H63" s="612">
        <v>0</v>
      </c>
      <c r="I63" s="911">
        <f t="shared" si="5"/>
        <v>0</v>
      </c>
    </row>
    <row r="64" spans="1:9" x14ac:dyDescent="0.25">
      <c r="A64" s="909" t="s">
        <v>282</v>
      </c>
      <c r="B64" s="1187"/>
      <c r="C64" s="612">
        <v>0</v>
      </c>
      <c r="D64" s="612">
        <v>0</v>
      </c>
      <c r="E64" s="910">
        <f t="shared" si="6"/>
        <v>0</v>
      </c>
      <c r="F64" s="612">
        <v>0</v>
      </c>
      <c r="G64" s="612">
        <v>0</v>
      </c>
      <c r="H64" s="612">
        <v>0</v>
      </c>
      <c r="I64" s="911">
        <f t="shared" si="5"/>
        <v>0</v>
      </c>
    </row>
    <row r="65" spans="1:9" x14ac:dyDescent="0.25">
      <c r="A65" s="909" t="s">
        <v>283</v>
      </c>
      <c r="B65" s="1187"/>
      <c r="C65" s="612">
        <v>0</v>
      </c>
      <c r="D65" s="612">
        <v>0</v>
      </c>
      <c r="E65" s="910">
        <f t="shared" si="6"/>
        <v>0</v>
      </c>
      <c r="F65" s="612">
        <v>0</v>
      </c>
      <c r="G65" s="612">
        <v>0</v>
      </c>
      <c r="H65" s="612">
        <v>0</v>
      </c>
      <c r="I65" s="911">
        <f t="shared" si="5"/>
        <v>0</v>
      </c>
    </row>
    <row r="66" spans="1:9" x14ac:dyDescent="0.25">
      <c r="A66" s="909" t="s">
        <v>284</v>
      </c>
      <c r="B66" s="1187"/>
      <c r="C66" s="612">
        <v>0</v>
      </c>
      <c r="D66" s="612">
        <v>0</v>
      </c>
      <c r="E66" s="910">
        <f t="shared" si="6"/>
        <v>0</v>
      </c>
      <c r="F66" s="612">
        <v>0</v>
      </c>
      <c r="G66" s="612">
        <v>0</v>
      </c>
      <c r="H66" s="612">
        <v>0</v>
      </c>
      <c r="I66" s="911">
        <f t="shared" si="5"/>
        <v>0</v>
      </c>
    </row>
    <row r="67" spans="1:9" x14ac:dyDescent="0.25">
      <c r="A67" s="909" t="s">
        <v>310</v>
      </c>
      <c r="B67" s="1187"/>
      <c r="C67" s="612">
        <v>0</v>
      </c>
      <c r="D67" s="612">
        <v>0</v>
      </c>
      <c r="E67" s="910">
        <f t="shared" si="6"/>
        <v>0</v>
      </c>
      <c r="F67" s="612">
        <v>0</v>
      </c>
      <c r="G67" s="612">
        <v>0</v>
      </c>
      <c r="H67" s="612">
        <v>0</v>
      </c>
      <c r="I67" s="911">
        <f t="shared" si="5"/>
        <v>0</v>
      </c>
    </row>
    <row r="68" spans="1:9" x14ac:dyDescent="0.25">
      <c r="A68" s="909" t="s">
        <v>286</v>
      </c>
      <c r="B68" s="1187"/>
      <c r="C68" s="612">
        <v>0</v>
      </c>
      <c r="D68" s="612">
        <v>0</v>
      </c>
      <c r="E68" s="910">
        <f t="shared" si="6"/>
        <v>0</v>
      </c>
      <c r="F68" s="612">
        <v>0</v>
      </c>
      <c r="G68" s="612">
        <v>0</v>
      </c>
      <c r="H68" s="612">
        <v>0</v>
      </c>
      <c r="I68" s="911">
        <f t="shared" si="5"/>
        <v>0</v>
      </c>
    </row>
    <row r="69" spans="1:9" x14ac:dyDescent="0.25">
      <c r="A69" s="909" t="s">
        <v>287</v>
      </c>
      <c r="B69" s="1187"/>
      <c r="C69" s="612">
        <v>0</v>
      </c>
      <c r="D69" s="612">
        <v>0</v>
      </c>
      <c r="E69" s="910">
        <f t="shared" si="6"/>
        <v>0</v>
      </c>
      <c r="F69" s="612">
        <v>0</v>
      </c>
      <c r="G69" s="612">
        <v>0</v>
      </c>
      <c r="H69" s="612">
        <v>0</v>
      </c>
      <c r="I69" s="911">
        <f t="shared" si="5"/>
        <v>0</v>
      </c>
    </row>
    <row r="70" spans="1:9" x14ac:dyDescent="0.25">
      <c r="A70" s="929" t="s">
        <v>288</v>
      </c>
      <c r="B70" s="1187"/>
      <c r="C70" s="616">
        <v>0</v>
      </c>
      <c r="D70" s="616">
        <v>0</v>
      </c>
      <c r="E70" s="930">
        <f>+C70+D70</f>
        <v>0</v>
      </c>
      <c r="F70" s="616">
        <v>0</v>
      </c>
      <c r="G70" s="616">
        <v>0</v>
      </c>
      <c r="H70" s="616">
        <v>0</v>
      </c>
      <c r="I70" s="931">
        <f t="shared" si="5"/>
        <v>0</v>
      </c>
    </row>
    <row r="71" spans="1:9" x14ac:dyDescent="0.25">
      <c r="A71" s="909" t="s">
        <v>290</v>
      </c>
      <c r="B71" s="1187"/>
      <c r="C71" s="616">
        <v>0</v>
      </c>
      <c r="D71" s="616">
        <v>0</v>
      </c>
      <c r="E71" s="930">
        <f>+C71+D71</f>
        <v>0</v>
      </c>
      <c r="F71" s="616">
        <v>0</v>
      </c>
      <c r="G71" s="616">
        <v>0</v>
      </c>
      <c r="H71" s="616">
        <v>0</v>
      </c>
      <c r="I71" s="931">
        <f t="shared" si="5"/>
        <v>0</v>
      </c>
    </row>
    <row r="72" spans="1:9" x14ac:dyDescent="0.25">
      <c r="A72" s="929" t="s">
        <v>293</v>
      </c>
      <c r="B72" s="1187"/>
      <c r="C72" s="616">
        <v>0</v>
      </c>
      <c r="D72" s="616">
        <v>0</v>
      </c>
      <c r="E72" s="930">
        <f>+C72+D72</f>
        <v>0</v>
      </c>
      <c r="F72" s="616">
        <v>0</v>
      </c>
      <c r="G72" s="616">
        <v>0</v>
      </c>
      <c r="H72" s="616">
        <v>0</v>
      </c>
      <c r="I72" s="931">
        <f t="shared" si="5"/>
        <v>0</v>
      </c>
    </row>
    <row r="73" spans="1:9" ht="13" thickBot="1" x14ac:dyDescent="0.3">
      <c r="A73" s="932" t="s">
        <v>295</v>
      </c>
      <c r="B73" s="1188"/>
      <c r="C73" s="617">
        <v>0</v>
      </c>
      <c r="D73" s="617">
        <v>0</v>
      </c>
      <c r="E73" s="933">
        <f>+C73+D73</f>
        <v>0</v>
      </c>
      <c r="F73" s="617">
        <v>0</v>
      </c>
      <c r="G73" s="617">
        <v>0</v>
      </c>
      <c r="H73" s="617">
        <v>0</v>
      </c>
      <c r="I73" s="934">
        <f t="shared" si="5"/>
        <v>0</v>
      </c>
    </row>
    <row r="74" spans="1:9" ht="13" x14ac:dyDescent="0.25">
      <c r="A74" s="915"/>
      <c r="B74" s="916"/>
      <c r="C74" s="935"/>
      <c r="D74" s="935"/>
      <c r="E74" s="935"/>
      <c r="F74" s="935"/>
      <c r="G74" s="935"/>
      <c r="H74" s="935"/>
      <c r="I74" s="935"/>
    </row>
    <row r="75" spans="1:9" ht="13" x14ac:dyDescent="0.25">
      <c r="A75" s="915" t="s">
        <v>296</v>
      </c>
      <c r="B75" s="916"/>
      <c r="C75" s="918">
        <f t="shared" ref="C75:I75" si="7">SUM(C50:C73)</f>
        <v>0</v>
      </c>
      <c r="D75" s="918">
        <f t="shared" si="7"/>
        <v>0</v>
      </c>
      <c r="E75" s="918">
        <f t="shared" si="7"/>
        <v>0</v>
      </c>
      <c r="F75" s="918">
        <f t="shared" ref="F75" si="8">SUM(F50:F73)</f>
        <v>0</v>
      </c>
      <c r="G75" s="918">
        <f t="shared" si="7"/>
        <v>0</v>
      </c>
      <c r="H75" s="918">
        <f t="shared" si="7"/>
        <v>0</v>
      </c>
      <c r="I75" s="918">
        <f t="shared" si="7"/>
        <v>0</v>
      </c>
    </row>
    <row r="76" spans="1:9" ht="13.5" thickBot="1" x14ac:dyDescent="0.3">
      <c r="A76" s="919"/>
      <c r="B76" s="920"/>
      <c r="C76" s="921"/>
      <c r="D76" s="921"/>
      <c r="E76" s="921"/>
      <c r="F76" s="921"/>
      <c r="G76" s="921"/>
      <c r="H76" s="921"/>
      <c r="I76" s="922"/>
    </row>
  </sheetData>
  <sheetProtection algorithmName="SHA-512" hashValue="BnmHR45ZINJO+Dn3WREWK0Sr6j+1FZOnYU29/TRT2MDGXU18vWD5FvTrfO1OQzNf8w3zgmVAdFT8sr/AQblMjA==" saltValue="JbfAlOnM2KJfvOjcq+oBaA==" spinCount="100000" sheet="1" objects="1" scenarios="1"/>
  <mergeCells count="5">
    <mergeCell ref="A1:G1"/>
    <mergeCell ref="A14:I14"/>
    <mergeCell ref="B17:B40"/>
    <mergeCell ref="A47:I47"/>
    <mergeCell ref="B50:B73"/>
  </mergeCells>
  <conditionalFormatting sqref="A1:XFD1048576">
    <cfRule type="expression" dxfId="2" priority="2">
      <formula>$J$1="elektriciteit"</formula>
    </cfRule>
  </conditionalFormatting>
  <dataValidations count="3">
    <dataValidation type="decimal" operator="greaterThanOrEqual" allowBlank="1" showInputMessage="1" showErrorMessage="1" errorTitle="Negatief bedrag" error="Gelieve een positieve waarde in te geven" sqref="C17:C40 C50:C73" xr:uid="{A02E0725-4398-4B81-9F27-765B7E3D8AB3}">
      <formula1>0</formula1>
    </dataValidation>
    <dataValidation type="decimal" operator="greaterThanOrEqual" allowBlank="1" showInputMessage="1" showErrorMessage="1" errorTitle="Negatieve waarde" error="Gelieve positieve waarde in te geven" sqref="JD65523:JE65545 SZ65523:TA65545 ACV65523:ACW65545 AMR65523:AMS65545 AWN65523:AWO65545 BGJ65523:BGK65545 BQF65523:BQG65545 CAB65523:CAC65545 CJX65523:CJY65545 CTT65523:CTU65545 DDP65523:DDQ65545 DNL65523:DNM65545 DXH65523:DXI65545 EHD65523:EHE65545 EQZ65523:ERA65545 FAV65523:FAW65545 FKR65523:FKS65545 FUN65523:FUO65545 GEJ65523:GEK65545 GOF65523:GOG65545 GYB65523:GYC65545 HHX65523:HHY65545 HRT65523:HRU65545 IBP65523:IBQ65545 ILL65523:ILM65545 IVH65523:IVI65545 JFD65523:JFE65545 JOZ65523:JPA65545 JYV65523:JYW65545 KIR65523:KIS65545 KSN65523:KSO65545 LCJ65523:LCK65545 LMF65523:LMG65545 LWB65523:LWC65545 MFX65523:MFY65545 MPT65523:MPU65545 MZP65523:MZQ65545 NJL65523:NJM65545 NTH65523:NTI65545 ODD65523:ODE65545 OMZ65523:ONA65545 OWV65523:OWW65545 PGR65523:PGS65545 PQN65523:PQO65545 QAJ65523:QAK65545 QKF65523:QKG65545 QUB65523:QUC65545 RDX65523:RDY65545 RNT65523:RNU65545 RXP65523:RXQ65545 SHL65523:SHM65545 SRH65523:SRI65545 TBD65523:TBE65545 TKZ65523:TLA65545 TUV65523:TUW65545 UER65523:UES65545 UON65523:UOO65545 UYJ65523:UYK65545 VIF65523:VIG65545 VSB65523:VSC65545 WBX65523:WBY65545 WLT65523:WLU65545 WVP65523:WVQ65545 JD131059:JE131081 SZ131059:TA131081 ACV131059:ACW131081 AMR131059:AMS131081 AWN131059:AWO131081 BGJ131059:BGK131081 BQF131059:BQG131081 CAB131059:CAC131081 CJX131059:CJY131081 CTT131059:CTU131081 DDP131059:DDQ131081 DNL131059:DNM131081 DXH131059:DXI131081 EHD131059:EHE131081 EQZ131059:ERA131081 FAV131059:FAW131081 FKR131059:FKS131081 FUN131059:FUO131081 GEJ131059:GEK131081 GOF131059:GOG131081 GYB131059:GYC131081 HHX131059:HHY131081 HRT131059:HRU131081 IBP131059:IBQ131081 ILL131059:ILM131081 IVH131059:IVI131081 JFD131059:JFE131081 JOZ131059:JPA131081 JYV131059:JYW131081 KIR131059:KIS131081 KSN131059:KSO131081 LCJ131059:LCK131081 LMF131059:LMG131081 LWB131059:LWC131081 MFX131059:MFY131081 MPT131059:MPU131081 MZP131059:MZQ131081 NJL131059:NJM131081 NTH131059:NTI131081 ODD131059:ODE131081 OMZ131059:ONA131081 OWV131059:OWW131081 PGR131059:PGS131081 PQN131059:PQO131081 QAJ131059:QAK131081 QKF131059:QKG131081 QUB131059:QUC131081 RDX131059:RDY131081 RNT131059:RNU131081 RXP131059:RXQ131081 SHL131059:SHM131081 SRH131059:SRI131081 TBD131059:TBE131081 TKZ131059:TLA131081 TUV131059:TUW131081 UER131059:UES131081 UON131059:UOO131081 UYJ131059:UYK131081 VIF131059:VIG131081 VSB131059:VSC131081 WBX131059:WBY131081 WLT131059:WLU131081 WVP131059:WVQ131081 JD196595:JE196617 SZ196595:TA196617 ACV196595:ACW196617 AMR196595:AMS196617 AWN196595:AWO196617 BGJ196595:BGK196617 BQF196595:BQG196617 CAB196595:CAC196617 CJX196595:CJY196617 CTT196595:CTU196617 DDP196595:DDQ196617 DNL196595:DNM196617 DXH196595:DXI196617 EHD196595:EHE196617 EQZ196595:ERA196617 FAV196595:FAW196617 FKR196595:FKS196617 FUN196595:FUO196617 GEJ196595:GEK196617 GOF196595:GOG196617 GYB196595:GYC196617 HHX196595:HHY196617 HRT196595:HRU196617 IBP196595:IBQ196617 ILL196595:ILM196617 IVH196595:IVI196617 JFD196595:JFE196617 JOZ196595:JPA196617 JYV196595:JYW196617 KIR196595:KIS196617 KSN196595:KSO196617 LCJ196595:LCK196617 LMF196595:LMG196617 LWB196595:LWC196617 MFX196595:MFY196617 MPT196595:MPU196617 MZP196595:MZQ196617 NJL196595:NJM196617 NTH196595:NTI196617 ODD196595:ODE196617 OMZ196595:ONA196617 OWV196595:OWW196617 PGR196595:PGS196617 PQN196595:PQO196617 QAJ196595:QAK196617 QKF196595:QKG196617 QUB196595:QUC196617 RDX196595:RDY196617 RNT196595:RNU196617 RXP196595:RXQ196617 SHL196595:SHM196617 SRH196595:SRI196617 TBD196595:TBE196617 TKZ196595:TLA196617 TUV196595:TUW196617 UER196595:UES196617 UON196595:UOO196617 UYJ196595:UYK196617 VIF196595:VIG196617 VSB196595:VSC196617 WBX196595:WBY196617 WLT196595:WLU196617 WVP196595:WVQ196617 JD262131:JE262153 SZ262131:TA262153 ACV262131:ACW262153 AMR262131:AMS262153 AWN262131:AWO262153 BGJ262131:BGK262153 BQF262131:BQG262153 CAB262131:CAC262153 CJX262131:CJY262153 CTT262131:CTU262153 DDP262131:DDQ262153 DNL262131:DNM262153 DXH262131:DXI262153 EHD262131:EHE262153 EQZ262131:ERA262153 FAV262131:FAW262153 FKR262131:FKS262153 FUN262131:FUO262153 GEJ262131:GEK262153 GOF262131:GOG262153 GYB262131:GYC262153 HHX262131:HHY262153 HRT262131:HRU262153 IBP262131:IBQ262153 ILL262131:ILM262153 IVH262131:IVI262153 JFD262131:JFE262153 JOZ262131:JPA262153 JYV262131:JYW262153 KIR262131:KIS262153 KSN262131:KSO262153 LCJ262131:LCK262153 LMF262131:LMG262153 LWB262131:LWC262153 MFX262131:MFY262153 MPT262131:MPU262153 MZP262131:MZQ262153 NJL262131:NJM262153 NTH262131:NTI262153 ODD262131:ODE262153 OMZ262131:ONA262153 OWV262131:OWW262153 PGR262131:PGS262153 PQN262131:PQO262153 QAJ262131:QAK262153 QKF262131:QKG262153 QUB262131:QUC262153 RDX262131:RDY262153 RNT262131:RNU262153 RXP262131:RXQ262153 SHL262131:SHM262153 SRH262131:SRI262153 TBD262131:TBE262153 TKZ262131:TLA262153 TUV262131:TUW262153 UER262131:UES262153 UON262131:UOO262153 UYJ262131:UYK262153 VIF262131:VIG262153 VSB262131:VSC262153 WBX262131:WBY262153 WLT262131:WLU262153 WVP262131:WVQ262153 JD327667:JE327689 SZ327667:TA327689 ACV327667:ACW327689 AMR327667:AMS327689 AWN327667:AWO327689 BGJ327667:BGK327689 BQF327667:BQG327689 CAB327667:CAC327689 CJX327667:CJY327689 CTT327667:CTU327689 DDP327667:DDQ327689 DNL327667:DNM327689 DXH327667:DXI327689 EHD327667:EHE327689 EQZ327667:ERA327689 FAV327667:FAW327689 FKR327667:FKS327689 FUN327667:FUO327689 GEJ327667:GEK327689 GOF327667:GOG327689 GYB327667:GYC327689 HHX327667:HHY327689 HRT327667:HRU327689 IBP327667:IBQ327689 ILL327667:ILM327689 IVH327667:IVI327689 JFD327667:JFE327689 JOZ327667:JPA327689 JYV327667:JYW327689 KIR327667:KIS327689 KSN327667:KSO327689 LCJ327667:LCK327689 LMF327667:LMG327689 LWB327667:LWC327689 MFX327667:MFY327689 MPT327667:MPU327689 MZP327667:MZQ327689 NJL327667:NJM327689 NTH327667:NTI327689 ODD327667:ODE327689 OMZ327667:ONA327689 OWV327667:OWW327689 PGR327667:PGS327689 PQN327667:PQO327689 QAJ327667:QAK327689 QKF327667:QKG327689 QUB327667:QUC327689 RDX327667:RDY327689 RNT327667:RNU327689 RXP327667:RXQ327689 SHL327667:SHM327689 SRH327667:SRI327689 TBD327667:TBE327689 TKZ327667:TLA327689 TUV327667:TUW327689 UER327667:UES327689 UON327667:UOO327689 UYJ327667:UYK327689 VIF327667:VIG327689 VSB327667:VSC327689 WBX327667:WBY327689 WLT327667:WLU327689 WVP327667:WVQ327689 JD393203:JE393225 SZ393203:TA393225 ACV393203:ACW393225 AMR393203:AMS393225 AWN393203:AWO393225 BGJ393203:BGK393225 BQF393203:BQG393225 CAB393203:CAC393225 CJX393203:CJY393225 CTT393203:CTU393225 DDP393203:DDQ393225 DNL393203:DNM393225 DXH393203:DXI393225 EHD393203:EHE393225 EQZ393203:ERA393225 FAV393203:FAW393225 FKR393203:FKS393225 FUN393203:FUO393225 GEJ393203:GEK393225 GOF393203:GOG393225 GYB393203:GYC393225 HHX393203:HHY393225 HRT393203:HRU393225 IBP393203:IBQ393225 ILL393203:ILM393225 IVH393203:IVI393225 JFD393203:JFE393225 JOZ393203:JPA393225 JYV393203:JYW393225 KIR393203:KIS393225 KSN393203:KSO393225 LCJ393203:LCK393225 LMF393203:LMG393225 LWB393203:LWC393225 MFX393203:MFY393225 MPT393203:MPU393225 MZP393203:MZQ393225 NJL393203:NJM393225 NTH393203:NTI393225 ODD393203:ODE393225 OMZ393203:ONA393225 OWV393203:OWW393225 PGR393203:PGS393225 PQN393203:PQO393225 QAJ393203:QAK393225 QKF393203:QKG393225 QUB393203:QUC393225 RDX393203:RDY393225 RNT393203:RNU393225 RXP393203:RXQ393225 SHL393203:SHM393225 SRH393203:SRI393225 TBD393203:TBE393225 TKZ393203:TLA393225 TUV393203:TUW393225 UER393203:UES393225 UON393203:UOO393225 UYJ393203:UYK393225 VIF393203:VIG393225 VSB393203:VSC393225 WBX393203:WBY393225 WLT393203:WLU393225 WVP393203:WVQ393225 JD458739:JE458761 SZ458739:TA458761 ACV458739:ACW458761 AMR458739:AMS458761 AWN458739:AWO458761 BGJ458739:BGK458761 BQF458739:BQG458761 CAB458739:CAC458761 CJX458739:CJY458761 CTT458739:CTU458761 DDP458739:DDQ458761 DNL458739:DNM458761 DXH458739:DXI458761 EHD458739:EHE458761 EQZ458739:ERA458761 FAV458739:FAW458761 FKR458739:FKS458761 FUN458739:FUO458761 GEJ458739:GEK458761 GOF458739:GOG458761 GYB458739:GYC458761 HHX458739:HHY458761 HRT458739:HRU458761 IBP458739:IBQ458761 ILL458739:ILM458761 IVH458739:IVI458761 JFD458739:JFE458761 JOZ458739:JPA458761 JYV458739:JYW458761 KIR458739:KIS458761 KSN458739:KSO458761 LCJ458739:LCK458761 LMF458739:LMG458761 LWB458739:LWC458761 MFX458739:MFY458761 MPT458739:MPU458761 MZP458739:MZQ458761 NJL458739:NJM458761 NTH458739:NTI458761 ODD458739:ODE458761 OMZ458739:ONA458761 OWV458739:OWW458761 PGR458739:PGS458761 PQN458739:PQO458761 QAJ458739:QAK458761 QKF458739:QKG458761 QUB458739:QUC458761 RDX458739:RDY458761 RNT458739:RNU458761 RXP458739:RXQ458761 SHL458739:SHM458761 SRH458739:SRI458761 TBD458739:TBE458761 TKZ458739:TLA458761 TUV458739:TUW458761 UER458739:UES458761 UON458739:UOO458761 UYJ458739:UYK458761 VIF458739:VIG458761 VSB458739:VSC458761 WBX458739:WBY458761 WLT458739:WLU458761 WVP458739:WVQ458761 JD524275:JE524297 SZ524275:TA524297 ACV524275:ACW524297 AMR524275:AMS524297 AWN524275:AWO524297 BGJ524275:BGK524297 BQF524275:BQG524297 CAB524275:CAC524297 CJX524275:CJY524297 CTT524275:CTU524297 DDP524275:DDQ524297 DNL524275:DNM524297 DXH524275:DXI524297 EHD524275:EHE524297 EQZ524275:ERA524297 FAV524275:FAW524297 FKR524275:FKS524297 FUN524275:FUO524297 GEJ524275:GEK524297 GOF524275:GOG524297 GYB524275:GYC524297 HHX524275:HHY524297 HRT524275:HRU524297 IBP524275:IBQ524297 ILL524275:ILM524297 IVH524275:IVI524297 JFD524275:JFE524297 JOZ524275:JPA524297 JYV524275:JYW524297 KIR524275:KIS524297 KSN524275:KSO524297 LCJ524275:LCK524297 LMF524275:LMG524297 LWB524275:LWC524297 MFX524275:MFY524297 MPT524275:MPU524297 MZP524275:MZQ524297 NJL524275:NJM524297 NTH524275:NTI524297 ODD524275:ODE524297 OMZ524275:ONA524297 OWV524275:OWW524297 PGR524275:PGS524297 PQN524275:PQO524297 QAJ524275:QAK524297 QKF524275:QKG524297 QUB524275:QUC524297 RDX524275:RDY524297 RNT524275:RNU524297 RXP524275:RXQ524297 SHL524275:SHM524297 SRH524275:SRI524297 TBD524275:TBE524297 TKZ524275:TLA524297 TUV524275:TUW524297 UER524275:UES524297 UON524275:UOO524297 UYJ524275:UYK524297 VIF524275:VIG524297 VSB524275:VSC524297 WBX524275:WBY524297 WLT524275:WLU524297 WVP524275:WVQ524297 JD589811:JE589833 SZ589811:TA589833 ACV589811:ACW589833 AMR589811:AMS589833 AWN589811:AWO589833 BGJ589811:BGK589833 BQF589811:BQG589833 CAB589811:CAC589833 CJX589811:CJY589833 CTT589811:CTU589833 DDP589811:DDQ589833 DNL589811:DNM589833 DXH589811:DXI589833 EHD589811:EHE589833 EQZ589811:ERA589833 FAV589811:FAW589833 FKR589811:FKS589833 FUN589811:FUO589833 GEJ589811:GEK589833 GOF589811:GOG589833 GYB589811:GYC589833 HHX589811:HHY589833 HRT589811:HRU589833 IBP589811:IBQ589833 ILL589811:ILM589833 IVH589811:IVI589833 JFD589811:JFE589833 JOZ589811:JPA589833 JYV589811:JYW589833 KIR589811:KIS589833 KSN589811:KSO589833 LCJ589811:LCK589833 LMF589811:LMG589833 LWB589811:LWC589833 MFX589811:MFY589833 MPT589811:MPU589833 MZP589811:MZQ589833 NJL589811:NJM589833 NTH589811:NTI589833 ODD589811:ODE589833 OMZ589811:ONA589833 OWV589811:OWW589833 PGR589811:PGS589833 PQN589811:PQO589833 QAJ589811:QAK589833 QKF589811:QKG589833 QUB589811:QUC589833 RDX589811:RDY589833 RNT589811:RNU589833 RXP589811:RXQ589833 SHL589811:SHM589833 SRH589811:SRI589833 TBD589811:TBE589833 TKZ589811:TLA589833 TUV589811:TUW589833 UER589811:UES589833 UON589811:UOO589833 UYJ589811:UYK589833 VIF589811:VIG589833 VSB589811:VSC589833 WBX589811:WBY589833 WLT589811:WLU589833 WVP589811:WVQ589833 JD655347:JE655369 SZ655347:TA655369 ACV655347:ACW655369 AMR655347:AMS655369 AWN655347:AWO655369 BGJ655347:BGK655369 BQF655347:BQG655369 CAB655347:CAC655369 CJX655347:CJY655369 CTT655347:CTU655369 DDP655347:DDQ655369 DNL655347:DNM655369 DXH655347:DXI655369 EHD655347:EHE655369 EQZ655347:ERA655369 FAV655347:FAW655369 FKR655347:FKS655369 FUN655347:FUO655369 GEJ655347:GEK655369 GOF655347:GOG655369 GYB655347:GYC655369 HHX655347:HHY655369 HRT655347:HRU655369 IBP655347:IBQ655369 ILL655347:ILM655369 IVH655347:IVI655369 JFD655347:JFE655369 JOZ655347:JPA655369 JYV655347:JYW655369 KIR655347:KIS655369 KSN655347:KSO655369 LCJ655347:LCK655369 LMF655347:LMG655369 LWB655347:LWC655369 MFX655347:MFY655369 MPT655347:MPU655369 MZP655347:MZQ655369 NJL655347:NJM655369 NTH655347:NTI655369 ODD655347:ODE655369 OMZ655347:ONA655369 OWV655347:OWW655369 PGR655347:PGS655369 PQN655347:PQO655369 QAJ655347:QAK655369 QKF655347:QKG655369 QUB655347:QUC655369 RDX655347:RDY655369 RNT655347:RNU655369 RXP655347:RXQ655369 SHL655347:SHM655369 SRH655347:SRI655369 TBD655347:TBE655369 TKZ655347:TLA655369 TUV655347:TUW655369 UER655347:UES655369 UON655347:UOO655369 UYJ655347:UYK655369 VIF655347:VIG655369 VSB655347:VSC655369 WBX655347:WBY655369 WLT655347:WLU655369 WVP655347:WVQ655369 JD720883:JE720905 SZ720883:TA720905 ACV720883:ACW720905 AMR720883:AMS720905 AWN720883:AWO720905 BGJ720883:BGK720905 BQF720883:BQG720905 CAB720883:CAC720905 CJX720883:CJY720905 CTT720883:CTU720905 DDP720883:DDQ720905 DNL720883:DNM720905 DXH720883:DXI720905 EHD720883:EHE720905 EQZ720883:ERA720905 FAV720883:FAW720905 FKR720883:FKS720905 FUN720883:FUO720905 GEJ720883:GEK720905 GOF720883:GOG720905 GYB720883:GYC720905 HHX720883:HHY720905 HRT720883:HRU720905 IBP720883:IBQ720905 ILL720883:ILM720905 IVH720883:IVI720905 JFD720883:JFE720905 JOZ720883:JPA720905 JYV720883:JYW720905 KIR720883:KIS720905 KSN720883:KSO720905 LCJ720883:LCK720905 LMF720883:LMG720905 LWB720883:LWC720905 MFX720883:MFY720905 MPT720883:MPU720905 MZP720883:MZQ720905 NJL720883:NJM720905 NTH720883:NTI720905 ODD720883:ODE720905 OMZ720883:ONA720905 OWV720883:OWW720905 PGR720883:PGS720905 PQN720883:PQO720905 QAJ720883:QAK720905 QKF720883:QKG720905 QUB720883:QUC720905 RDX720883:RDY720905 RNT720883:RNU720905 RXP720883:RXQ720905 SHL720883:SHM720905 SRH720883:SRI720905 TBD720883:TBE720905 TKZ720883:TLA720905 TUV720883:TUW720905 UER720883:UES720905 UON720883:UOO720905 UYJ720883:UYK720905 VIF720883:VIG720905 VSB720883:VSC720905 WBX720883:WBY720905 WLT720883:WLU720905 WVP720883:WVQ720905 JD786419:JE786441 SZ786419:TA786441 ACV786419:ACW786441 AMR786419:AMS786441 AWN786419:AWO786441 BGJ786419:BGK786441 BQF786419:BQG786441 CAB786419:CAC786441 CJX786419:CJY786441 CTT786419:CTU786441 DDP786419:DDQ786441 DNL786419:DNM786441 DXH786419:DXI786441 EHD786419:EHE786441 EQZ786419:ERA786441 FAV786419:FAW786441 FKR786419:FKS786441 FUN786419:FUO786441 GEJ786419:GEK786441 GOF786419:GOG786441 GYB786419:GYC786441 HHX786419:HHY786441 HRT786419:HRU786441 IBP786419:IBQ786441 ILL786419:ILM786441 IVH786419:IVI786441 JFD786419:JFE786441 JOZ786419:JPA786441 JYV786419:JYW786441 KIR786419:KIS786441 KSN786419:KSO786441 LCJ786419:LCK786441 LMF786419:LMG786441 LWB786419:LWC786441 MFX786419:MFY786441 MPT786419:MPU786441 MZP786419:MZQ786441 NJL786419:NJM786441 NTH786419:NTI786441 ODD786419:ODE786441 OMZ786419:ONA786441 OWV786419:OWW786441 PGR786419:PGS786441 PQN786419:PQO786441 QAJ786419:QAK786441 QKF786419:QKG786441 QUB786419:QUC786441 RDX786419:RDY786441 RNT786419:RNU786441 RXP786419:RXQ786441 SHL786419:SHM786441 SRH786419:SRI786441 TBD786419:TBE786441 TKZ786419:TLA786441 TUV786419:TUW786441 UER786419:UES786441 UON786419:UOO786441 UYJ786419:UYK786441 VIF786419:VIG786441 VSB786419:VSC786441 WBX786419:WBY786441 WLT786419:WLU786441 WVP786419:WVQ786441 JD851955:JE851977 SZ851955:TA851977 ACV851955:ACW851977 AMR851955:AMS851977 AWN851955:AWO851977 BGJ851955:BGK851977 BQF851955:BQG851977 CAB851955:CAC851977 CJX851955:CJY851977 CTT851955:CTU851977 DDP851955:DDQ851977 DNL851955:DNM851977 DXH851955:DXI851977 EHD851955:EHE851977 EQZ851955:ERA851977 FAV851955:FAW851977 FKR851955:FKS851977 FUN851955:FUO851977 GEJ851955:GEK851977 GOF851955:GOG851977 GYB851955:GYC851977 HHX851955:HHY851977 HRT851955:HRU851977 IBP851955:IBQ851977 ILL851955:ILM851977 IVH851955:IVI851977 JFD851955:JFE851977 JOZ851955:JPA851977 JYV851955:JYW851977 KIR851955:KIS851977 KSN851955:KSO851977 LCJ851955:LCK851977 LMF851955:LMG851977 LWB851955:LWC851977 MFX851955:MFY851977 MPT851955:MPU851977 MZP851955:MZQ851977 NJL851955:NJM851977 NTH851955:NTI851977 ODD851955:ODE851977 OMZ851955:ONA851977 OWV851955:OWW851977 PGR851955:PGS851977 PQN851955:PQO851977 QAJ851955:QAK851977 QKF851955:QKG851977 QUB851955:QUC851977 RDX851955:RDY851977 RNT851955:RNU851977 RXP851955:RXQ851977 SHL851955:SHM851977 SRH851955:SRI851977 TBD851955:TBE851977 TKZ851955:TLA851977 TUV851955:TUW851977 UER851955:UES851977 UON851955:UOO851977 UYJ851955:UYK851977 VIF851955:VIG851977 VSB851955:VSC851977 WBX851955:WBY851977 WLT851955:WLU851977 WVP851955:WVQ851977 JD917491:JE917513 SZ917491:TA917513 ACV917491:ACW917513 AMR917491:AMS917513 AWN917491:AWO917513 BGJ917491:BGK917513 BQF917491:BQG917513 CAB917491:CAC917513 CJX917491:CJY917513 CTT917491:CTU917513 DDP917491:DDQ917513 DNL917491:DNM917513 DXH917491:DXI917513 EHD917491:EHE917513 EQZ917491:ERA917513 FAV917491:FAW917513 FKR917491:FKS917513 FUN917491:FUO917513 GEJ917491:GEK917513 GOF917491:GOG917513 GYB917491:GYC917513 HHX917491:HHY917513 HRT917491:HRU917513 IBP917491:IBQ917513 ILL917491:ILM917513 IVH917491:IVI917513 JFD917491:JFE917513 JOZ917491:JPA917513 JYV917491:JYW917513 KIR917491:KIS917513 KSN917491:KSO917513 LCJ917491:LCK917513 LMF917491:LMG917513 LWB917491:LWC917513 MFX917491:MFY917513 MPT917491:MPU917513 MZP917491:MZQ917513 NJL917491:NJM917513 NTH917491:NTI917513 ODD917491:ODE917513 OMZ917491:ONA917513 OWV917491:OWW917513 PGR917491:PGS917513 PQN917491:PQO917513 QAJ917491:QAK917513 QKF917491:QKG917513 QUB917491:QUC917513 RDX917491:RDY917513 RNT917491:RNU917513 RXP917491:RXQ917513 SHL917491:SHM917513 SRH917491:SRI917513 TBD917491:TBE917513 TKZ917491:TLA917513 TUV917491:TUW917513 UER917491:UES917513 UON917491:UOO917513 UYJ917491:UYK917513 VIF917491:VIG917513 VSB917491:VSC917513 WBX917491:WBY917513 WLT917491:WLU917513 WVP917491:WVQ917513 WVU983027:WVU983049 JD983027:JE983049 SZ983027:TA983049 ACV983027:ACW983049 AMR983027:AMS983049 AWN983027:AWO983049 BGJ983027:BGK983049 BQF983027:BQG983049 CAB983027:CAC983049 CJX983027:CJY983049 CTT983027:CTU983049 DDP983027:DDQ983049 DNL983027:DNM983049 DXH983027:DXI983049 EHD983027:EHE983049 EQZ983027:ERA983049 FAV983027:FAW983049 FKR983027:FKS983049 FUN983027:FUO983049 GEJ983027:GEK983049 GOF983027:GOG983049 GYB983027:GYC983049 HHX983027:HHY983049 HRT983027:HRU983049 IBP983027:IBQ983049 ILL983027:ILM983049 IVH983027:IVI983049 JFD983027:JFE983049 JOZ983027:JPA983049 JYV983027:JYW983049 KIR983027:KIS983049 KSN983027:KSO983049 LCJ983027:LCK983049 LMF983027:LMG983049 LWB983027:LWC983049 MFX983027:MFY983049 MPT983027:MPU983049 MZP983027:MZQ983049 NJL983027:NJM983049 NTH983027:NTI983049 ODD983027:ODE983049 OMZ983027:ONA983049 OWV983027:OWW983049 PGR983027:PGS983049 PQN983027:PQO983049 QAJ983027:QAK983049 QKF983027:QKG983049 QUB983027:QUC983049 RDX983027:RDY983049 RNT983027:RNU983049 RXP983027:RXQ983049 SHL983027:SHM983049 SRH983027:SRI983049 TBD983027:TBE983049 TKZ983027:TLA983049 TUV983027:TUW983049 UER983027:UES983049 UON983027:UOO983049 UYJ983027:UYK983049 VIF983027:VIG983049 VSB983027:VSC983049 WBX983027:WBY983049 WLT983027:WLU983049 WVP983027:WVQ983049 C65523:C65545 JA65523:JA65545 SW65523:SW65545 ACS65523:ACS65545 AMO65523:AMO65545 AWK65523:AWK65545 BGG65523:BGG65545 BQC65523:BQC65545 BZY65523:BZY65545 CJU65523:CJU65545 CTQ65523:CTQ65545 DDM65523:DDM65545 DNI65523:DNI65545 DXE65523:DXE65545 EHA65523:EHA65545 EQW65523:EQW65545 FAS65523:FAS65545 FKO65523:FKO65545 FUK65523:FUK65545 GEG65523:GEG65545 GOC65523:GOC65545 GXY65523:GXY65545 HHU65523:HHU65545 HRQ65523:HRQ65545 IBM65523:IBM65545 ILI65523:ILI65545 IVE65523:IVE65545 JFA65523:JFA65545 JOW65523:JOW65545 JYS65523:JYS65545 KIO65523:KIO65545 KSK65523:KSK65545 LCG65523:LCG65545 LMC65523:LMC65545 LVY65523:LVY65545 MFU65523:MFU65545 MPQ65523:MPQ65545 MZM65523:MZM65545 NJI65523:NJI65545 NTE65523:NTE65545 ODA65523:ODA65545 OMW65523:OMW65545 OWS65523:OWS65545 PGO65523:PGO65545 PQK65523:PQK65545 QAG65523:QAG65545 QKC65523:QKC65545 QTY65523:QTY65545 RDU65523:RDU65545 RNQ65523:RNQ65545 RXM65523:RXM65545 SHI65523:SHI65545 SRE65523:SRE65545 TBA65523:TBA65545 TKW65523:TKW65545 TUS65523:TUS65545 UEO65523:UEO65545 UOK65523:UOK65545 UYG65523:UYG65545 VIC65523:VIC65545 VRY65523:VRY65545 WBU65523:WBU65545 WLQ65523:WLQ65545 WVM65523:WVM65545 C131059:C131081 JA131059:JA131081 SW131059:SW131081 ACS131059:ACS131081 AMO131059:AMO131081 AWK131059:AWK131081 BGG131059:BGG131081 BQC131059:BQC131081 BZY131059:BZY131081 CJU131059:CJU131081 CTQ131059:CTQ131081 DDM131059:DDM131081 DNI131059:DNI131081 DXE131059:DXE131081 EHA131059:EHA131081 EQW131059:EQW131081 FAS131059:FAS131081 FKO131059:FKO131081 FUK131059:FUK131081 GEG131059:GEG131081 GOC131059:GOC131081 GXY131059:GXY131081 HHU131059:HHU131081 HRQ131059:HRQ131081 IBM131059:IBM131081 ILI131059:ILI131081 IVE131059:IVE131081 JFA131059:JFA131081 JOW131059:JOW131081 JYS131059:JYS131081 KIO131059:KIO131081 KSK131059:KSK131081 LCG131059:LCG131081 LMC131059:LMC131081 LVY131059:LVY131081 MFU131059:MFU131081 MPQ131059:MPQ131081 MZM131059:MZM131081 NJI131059:NJI131081 NTE131059:NTE131081 ODA131059:ODA131081 OMW131059:OMW131081 OWS131059:OWS131081 PGO131059:PGO131081 PQK131059:PQK131081 QAG131059:QAG131081 QKC131059:QKC131081 QTY131059:QTY131081 RDU131059:RDU131081 RNQ131059:RNQ131081 RXM131059:RXM131081 SHI131059:SHI131081 SRE131059:SRE131081 TBA131059:TBA131081 TKW131059:TKW131081 TUS131059:TUS131081 UEO131059:UEO131081 UOK131059:UOK131081 UYG131059:UYG131081 VIC131059:VIC131081 VRY131059:VRY131081 WBU131059:WBU131081 WLQ131059:WLQ131081 WVM131059:WVM131081 C196595:C196617 JA196595:JA196617 SW196595:SW196617 ACS196595:ACS196617 AMO196595:AMO196617 AWK196595:AWK196617 BGG196595:BGG196617 BQC196595:BQC196617 BZY196595:BZY196617 CJU196595:CJU196617 CTQ196595:CTQ196617 DDM196595:DDM196617 DNI196595:DNI196617 DXE196595:DXE196617 EHA196595:EHA196617 EQW196595:EQW196617 FAS196595:FAS196617 FKO196595:FKO196617 FUK196595:FUK196617 GEG196595:GEG196617 GOC196595:GOC196617 GXY196595:GXY196617 HHU196595:HHU196617 HRQ196595:HRQ196617 IBM196595:IBM196617 ILI196595:ILI196617 IVE196595:IVE196617 JFA196595:JFA196617 JOW196595:JOW196617 JYS196595:JYS196617 KIO196595:KIO196617 KSK196595:KSK196617 LCG196595:LCG196617 LMC196595:LMC196617 LVY196595:LVY196617 MFU196595:MFU196617 MPQ196595:MPQ196617 MZM196595:MZM196617 NJI196595:NJI196617 NTE196595:NTE196617 ODA196595:ODA196617 OMW196595:OMW196617 OWS196595:OWS196617 PGO196595:PGO196617 PQK196595:PQK196617 QAG196595:QAG196617 QKC196595:QKC196617 QTY196595:QTY196617 RDU196595:RDU196617 RNQ196595:RNQ196617 RXM196595:RXM196617 SHI196595:SHI196617 SRE196595:SRE196617 TBA196595:TBA196617 TKW196595:TKW196617 TUS196595:TUS196617 UEO196595:UEO196617 UOK196595:UOK196617 UYG196595:UYG196617 VIC196595:VIC196617 VRY196595:VRY196617 WBU196595:WBU196617 WLQ196595:WLQ196617 WVM196595:WVM196617 C262131:C262153 JA262131:JA262153 SW262131:SW262153 ACS262131:ACS262153 AMO262131:AMO262153 AWK262131:AWK262153 BGG262131:BGG262153 BQC262131:BQC262153 BZY262131:BZY262153 CJU262131:CJU262153 CTQ262131:CTQ262153 DDM262131:DDM262153 DNI262131:DNI262153 DXE262131:DXE262153 EHA262131:EHA262153 EQW262131:EQW262153 FAS262131:FAS262153 FKO262131:FKO262153 FUK262131:FUK262153 GEG262131:GEG262153 GOC262131:GOC262153 GXY262131:GXY262153 HHU262131:HHU262153 HRQ262131:HRQ262153 IBM262131:IBM262153 ILI262131:ILI262153 IVE262131:IVE262153 JFA262131:JFA262153 JOW262131:JOW262153 JYS262131:JYS262153 KIO262131:KIO262153 KSK262131:KSK262153 LCG262131:LCG262153 LMC262131:LMC262153 LVY262131:LVY262153 MFU262131:MFU262153 MPQ262131:MPQ262153 MZM262131:MZM262153 NJI262131:NJI262153 NTE262131:NTE262153 ODA262131:ODA262153 OMW262131:OMW262153 OWS262131:OWS262153 PGO262131:PGO262153 PQK262131:PQK262153 QAG262131:QAG262153 QKC262131:QKC262153 QTY262131:QTY262153 RDU262131:RDU262153 RNQ262131:RNQ262153 RXM262131:RXM262153 SHI262131:SHI262153 SRE262131:SRE262153 TBA262131:TBA262153 TKW262131:TKW262153 TUS262131:TUS262153 UEO262131:UEO262153 UOK262131:UOK262153 UYG262131:UYG262153 VIC262131:VIC262153 VRY262131:VRY262153 WBU262131:WBU262153 WLQ262131:WLQ262153 WVM262131:WVM262153 C327667:C327689 JA327667:JA327689 SW327667:SW327689 ACS327667:ACS327689 AMO327667:AMO327689 AWK327667:AWK327689 BGG327667:BGG327689 BQC327667:BQC327689 BZY327667:BZY327689 CJU327667:CJU327689 CTQ327667:CTQ327689 DDM327667:DDM327689 DNI327667:DNI327689 DXE327667:DXE327689 EHA327667:EHA327689 EQW327667:EQW327689 FAS327667:FAS327689 FKO327667:FKO327689 FUK327667:FUK327689 GEG327667:GEG327689 GOC327667:GOC327689 GXY327667:GXY327689 HHU327667:HHU327689 HRQ327667:HRQ327689 IBM327667:IBM327689 ILI327667:ILI327689 IVE327667:IVE327689 JFA327667:JFA327689 JOW327667:JOW327689 JYS327667:JYS327689 KIO327667:KIO327689 KSK327667:KSK327689 LCG327667:LCG327689 LMC327667:LMC327689 LVY327667:LVY327689 MFU327667:MFU327689 MPQ327667:MPQ327689 MZM327667:MZM327689 NJI327667:NJI327689 NTE327667:NTE327689 ODA327667:ODA327689 OMW327667:OMW327689 OWS327667:OWS327689 PGO327667:PGO327689 PQK327667:PQK327689 QAG327667:QAG327689 QKC327667:QKC327689 QTY327667:QTY327689 RDU327667:RDU327689 RNQ327667:RNQ327689 RXM327667:RXM327689 SHI327667:SHI327689 SRE327667:SRE327689 TBA327667:TBA327689 TKW327667:TKW327689 TUS327667:TUS327689 UEO327667:UEO327689 UOK327667:UOK327689 UYG327667:UYG327689 VIC327667:VIC327689 VRY327667:VRY327689 WBU327667:WBU327689 WLQ327667:WLQ327689 WVM327667:WVM327689 C393203:C393225 JA393203:JA393225 SW393203:SW393225 ACS393203:ACS393225 AMO393203:AMO393225 AWK393203:AWK393225 BGG393203:BGG393225 BQC393203:BQC393225 BZY393203:BZY393225 CJU393203:CJU393225 CTQ393203:CTQ393225 DDM393203:DDM393225 DNI393203:DNI393225 DXE393203:DXE393225 EHA393203:EHA393225 EQW393203:EQW393225 FAS393203:FAS393225 FKO393203:FKO393225 FUK393203:FUK393225 GEG393203:GEG393225 GOC393203:GOC393225 GXY393203:GXY393225 HHU393203:HHU393225 HRQ393203:HRQ393225 IBM393203:IBM393225 ILI393203:ILI393225 IVE393203:IVE393225 JFA393203:JFA393225 JOW393203:JOW393225 JYS393203:JYS393225 KIO393203:KIO393225 KSK393203:KSK393225 LCG393203:LCG393225 LMC393203:LMC393225 LVY393203:LVY393225 MFU393203:MFU393225 MPQ393203:MPQ393225 MZM393203:MZM393225 NJI393203:NJI393225 NTE393203:NTE393225 ODA393203:ODA393225 OMW393203:OMW393225 OWS393203:OWS393225 PGO393203:PGO393225 PQK393203:PQK393225 QAG393203:QAG393225 QKC393203:QKC393225 QTY393203:QTY393225 RDU393203:RDU393225 RNQ393203:RNQ393225 RXM393203:RXM393225 SHI393203:SHI393225 SRE393203:SRE393225 TBA393203:TBA393225 TKW393203:TKW393225 TUS393203:TUS393225 UEO393203:UEO393225 UOK393203:UOK393225 UYG393203:UYG393225 VIC393203:VIC393225 VRY393203:VRY393225 WBU393203:WBU393225 WLQ393203:WLQ393225 WVM393203:WVM393225 C458739:C458761 JA458739:JA458761 SW458739:SW458761 ACS458739:ACS458761 AMO458739:AMO458761 AWK458739:AWK458761 BGG458739:BGG458761 BQC458739:BQC458761 BZY458739:BZY458761 CJU458739:CJU458761 CTQ458739:CTQ458761 DDM458739:DDM458761 DNI458739:DNI458761 DXE458739:DXE458761 EHA458739:EHA458761 EQW458739:EQW458761 FAS458739:FAS458761 FKO458739:FKO458761 FUK458739:FUK458761 GEG458739:GEG458761 GOC458739:GOC458761 GXY458739:GXY458761 HHU458739:HHU458761 HRQ458739:HRQ458761 IBM458739:IBM458761 ILI458739:ILI458761 IVE458739:IVE458761 JFA458739:JFA458761 JOW458739:JOW458761 JYS458739:JYS458761 KIO458739:KIO458761 KSK458739:KSK458761 LCG458739:LCG458761 LMC458739:LMC458761 LVY458739:LVY458761 MFU458739:MFU458761 MPQ458739:MPQ458761 MZM458739:MZM458761 NJI458739:NJI458761 NTE458739:NTE458761 ODA458739:ODA458761 OMW458739:OMW458761 OWS458739:OWS458761 PGO458739:PGO458761 PQK458739:PQK458761 QAG458739:QAG458761 QKC458739:QKC458761 QTY458739:QTY458761 RDU458739:RDU458761 RNQ458739:RNQ458761 RXM458739:RXM458761 SHI458739:SHI458761 SRE458739:SRE458761 TBA458739:TBA458761 TKW458739:TKW458761 TUS458739:TUS458761 UEO458739:UEO458761 UOK458739:UOK458761 UYG458739:UYG458761 VIC458739:VIC458761 VRY458739:VRY458761 WBU458739:WBU458761 WLQ458739:WLQ458761 WVM458739:WVM458761 C524275:C524297 JA524275:JA524297 SW524275:SW524297 ACS524275:ACS524297 AMO524275:AMO524297 AWK524275:AWK524297 BGG524275:BGG524297 BQC524275:BQC524297 BZY524275:BZY524297 CJU524275:CJU524297 CTQ524275:CTQ524297 DDM524275:DDM524297 DNI524275:DNI524297 DXE524275:DXE524297 EHA524275:EHA524297 EQW524275:EQW524297 FAS524275:FAS524297 FKO524275:FKO524297 FUK524275:FUK524297 GEG524275:GEG524297 GOC524275:GOC524297 GXY524275:GXY524297 HHU524275:HHU524297 HRQ524275:HRQ524297 IBM524275:IBM524297 ILI524275:ILI524297 IVE524275:IVE524297 JFA524275:JFA524297 JOW524275:JOW524297 JYS524275:JYS524297 KIO524275:KIO524297 KSK524275:KSK524297 LCG524275:LCG524297 LMC524275:LMC524297 LVY524275:LVY524297 MFU524275:MFU524297 MPQ524275:MPQ524297 MZM524275:MZM524297 NJI524275:NJI524297 NTE524275:NTE524297 ODA524275:ODA524297 OMW524275:OMW524297 OWS524275:OWS524297 PGO524275:PGO524297 PQK524275:PQK524297 QAG524275:QAG524297 QKC524275:QKC524297 QTY524275:QTY524297 RDU524275:RDU524297 RNQ524275:RNQ524297 RXM524275:RXM524297 SHI524275:SHI524297 SRE524275:SRE524297 TBA524275:TBA524297 TKW524275:TKW524297 TUS524275:TUS524297 UEO524275:UEO524297 UOK524275:UOK524297 UYG524275:UYG524297 VIC524275:VIC524297 VRY524275:VRY524297 WBU524275:WBU524297 WLQ524275:WLQ524297 WVM524275:WVM524297 C589811:C589833 JA589811:JA589833 SW589811:SW589833 ACS589811:ACS589833 AMO589811:AMO589833 AWK589811:AWK589833 BGG589811:BGG589833 BQC589811:BQC589833 BZY589811:BZY589833 CJU589811:CJU589833 CTQ589811:CTQ589833 DDM589811:DDM589833 DNI589811:DNI589833 DXE589811:DXE589833 EHA589811:EHA589833 EQW589811:EQW589833 FAS589811:FAS589833 FKO589811:FKO589833 FUK589811:FUK589833 GEG589811:GEG589833 GOC589811:GOC589833 GXY589811:GXY589833 HHU589811:HHU589833 HRQ589811:HRQ589833 IBM589811:IBM589833 ILI589811:ILI589833 IVE589811:IVE589833 JFA589811:JFA589833 JOW589811:JOW589833 JYS589811:JYS589833 KIO589811:KIO589833 KSK589811:KSK589833 LCG589811:LCG589833 LMC589811:LMC589833 LVY589811:LVY589833 MFU589811:MFU589833 MPQ589811:MPQ589833 MZM589811:MZM589833 NJI589811:NJI589833 NTE589811:NTE589833 ODA589811:ODA589833 OMW589811:OMW589833 OWS589811:OWS589833 PGO589811:PGO589833 PQK589811:PQK589833 QAG589811:QAG589833 QKC589811:QKC589833 QTY589811:QTY589833 RDU589811:RDU589833 RNQ589811:RNQ589833 RXM589811:RXM589833 SHI589811:SHI589833 SRE589811:SRE589833 TBA589811:TBA589833 TKW589811:TKW589833 TUS589811:TUS589833 UEO589811:UEO589833 UOK589811:UOK589833 UYG589811:UYG589833 VIC589811:VIC589833 VRY589811:VRY589833 WBU589811:WBU589833 WLQ589811:WLQ589833 WVM589811:WVM589833 C655347:C655369 JA655347:JA655369 SW655347:SW655369 ACS655347:ACS655369 AMO655347:AMO655369 AWK655347:AWK655369 BGG655347:BGG655369 BQC655347:BQC655369 BZY655347:BZY655369 CJU655347:CJU655369 CTQ655347:CTQ655369 DDM655347:DDM655369 DNI655347:DNI655369 DXE655347:DXE655369 EHA655347:EHA655369 EQW655347:EQW655369 FAS655347:FAS655369 FKO655347:FKO655369 FUK655347:FUK655369 GEG655347:GEG655369 GOC655347:GOC655369 GXY655347:GXY655369 HHU655347:HHU655369 HRQ655347:HRQ655369 IBM655347:IBM655369 ILI655347:ILI655369 IVE655347:IVE655369 JFA655347:JFA655369 JOW655347:JOW655369 JYS655347:JYS655369 KIO655347:KIO655369 KSK655347:KSK655369 LCG655347:LCG655369 LMC655347:LMC655369 LVY655347:LVY655369 MFU655347:MFU655369 MPQ655347:MPQ655369 MZM655347:MZM655369 NJI655347:NJI655369 NTE655347:NTE655369 ODA655347:ODA655369 OMW655347:OMW655369 OWS655347:OWS655369 PGO655347:PGO655369 PQK655347:PQK655369 QAG655347:QAG655369 QKC655347:QKC655369 QTY655347:QTY655369 RDU655347:RDU655369 RNQ655347:RNQ655369 RXM655347:RXM655369 SHI655347:SHI655369 SRE655347:SRE655369 TBA655347:TBA655369 TKW655347:TKW655369 TUS655347:TUS655369 UEO655347:UEO655369 UOK655347:UOK655369 UYG655347:UYG655369 VIC655347:VIC655369 VRY655347:VRY655369 WBU655347:WBU655369 WLQ655347:WLQ655369 WVM655347:WVM655369 C720883:C720905 JA720883:JA720905 SW720883:SW720905 ACS720883:ACS720905 AMO720883:AMO720905 AWK720883:AWK720905 BGG720883:BGG720905 BQC720883:BQC720905 BZY720883:BZY720905 CJU720883:CJU720905 CTQ720883:CTQ720905 DDM720883:DDM720905 DNI720883:DNI720905 DXE720883:DXE720905 EHA720883:EHA720905 EQW720883:EQW720905 FAS720883:FAS720905 FKO720883:FKO720905 FUK720883:FUK720905 GEG720883:GEG720905 GOC720883:GOC720905 GXY720883:GXY720905 HHU720883:HHU720905 HRQ720883:HRQ720905 IBM720883:IBM720905 ILI720883:ILI720905 IVE720883:IVE720905 JFA720883:JFA720905 JOW720883:JOW720905 JYS720883:JYS720905 KIO720883:KIO720905 KSK720883:KSK720905 LCG720883:LCG720905 LMC720883:LMC720905 LVY720883:LVY720905 MFU720883:MFU720905 MPQ720883:MPQ720905 MZM720883:MZM720905 NJI720883:NJI720905 NTE720883:NTE720905 ODA720883:ODA720905 OMW720883:OMW720905 OWS720883:OWS720905 PGO720883:PGO720905 PQK720883:PQK720905 QAG720883:QAG720905 QKC720883:QKC720905 QTY720883:QTY720905 RDU720883:RDU720905 RNQ720883:RNQ720905 RXM720883:RXM720905 SHI720883:SHI720905 SRE720883:SRE720905 TBA720883:TBA720905 TKW720883:TKW720905 TUS720883:TUS720905 UEO720883:UEO720905 UOK720883:UOK720905 UYG720883:UYG720905 VIC720883:VIC720905 VRY720883:VRY720905 WBU720883:WBU720905 WLQ720883:WLQ720905 WVM720883:WVM720905 C786419:C786441 JA786419:JA786441 SW786419:SW786441 ACS786419:ACS786441 AMO786419:AMO786441 AWK786419:AWK786441 BGG786419:BGG786441 BQC786419:BQC786441 BZY786419:BZY786441 CJU786419:CJU786441 CTQ786419:CTQ786441 DDM786419:DDM786441 DNI786419:DNI786441 DXE786419:DXE786441 EHA786419:EHA786441 EQW786419:EQW786441 FAS786419:FAS786441 FKO786419:FKO786441 FUK786419:FUK786441 GEG786419:GEG786441 GOC786419:GOC786441 GXY786419:GXY786441 HHU786419:HHU786441 HRQ786419:HRQ786441 IBM786419:IBM786441 ILI786419:ILI786441 IVE786419:IVE786441 JFA786419:JFA786441 JOW786419:JOW786441 JYS786419:JYS786441 KIO786419:KIO786441 KSK786419:KSK786441 LCG786419:LCG786441 LMC786419:LMC786441 LVY786419:LVY786441 MFU786419:MFU786441 MPQ786419:MPQ786441 MZM786419:MZM786441 NJI786419:NJI786441 NTE786419:NTE786441 ODA786419:ODA786441 OMW786419:OMW786441 OWS786419:OWS786441 PGO786419:PGO786441 PQK786419:PQK786441 QAG786419:QAG786441 QKC786419:QKC786441 QTY786419:QTY786441 RDU786419:RDU786441 RNQ786419:RNQ786441 RXM786419:RXM786441 SHI786419:SHI786441 SRE786419:SRE786441 TBA786419:TBA786441 TKW786419:TKW786441 TUS786419:TUS786441 UEO786419:UEO786441 UOK786419:UOK786441 UYG786419:UYG786441 VIC786419:VIC786441 VRY786419:VRY786441 WBU786419:WBU786441 WLQ786419:WLQ786441 WVM786419:WVM786441 C851955:C851977 JA851955:JA851977 SW851955:SW851977 ACS851955:ACS851977 AMO851955:AMO851977 AWK851955:AWK851977 BGG851955:BGG851977 BQC851955:BQC851977 BZY851955:BZY851977 CJU851955:CJU851977 CTQ851955:CTQ851977 DDM851955:DDM851977 DNI851955:DNI851977 DXE851955:DXE851977 EHA851955:EHA851977 EQW851955:EQW851977 FAS851955:FAS851977 FKO851955:FKO851977 FUK851955:FUK851977 GEG851955:GEG851977 GOC851955:GOC851977 GXY851955:GXY851977 HHU851955:HHU851977 HRQ851955:HRQ851977 IBM851955:IBM851977 ILI851955:ILI851977 IVE851955:IVE851977 JFA851955:JFA851977 JOW851955:JOW851977 JYS851955:JYS851977 KIO851955:KIO851977 KSK851955:KSK851977 LCG851955:LCG851977 LMC851955:LMC851977 LVY851955:LVY851977 MFU851955:MFU851977 MPQ851955:MPQ851977 MZM851955:MZM851977 NJI851955:NJI851977 NTE851955:NTE851977 ODA851955:ODA851977 OMW851955:OMW851977 OWS851955:OWS851977 PGO851955:PGO851977 PQK851955:PQK851977 QAG851955:QAG851977 QKC851955:QKC851977 QTY851955:QTY851977 RDU851955:RDU851977 RNQ851955:RNQ851977 RXM851955:RXM851977 SHI851955:SHI851977 SRE851955:SRE851977 TBA851955:TBA851977 TKW851955:TKW851977 TUS851955:TUS851977 UEO851955:UEO851977 UOK851955:UOK851977 UYG851955:UYG851977 VIC851955:VIC851977 VRY851955:VRY851977 WBU851955:WBU851977 WLQ851955:WLQ851977 WVM851955:WVM851977 C917491:C917513 JA917491:JA917513 SW917491:SW917513 ACS917491:ACS917513 AMO917491:AMO917513 AWK917491:AWK917513 BGG917491:BGG917513 BQC917491:BQC917513 BZY917491:BZY917513 CJU917491:CJU917513 CTQ917491:CTQ917513 DDM917491:DDM917513 DNI917491:DNI917513 DXE917491:DXE917513 EHA917491:EHA917513 EQW917491:EQW917513 FAS917491:FAS917513 FKO917491:FKO917513 FUK917491:FUK917513 GEG917491:GEG917513 GOC917491:GOC917513 GXY917491:GXY917513 HHU917491:HHU917513 HRQ917491:HRQ917513 IBM917491:IBM917513 ILI917491:ILI917513 IVE917491:IVE917513 JFA917491:JFA917513 JOW917491:JOW917513 JYS917491:JYS917513 KIO917491:KIO917513 KSK917491:KSK917513 LCG917491:LCG917513 LMC917491:LMC917513 LVY917491:LVY917513 MFU917491:MFU917513 MPQ917491:MPQ917513 MZM917491:MZM917513 NJI917491:NJI917513 NTE917491:NTE917513 ODA917491:ODA917513 OMW917491:OMW917513 OWS917491:OWS917513 PGO917491:PGO917513 PQK917491:PQK917513 QAG917491:QAG917513 QKC917491:QKC917513 QTY917491:QTY917513 RDU917491:RDU917513 RNQ917491:RNQ917513 RXM917491:RXM917513 SHI917491:SHI917513 SRE917491:SRE917513 TBA917491:TBA917513 TKW917491:TKW917513 TUS917491:TUS917513 UEO917491:UEO917513 UOK917491:UOK917513 UYG917491:UYG917513 VIC917491:VIC917513 VRY917491:VRY917513 WBU917491:WBU917513 WLQ917491:WLQ917513 WVM917491:WVM917513 C983027:C983049 JA983027:JA983049 SW983027:SW983049 ACS983027:ACS983049 AMO983027:AMO983049 AWK983027:AWK983049 BGG983027:BGG983049 BQC983027:BQC983049 BZY983027:BZY983049 CJU983027:CJU983049 CTQ983027:CTQ983049 DDM983027:DDM983049 DNI983027:DNI983049 DXE983027:DXE983049 EHA983027:EHA983049 EQW983027:EQW983049 FAS983027:FAS983049 FKO983027:FKO983049 FUK983027:FUK983049 GEG983027:GEG983049 GOC983027:GOC983049 GXY983027:GXY983049 HHU983027:HHU983049 HRQ983027:HRQ983049 IBM983027:IBM983049 ILI983027:ILI983049 IVE983027:IVE983049 JFA983027:JFA983049 JOW983027:JOW983049 JYS983027:JYS983049 KIO983027:KIO983049 KSK983027:KSK983049 LCG983027:LCG983049 LMC983027:LMC983049 LVY983027:LVY983049 MFU983027:MFU983049 MPQ983027:MPQ983049 MZM983027:MZM983049 NJI983027:NJI983049 NTE983027:NTE983049 ODA983027:ODA983049 OMW983027:OMW983049 OWS983027:OWS983049 PGO983027:PGO983049 PQK983027:PQK983049 QAG983027:QAG983049 QKC983027:QKC983049 QTY983027:QTY983049 RDU983027:RDU983049 RNQ983027:RNQ983049 RXM983027:RXM983049 SHI983027:SHI983049 SRE983027:SRE983049 TBA983027:TBA983049 TKW983027:TKW983049 TUS983027:TUS983049 UEO983027:UEO983049 UOK983027:UOK983049 UYG983027:UYG983049 VIC983027:VIC983049 VRY983027:VRY983049 WBU983027:WBU983049 WLQ983027:WLQ983049 WVM983027:WVM983049 M65523:M65545 JI65523:JI65545 TE65523:TE65545 ADA65523:ADA65545 AMW65523:AMW65545 AWS65523:AWS65545 BGO65523:BGO65545 BQK65523:BQK65545 CAG65523:CAG65545 CKC65523:CKC65545 CTY65523:CTY65545 DDU65523:DDU65545 DNQ65523:DNQ65545 DXM65523:DXM65545 EHI65523:EHI65545 ERE65523:ERE65545 FBA65523:FBA65545 FKW65523:FKW65545 FUS65523:FUS65545 GEO65523:GEO65545 GOK65523:GOK65545 GYG65523:GYG65545 HIC65523:HIC65545 HRY65523:HRY65545 IBU65523:IBU65545 ILQ65523:ILQ65545 IVM65523:IVM65545 JFI65523:JFI65545 JPE65523:JPE65545 JZA65523:JZA65545 KIW65523:KIW65545 KSS65523:KSS65545 LCO65523:LCO65545 LMK65523:LMK65545 LWG65523:LWG65545 MGC65523:MGC65545 MPY65523:MPY65545 MZU65523:MZU65545 NJQ65523:NJQ65545 NTM65523:NTM65545 ODI65523:ODI65545 ONE65523:ONE65545 OXA65523:OXA65545 PGW65523:PGW65545 PQS65523:PQS65545 QAO65523:QAO65545 QKK65523:QKK65545 QUG65523:QUG65545 REC65523:REC65545 RNY65523:RNY65545 RXU65523:RXU65545 SHQ65523:SHQ65545 SRM65523:SRM65545 TBI65523:TBI65545 TLE65523:TLE65545 TVA65523:TVA65545 UEW65523:UEW65545 UOS65523:UOS65545 UYO65523:UYO65545 VIK65523:VIK65545 VSG65523:VSG65545 WCC65523:WCC65545 WLY65523:WLY65545 WVU65523:WVU65545 M131059:M131081 JI131059:JI131081 TE131059:TE131081 ADA131059:ADA131081 AMW131059:AMW131081 AWS131059:AWS131081 BGO131059:BGO131081 BQK131059:BQK131081 CAG131059:CAG131081 CKC131059:CKC131081 CTY131059:CTY131081 DDU131059:DDU131081 DNQ131059:DNQ131081 DXM131059:DXM131081 EHI131059:EHI131081 ERE131059:ERE131081 FBA131059:FBA131081 FKW131059:FKW131081 FUS131059:FUS131081 GEO131059:GEO131081 GOK131059:GOK131081 GYG131059:GYG131081 HIC131059:HIC131081 HRY131059:HRY131081 IBU131059:IBU131081 ILQ131059:ILQ131081 IVM131059:IVM131081 JFI131059:JFI131081 JPE131059:JPE131081 JZA131059:JZA131081 KIW131059:KIW131081 KSS131059:KSS131081 LCO131059:LCO131081 LMK131059:LMK131081 LWG131059:LWG131081 MGC131059:MGC131081 MPY131059:MPY131081 MZU131059:MZU131081 NJQ131059:NJQ131081 NTM131059:NTM131081 ODI131059:ODI131081 ONE131059:ONE131081 OXA131059:OXA131081 PGW131059:PGW131081 PQS131059:PQS131081 QAO131059:QAO131081 QKK131059:QKK131081 QUG131059:QUG131081 REC131059:REC131081 RNY131059:RNY131081 RXU131059:RXU131081 SHQ131059:SHQ131081 SRM131059:SRM131081 TBI131059:TBI131081 TLE131059:TLE131081 TVA131059:TVA131081 UEW131059:UEW131081 UOS131059:UOS131081 UYO131059:UYO131081 VIK131059:VIK131081 VSG131059:VSG131081 WCC131059:WCC131081 WLY131059:WLY131081 WVU131059:WVU131081 M196595:M196617 JI196595:JI196617 TE196595:TE196617 ADA196595:ADA196617 AMW196595:AMW196617 AWS196595:AWS196617 BGO196595:BGO196617 BQK196595:BQK196617 CAG196595:CAG196617 CKC196595:CKC196617 CTY196595:CTY196617 DDU196595:DDU196617 DNQ196595:DNQ196617 DXM196595:DXM196617 EHI196595:EHI196617 ERE196595:ERE196617 FBA196595:FBA196617 FKW196595:FKW196617 FUS196595:FUS196617 GEO196595:GEO196617 GOK196595:GOK196617 GYG196595:GYG196617 HIC196595:HIC196617 HRY196595:HRY196617 IBU196595:IBU196617 ILQ196595:ILQ196617 IVM196595:IVM196617 JFI196595:JFI196617 JPE196595:JPE196617 JZA196595:JZA196617 KIW196595:KIW196617 KSS196595:KSS196617 LCO196595:LCO196617 LMK196595:LMK196617 LWG196595:LWG196617 MGC196595:MGC196617 MPY196595:MPY196617 MZU196595:MZU196617 NJQ196595:NJQ196617 NTM196595:NTM196617 ODI196595:ODI196617 ONE196595:ONE196617 OXA196595:OXA196617 PGW196595:PGW196617 PQS196595:PQS196617 QAO196595:QAO196617 QKK196595:QKK196617 QUG196595:QUG196617 REC196595:REC196617 RNY196595:RNY196617 RXU196595:RXU196617 SHQ196595:SHQ196617 SRM196595:SRM196617 TBI196595:TBI196617 TLE196595:TLE196617 TVA196595:TVA196617 UEW196595:UEW196617 UOS196595:UOS196617 UYO196595:UYO196617 VIK196595:VIK196617 VSG196595:VSG196617 WCC196595:WCC196617 WLY196595:WLY196617 WVU196595:WVU196617 M262131:M262153 JI262131:JI262153 TE262131:TE262153 ADA262131:ADA262153 AMW262131:AMW262153 AWS262131:AWS262153 BGO262131:BGO262153 BQK262131:BQK262153 CAG262131:CAG262153 CKC262131:CKC262153 CTY262131:CTY262153 DDU262131:DDU262153 DNQ262131:DNQ262153 DXM262131:DXM262153 EHI262131:EHI262153 ERE262131:ERE262153 FBA262131:FBA262153 FKW262131:FKW262153 FUS262131:FUS262153 GEO262131:GEO262153 GOK262131:GOK262153 GYG262131:GYG262153 HIC262131:HIC262153 HRY262131:HRY262153 IBU262131:IBU262153 ILQ262131:ILQ262153 IVM262131:IVM262153 JFI262131:JFI262153 JPE262131:JPE262153 JZA262131:JZA262153 KIW262131:KIW262153 KSS262131:KSS262153 LCO262131:LCO262153 LMK262131:LMK262153 LWG262131:LWG262153 MGC262131:MGC262153 MPY262131:MPY262153 MZU262131:MZU262153 NJQ262131:NJQ262153 NTM262131:NTM262153 ODI262131:ODI262153 ONE262131:ONE262153 OXA262131:OXA262153 PGW262131:PGW262153 PQS262131:PQS262153 QAO262131:QAO262153 QKK262131:QKK262153 QUG262131:QUG262153 REC262131:REC262153 RNY262131:RNY262153 RXU262131:RXU262153 SHQ262131:SHQ262153 SRM262131:SRM262153 TBI262131:TBI262153 TLE262131:TLE262153 TVA262131:TVA262153 UEW262131:UEW262153 UOS262131:UOS262153 UYO262131:UYO262153 VIK262131:VIK262153 VSG262131:VSG262153 WCC262131:WCC262153 WLY262131:WLY262153 WVU262131:WVU262153 M327667:M327689 JI327667:JI327689 TE327667:TE327689 ADA327667:ADA327689 AMW327667:AMW327689 AWS327667:AWS327689 BGO327667:BGO327689 BQK327667:BQK327689 CAG327667:CAG327689 CKC327667:CKC327689 CTY327667:CTY327689 DDU327667:DDU327689 DNQ327667:DNQ327689 DXM327667:DXM327689 EHI327667:EHI327689 ERE327667:ERE327689 FBA327667:FBA327689 FKW327667:FKW327689 FUS327667:FUS327689 GEO327667:GEO327689 GOK327667:GOK327689 GYG327667:GYG327689 HIC327667:HIC327689 HRY327667:HRY327689 IBU327667:IBU327689 ILQ327667:ILQ327689 IVM327667:IVM327689 JFI327667:JFI327689 JPE327667:JPE327689 JZA327667:JZA327689 KIW327667:KIW327689 KSS327667:KSS327689 LCO327667:LCO327689 LMK327667:LMK327689 LWG327667:LWG327689 MGC327667:MGC327689 MPY327667:MPY327689 MZU327667:MZU327689 NJQ327667:NJQ327689 NTM327667:NTM327689 ODI327667:ODI327689 ONE327667:ONE327689 OXA327667:OXA327689 PGW327667:PGW327689 PQS327667:PQS327689 QAO327667:QAO327689 QKK327667:QKK327689 QUG327667:QUG327689 REC327667:REC327689 RNY327667:RNY327689 RXU327667:RXU327689 SHQ327667:SHQ327689 SRM327667:SRM327689 TBI327667:TBI327689 TLE327667:TLE327689 TVA327667:TVA327689 UEW327667:UEW327689 UOS327667:UOS327689 UYO327667:UYO327689 VIK327667:VIK327689 VSG327667:VSG327689 WCC327667:WCC327689 WLY327667:WLY327689 WVU327667:WVU327689 M393203:M393225 JI393203:JI393225 TE393203:TE393225 ADA393203:ADA393225 AMW393203:AMW393225 AWS393203:AWS393225 BGO393203:BGO393225 BQK393203:BQK393225 CAG393203:CAG393225 CKC393203:CKC393225 CTY393203:CTY393225 DDU393203:DDU393225 DNQ393203:DNQ393225 DXM393203:DXM393225 EHI393203:EHI393225 ERE393203:ERE393225 FBA393203:FBA393225 FKW393203:FKW393225 FUS393203:FUS393225 GEO393203:GEO393225 GOK393203:GOK393225 GYG393203:GYG393225 HIC393203:HIC393225 HRY393203:HRY393225 IBU393203:IBU393225 ILQ393203:ILQ393225 IVM393203:IVM393225 JFI393203:JFI393225 JPE393203:JPE393225 JZA393203:JZA393225 KIW393203:KIW393225 KSS393203:KSS393225 LCO393203:LCO393225 LMK393203:LMK393225 LWG393203:LWG393225 MGC393203:MGC393225 MPY393203:MPY393225 MZU393203:MZU393225 NJQ393203:NJQ393225 NTM393203:NTM393225 ODI393203:ODI393225 ONE393203:ONE393225 OXA393203:OXA393225 PGW393203:PGW393225 PQS393203:PQS393225 QAO393203:QAO393225 QKK393203:QKK393225 QUG393203:QUG393225 REC393203:REC393225 RNY393203:RNY393225 RXU393203:RXU393225 SHQ393203:SHQ393225 SRM393203:SRM393225 TBI393203:TBI393225 TLE393203:TLE393225 TVA393203:TVA393225 UEW393203:UEW393225 UOS393203:UOS393225 UYO393203:UYO393225 VIK393203:VIK393225 VSG393203:VSG393225 WCC393203:WCC393225 WLY393203:WLY393225 WVU393203:WVU393225 M458739:M458761 JI458739:JI458761 TE458739:TE458761 ADA458739:ADA458761 AMW458739:AMW458761 AWS458739:AWS458761 BGO458739:BGO458761 BQK458739:BQK458761 CAG458739:CAG458761 CKC458739:CKC458761 CTY458739:CTY458761 DDU458739:DDU458761 DNQ458739:DNQ458761 DXM458739:DXM458761 EHI458739:EHI458761 ERE458739:ERE458761 FBA458739:FBA458761 FKW458739:FKW458761 FUS458739:FUS458761 GEO458739:GEO458761 GOK458739:GOK458761 GYG458739:GYG458761 HIC458739:HIC458761 HRY458739:HRY458761 IBU458739:IBU458761 ILQ458739:ILQ458761 IVM458739:IVM458761 JFI458739:JFI458761 JPE458739:JPE458761 JZA458739:JZA458761 KIW458739:KIW458761 KSS458739:KSS458761 LCO458739:LCO458761 LMK458739:LMK458761 LWG458739:LWG458761 MGC458739:MGC458761 MPY458739:MPY458761 MZU458739:MZU458761 NJQ458739:NJQ458761 NTM458739:NTM458761 ODI458739:ODI458761 ONE458739:ONE458761 OXA458739:OXA458761 PGW458739:PGW458761 PQS458739:PQS458761 QAO458739:QAO458761 QKK458739:QKK458761 QUG458739:QUG458761 REC458739:REC458761 RNY458739:RNY458761 RXU458739:RXU458761 SHQ458739:SHQ458761 SRM458739:SRM458761 TBI458739:TBI458761 TLE458739:TLE458761 TVA458739:TVA458761 UEW458739:UEW458761 UOS458739:UOS458761 UYO458739:UYO458761 VIK458739:VIK458761 VSG458739:VSG458761 WCC458739:WCC458761 WLY458739:WLY458761 WVU458739:WVU458761 M524275:M524297 JI524275:JI524297 TE524275:TE524297 ADA524275:ADA524297 AMW524275:AMW524297 AWS524275:AWS524297 BGO524275:BGO524297 BQK524275:BQK524297 CAG524275:CAG524297 CKC524275:CKC524297 CTY524275:CTY524297 DDU524275:DDU524297 DNQ524275:DNQ524297 DXM524275:DXM524297 EHI524275:EHI524297 ERE524275:ERE524297 FBA524275:FBA524297 FKW524275:FKW524297 FUS524275:FUS524297 GEO524275:GEO524297 GOK524275:GOK524297 GYG524275:GYG524297 HIC524275:HIC524297 HRY524275:HRY524297 IBU524275:IBU524297 ILQ524275:ILQ524297 IVM524275:IVM524297 JFI524275:JFI524297 JPE524275:JPE524297 JZA524275:JZA524297 KIW524275:KIW524297 KSS524275:KSS524297 LCO524275:LCO524297 LMK524275:LMK524297 LWG524275:LWG524297 MGC524275:MGC524297 MPY524275:MPY524297 MZU524275:MZU524297 NJQ524275:NJQ524297 NTM524275:NTM524297 ODI524275:ODI524297 ONE524275:ONE524297 OXA524275:OXA524297 PGW524275:PGW524297 PQS524275:PQS524297 QAO524275:QAO524297 QKK524275:QKK524297 QUG524275:QUG524297 REC524275:REC524297 RNY524275:RNY524297 RXU524275:RXU524297 SHQ524275:SHQ524297 SRM524275:SRM524297 TBI524275:TBI524297 TLE524275:TLE524297 TVA524275:TVA524297 UEW524275:UEW524297 UOS524275:UOS524297 UYO524275:UYO524297 VIK524275:VIK524297 VSG524275:VSG524297 WCC524275:WCC524297 WLY524275:WLY524297 WVU524275:WVU524297 M589811:M589833 JI589811:JI589833 TE589811:TE589833 ADA589811:ADA589833 AMW589811:AMW589833 AWS589811:AWS589833 BGO589811:BGO589833 BQK589811:BQK589833 CAG589811:CAG589833 CKC589811:CKC589833 CTY589811:CTY589833 DDU589811:DDU589833 DNQ589811:DNQ589833 DXM589811:DXM589833 EHI589811:EHI589833 ERE589811:ERE589833 FBA589811:FBA589833 FKW589811:FKW589833 FUS589811:FUS589833 GEO589811:GEO589833 GOK589811:GOK589833 GYG589811:GYG589833 HIC589811:HIC589833 HRY589811:HRY589833 IBU589811:IBU589833 ILQ589811:ILQ589833 IVM589811:IVM589833 JFI589811:JFI589833 JPE589811:JPE589833 JZA589811:JZA589833 KIW589811:KIW589833 KSS589811:KSS589833 LCO589811:LCO589833 LMK589811:LMK589833 LWG589811:LWG589833 MGC589811:MGC589833 MPY589811:MPY589833 MZU589811:MZU589833 NJQ589811:NJQ589833 NTM589811:NTM589833 ODI589811:ODI589833 ONE589811:ONE589833 OXA589811:OXA589833 PGW589811:PGW589833 PQS589811:PQS589833 QAO589811:QAO589833 QKK589811:QKK589833 QUG589811:QUG589833 REC589811:REC589833 RNY589811:RNY589833 RXU589811:RXU589833 SHQ589811:SHQ589833 SRM589811:SRM589833 TBI589811:TBI589833 TLE589811:TLE589833 TVA589811:TVA589833 UEW589811:UEW589833 UOS589811:UOS589833 UYO589811:UYO589833 VIK589811:VIK589833 VSG589811:VSG589833 WCC589811:WCC589833 WLY589811:WLY589833 WVU589811:WVU589833 M655347:M655369 JI655347:JI655369 TE655347:TE655369 ADA655347:ADA655369 AMW655347:AMW655369 AWS655347:AWS655369 BGO655347:BGO655369 BQK655347:BQK655369 CAG655347:CAG655369 CKC655347:CKC655369 CTY655347:CTY655369 DDU655347:DDU655369 DNQ655347:DNQ655369 DXM655347:DXM655369 EHI655347:EHI655369 ERE655347:ERE655369 FBA655347:FBA655369 FKW655347:FKW655369 FUS655347:FUS655369 GEO655347:GEO655369 GOK655347:GOK655369 GYG655347:GYG655369 HIC655347:HIC655369 HRY655347:HRY655369 IBU655347:IBU655369 ILQ655347:ILQ655369 IVM655347:IVM655369 JFI655347:JFI655369 JPE655347:JPE655369 JZA655347:JZA655369 KIW655347:KIW655369 KSS655347:KSS655369 LCO655347:LCO655369 LMK655347:LMK655369 LWG655347:LWG655369 MGC655347:MGC655369 MPY655347:MPY655369 MZU655347:MZU655369 NJQ655347:NJQ655369 NTM655347:NTM655369 ODI655347:ODI655369 ONE655347:ONE655369 OXA655347:OXA655369 PGW655347:PGW655369 PQS655347:PQS655369 QAO655347:QAO655369 QKK655347:QKK655369 QUG655347:QUG655369 REC655347:REC655369 RNY655347:RNY655369 RXU655347:RXU655369 SHQ655347:SHQ655369 SRM655347:SRM655369 TBI655347:TBI655369 TLE655347:TLE655369 TVA655347:TVA655369 UEW655347:UEW655369 UOS655347:UOS655369 UYO655347:UYO655369 VIK655347:VIK655369 VSG655347:VSG655369 WCC655347:WCC655369 WLY655347:WLY655369 WVU655347:WVU655369 M720883:M720905 JI720883:JI720905 TE720883:TE720905 ADA720883:ADA720905 AMW720883:AMW720905 AWS720883:AWS720905 BGO720883:BGO720905 BQK720883:BQK720905 CAG720883:CAG720905 CKC720883:CKC720905 CTY720883:CTY720905 DDU720883:DDU720905 DNQ720883:DNQ720905 DXM720883:DXM720905 EHI720883:EHI720905 ERE720883:ERE720905 FBA720883:FBA720905 FKW720883:FKW720905 FUS720883:FUS720905 GEO720883:GEO720905 GOK720883:GOK720905 GYG720883:GYG720905 HIC720883:HIC720905 HRY720883:HRY720905 IBU720883:IBU720905 ILQ720883:ILQ720905 IVM720883:IVM720905 JFI720883:JFI720905 JPE720883:JPE720905 JZA720883:JZA720905 KIW720883:KIW720905 KSS720883:KSS720905 LCO720883:LCO720905 LMK720883:LMK720905 LWG720883:LWG720905 MGC720883:MGC720905 MPY720883:MPY720905 MZU720883:MZU720905 NJQ720883:NJQ720905 NTM720883:NTM720905 ODI720883:ODI720905 ONE720883:ONE720905 OXA720883:OXA720905 PGW720883:PGW720905 PQS720883:PQS720905 QAO720883:QAO720905 QKK720883:QKK720905 QUG720883:QUG720905 REC720883:REC720905 RNY720883:RNY720905 RXU720883:RXU720905 SHQ720883:SHQ720905 SRM720883:SRM720905 TBI720883:TBI720905 TLE720883:TLE720905 TVA720883:TVA720905 UEW720883:UEW720905 UOS720883:UOS720905 UYO720883:UYO720905 VIK720883:VIK720905 VSG720883:VSG720905 WCC720883:WCC720905 WLY720883:WLY720905 WVU720883:WVU720905 M786419:M786441 JI786419:JI786441 TE786419:TE786441 ADA786419:ADA786441 AMW786419:AMW786441 AWS786419:AWS786441 BGO786419:BGO786441 BQK786419:BQK786441 CAG786419:CAG786441 CKC786419:CKC786441 CTY786419:CTY786441 DDU786419:DDU786441 DNQ786419:DNQ786441 DXM786419:DXM786441 EHI786419:EHI786441 ERE786419:ERE786441 FBA786419:FBA786441 FKW786419:FKW786441 FUS786419:FUS786441 GEO786419:GEO786441 GOK786419:GOK786441 GYG786419:GYG786441 HIC786419:HIC786441 HRY786419:HRY786441 IBU786419:IBU786441 ILQ786419:ILQ786441 IVM786419:IVM786441 JFI786419:JFI786441 JPE786419:JPE786441 JZA786419:JZA786441 KIW786419:KIW786441 KSS786419:KSS786441 LCO786419:LCO786441 LMK786419:LMK786441 LWG786419:LWG786441 MGC786419:MGC786441 MPY786419:MPY786441 MZU786419:MZU786441 NJQ786419:NJQ786441 NTM786419:NTM786441 ODI786419:ODI786441 ONE786419:ONE786441 OXA786419:OXA786441 PGW786419:PGW786441 PQS786419:PQS786441 QAO786419:QAO786441 QKK786419:QKK786441 QUG786419:QUG786441 REC786419:REC786441 RNY786419:RNY786441 RXU786419:RXU786441 SHQ786419:SHQ786441 SRM786419:SRM786441 TBI786419:TBI786441 TLE786419:TLE786441 TVA786419:TVA786441 UEW786419:UEW786441 UOS786419:UOS786441 UYO786419:UYO786441 VIK786419:VIK786441 VSG786419:VSG786441 WCC786419:WCC786441 WLY786419:WLY786441 WVU786419:WVU786441 M851955:M851977 JI851955:JI851977 TE851955:TE851977 ADA851955:ADA851977 AMW851955:AMW851977 AWS851955:AWS851977 BGO851955:BGO851977 BQK851955:BQK851977 CAG851955:CAG851977 CKC851955:CKC851977 CTY851955:CTY851977 DDU851955:DDU851977 DNQ851955:DNQ851977 DXM851955:DXM851977 EHI851955:EHI851977 ERE851955:ERE851977 FBA851955:FBA851977 FKW851955:FKW851977 FUS851955:FUS851977 GEO851955:GEO851977 GOK851955:GOK851977 GYG851955:GYG851977 HIC851955:HIC851977 HRY851955:HRY851977 IBU851955:IBU851977 ILQ851955:ILQ851977 IVM851955:IVM851977 JFI851955:JFI851977 JPE851955:JPE851977 JZA851955:JZA851977 KIW851955:KIW851977 KSS851955:KSS851977 LCO851955:LCO851977 LMK851955:LMK851977 LWG851955:LWG851977 MGC851955:MGC851977 MPY851955:MPY851977 MZU851955:MZU851977 NJQ851955:NJQ851977 NTM851955:NTM851977 ODI851955:ODI851977 ONE851955:ONE851977 OXA851955:OXA851977 PGW851955:PGW851977 PQS851955:PQS851977 QAO851955:QAO851977 QKK851955:QKK851977 QUG851955:QUG851977 REC851955:REC851977 RNY851955:RNY851977 RXU851955:RXU851977 SHQ851955:SHQ851977 SRM851955:SRM851977 TBI851955:TBI851977 TLE851955:TLE851977 TVA851955:TVA851977 UEW851955:UEW851977 UOS851955:UOS851977 UYO851955:UYO851977 VIK851955:VIK851977 VSG851955:VSG851977 WCC851955:WCC851977 WLY851955:WLY851977 WVU851955:WVU851977 M917491:M917513 JI917491:JI917513 TE917491:TE917513 ADA917491:ADA917513 AMW917491:AMW917513 AWS917491:AWS917513 BGO917491:BGO917513 BQK917491:BQK917513 CAG917491:CAG917513 CKC917491:CKC917513 CTY917491:CTY917513 DDU917491:DDU917513 DNQ917491:DNQ917513 DXM917491:DXM917513 EHI917491:EHI917513 ERE917491:ERE917513 FBA917491:FBA917513 FKW917491:FKW917513 FUS917491:FUS917513 GEO917491:GEO917513 GOK917491:GOK917513 GYG917491:GYG917513 HIC917491:HIC917513 HRY917491:HRY917513 IBU917491:IBU917513 ILQ917491:ILQ917513 IVM917491:IVM917513 JFI917491:JFI917513 JPE917491:JPE917513 JZA917491:JZA917513 KIW917491:KIW917513 KSS917491:KSS917513 LCO917491:LCO917513 LMK917491:LMK917513 LWG917491:LWG917513 MGC917491:MGC917513 MPY917491:MPY917513 MZU917491:MZU917513 NJQ917491:NJQ917513 NTM917491:NTM917513 ODI917491:ODI917513 ONE917491:ONE917513 OXA917491:OXA917513 PGW917491:PGW917513 PQS917491:PQS917513 QAO917491:QAO917513 QKK917491:QKK917513 QUG917491:QUG917513 REC917491:REC917513 RNY917491:RNY917513 RXU917491:RXU917513 SHQ917491:SHQ917513 SRM917491:SRM917513 TBI917491:TBI917513 TLE917491:TLE917513 TVA917491:TVA917513 UEW917491:UEW917513 UOS917491:UOS917513 UYO917491:UYO917513 VIK917491:VIK917513 VSG917491:VSG917513 WCC917491:WCC917513 WLY917491:WLY917513 WVU917491:WVU917513 M983027:M983049 JI983027:JI983049 TE983027:TE983049 ADA983027:ADA983049 AMW983027:AMW983049 AWS983027:AWS983049 BGO983027:BGO983049 BQK983027:BQK983049 CAG983027:CAG983049 CKC983027:CKC983049 CTY983027:CTY983049 DDU983027:DDU983049 DNQ983027:DNQ983049 DXM983027:DXM983049 EHI983027:EHI983049 ERE983027:ERE983049 FBA983027:FBA983049 FKW983027:FKW983049 FUS983027:FUS983049 GEO983027:GEO983049 GOK983027:GOK983049 GYG983027:GYG983049 HIC983027:HIC983049 HRY983027:HRY983049 IBU983027:IBU983049 ILQ983027:ILQ983049 IVM983027:IVM983049 JFI983027:JFI983049 JPE983027:JPE983049 JZA983027:JZA983049 KIW983027:KIW983049 KSS983027:KSS983049 LCO983027:LCO983049 LMK983027:LMK983049 LWG983027:LWG983049 MGC983027:MGC983049 MPY983027:MPY983049 MZU983027:MZU983049 NJQ983027:NJQ983049 NTM983027:NTM983049 ODI983027:ODI983049 ONE983027:ONE983049 OXA983027:OXA983049 PGW983027:PGW983049 PQS983027:PQS983049 QAO983027:QAO983049 QKK983027:QKK983049 QUG983027:QUG983049 REC983027:REC983049 RNY983027:RNY983049 RXU983027:RXU983049 SHQ983027:SHQ983049 SRM983027:SRM983049 TBI983027:TBI983049 TLE983027:TLE983049 TVA983027:TVA983049 UEW983027:UEW983049 UOS983027:UOS983049 UYO983027:UYO983049 VIK983027:VIK983049 VSG983027:VSG983049 WCC983027:WCC983049 WLY983027:WLY983049 F983027:I983049 F917491:I917513 F851955:I851977 F786419:I786441 F720883:I720905 F655347:I655369 F589811:I589833 F524275:I524297 F458739:I458761 F393203:I393225 F327667:I327689 F262131:I262153 F196595:I196617 F131059:I131081 F65523:I65545" xr:uid="{2804758D-B9CD-4DC0-A409-B28BD152974C}">
      <formula1>0</formula1>
    </dataValidation>
    <dataValidation type="decimal" operator="lessThanOrEqual" allowBlank="1" showInputMessage="1" showErrorMessage="1" errorTitle="Positief bedrag" error="Gelieve een negatief bedrag in te geven" sqref="D65523:D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D131059:D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D196595:D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D262131:D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D327667:D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D393203:D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D458739:D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D524275:D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D589811:D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D655347:D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D720883:D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D786419:D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D851955:D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D917491:D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D983027:D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O65523:O65545 JK65523:JK65545 TG65523:TG65545 ADC65523:ADC65545 AMY65523:AMY65545 AWU65523:AWU65545 BGQ65523:BGQ65545 BQM65523:BQM65545 CAI65523:CAI65545 CKE65523:CKE65545 CUA65523:CUA65545 DDW65523:DDW65545 DNS65523:DNS65545 DXO65523:DXO65545 EHK65523:EHK65545 ERG65523:ERG65545 FBC65523:FBC65545 FKY65523:FKY65545 FUU65523:FUU65545 GEQ65523:GEQ65545 GOM65523:GOM65545 GYI65523:GYI65545 HIE65523:HIE65545 HSA65523:HSA65545 IBW65523:IBW65545 ILS65523:ILS65545 IVO65523:IVO65545 JFK65523:JFK65545 JPG65523:JPG65545 JZC65523:JZC65545 KIY65523:KIY65545 KSU65523:KSU65545 LCQ65523:LCQ65545 LMM65523:LMM65545 LWI65523:LWI65545 MGE65523:MGE65545 MQA65523:MQA65545 MZW65523:MZW65545 NJS65523:NJS65545 NTO65523:NTO65545 ODK65523:ODK65545 ONG65523:ONG65545 OXC65523:OXC65545 PGY65523:PGY65545 PQU65523:PQU65545 QAQ65523:QAQ65545 QKM65523:QKM65545 QUI65523:QUI65545 REE65523:REE65545 ROA65523:ROA65545 RXW65523:RXW65545 SHS65523:SHS65545 SRO65523:SRO65545 TBK65523:TBK65545 TLG65523:TLG65545 TVC65523:TVC65545 UEY65523:UEY65545 UOU65523:UOU65545 UYQ65523:UYQ65545 VIM65523:VIM65545 VSI65523:VSI65545 WCE65523:WCE65545 WMA65523:WMA65545 WVW65523:WVW65545 O131059:O131081 JK131059:JK131081 TG131059:TG131081 ADC131059:ADC131081 AMY131059:AMY131081 AWU131059:AWU131081 BGQ131059:BGQ131081 BQM131059:BQM131081 CAI131059:CAI131081 CKE131059:CKE131081 CUA131059:CUA131081 DDW131059:DDW131081 DNS131059:DNS131081 DXO131059:DXO131081 EHK131059:EHK131081 ERG131059:ERG131081 FBC131059:FBC131081 FKY131059:FKY131081 FUU131059:FUU131081 GEQ131059:GEQ131081 GOM131059:GOM131081 GYI131059:GYI131081 HIE131059:HIE131081 HSA131059:HSA131081 IBW131059:IBW131081 ILS131059:ILS131081 IVO131059:IVO131081 JFK131059:JFK131081 JPG131059:JPG131081 JZC131059:JZC131081 KIY131059:KIY131081 KSU131059:KSU131081 LCQ131059:LCQ131081 LMM131059:LMM131081 LWI131059:LWI131081 MGE131059:MGE131081 MQA131059:MQA131081 MZW131059:MZW131081 NJS131059:NJS131081 NTO131059:NTO131081 ODK131059:ODK131081 ONG131059:ONG131081 OXC131059:OXC131081 PGY131059:PGY131081 PQU131059:PQU131081 QAQ131059:QAQ131081 QKM131059:QKM131081 QUI131059:QUI131081 REE131059:REE131081 ROA131059:ROA131081 RXW131059:RXW131081 SHS131059:SHS131081 SRO131059:SRO131081 TBK131059:TBK131081 TLG131059:TLG131081 TVC131059:TVC131081 UEY131059:UEY131081 UOU131059:UOU131081 UYQ131059:UYQ131081 VIM131059:VIM131081 VSI131059:VSI131081 WCE131059:WCE131081 WMA131059:WMA131081 WVW131059:WVW131081 O196595:O196617 JK196595:JK196617 TG196595:TG196617 ADC196595:ADC196617 AMY196595:AMY196617 AWU196595:AWU196617 BGQ196595:BGQ196617 BQM196595:BQM196617 CAI196595:CAI196617 CKE196595:CKE196617 CUA196595:CUA196617 DDW196595:DDW196617 DNS196595:DNS196617 DXO196595:DXO196617 EHK196595:EHK196617 ERG196595:ERG196617 FBC196595:FBC196617 FKY196595:FKY196617 FUU196595:FUU196617 GEQ196595:GEQ196617 GOM196595:GOM196617 GYI196595:GYI196617 HIE196595:HIE196617 HSA196595:HSA196617 IBW196595:IBW196617 ILS196595:ILS196617 IVO196595:IVO196617 JFK196595:JFK196617 JPG196595:JPG196617 JZC196595:JZC196617 KIY196595:KIY196617 KSU196595:KSU196617 LCQ196595:LCQ196617 LMM196595:LMM196617 LWI196595:LWI196617 MGE196595:MGE196617 MQA196595:MQA196617 MZW196595:MZW196617 NJS196595:NJS196617 NTO196595:NTO196617 ODK196595:ODK196617 ONG196595:ONG196617 OXC196595:OXC196617 PGY196595:PGY196617 PQU196595:PQU196617 QAQ196595:QAQ196617 QKM196595:QKM196617 QUI196595:QUI196617 REE196595:REE196617 ROA196595:ROA196617 RXW196595:RXW196617 SHS196595:SHS196617 SRO196595:SRO196617 TBK196595:TBK196617 TLG196595:TLG196617 TVC196595:TVC196617 UEY196595:UEY196617 UOU196595:UOU196617 UYQ196595:UYQ196617 VIM196595:VIM196617 VSI196595:VSI196617 WCE196595:WCE196617 WMA196595:WMA196617 WVW196595:WVW196617 O262131:O262153 JK262131:JK262153 TG262131:TG262153 ADC262131:ADC262153 AMY262131:AMY262153 AWU262131:AWU262153 BGQ262131:BGQ262153 BQM262131:BQM262153 CAI262131:CAI262153 CKE262131:CKE262153 CUA262131:CUA262153 DDW262131:DDW262153 DNS262131:DNS262153 DXO262131:DXO262153 EHK262131:EHK262153 ERG262131:ERG262153 FBC262131:FBC262153 FKY262131:FKY262153 FUU262131:FUU262153 GEQ262131:GEQ262153 GOM262131:GOM262153 GYI262131:GYI262153 HIE262131:HIE262153 HSA262131:HSA262153 IBW262131:IBW262153 ILS262131:ILS262153 IVO262131:IVO262153 JFK262131:JFK262153 JPG262131:JPG262153 JZC262131:JZC262153 KIY262131:KIY262153 KSU262131:KSU262153 LCQ262131:LCQ262153 LMM262131:LMM262153 LWI262131:LWI262153 MGE262131:MGE262153 MQA262131:MQA262153 MZW262131:MZW262153 NJS262131:NJS262153 NTO262131:NTO262153 ODK262131:ODK262153 ONG262131:ONG262153 OXC262131:OXC262153 PGY262131:PGY262153 PQU262131:PQU262153 QAQ262131:QAQ262153 QKM262131:QKM262153 QUI262131:QUI262153 REE262131:REE262153 ROA262131:ROA262153 RXW262131:RXW262153 SHS262131:SHS262153 SRO262131:SRO262153 TBK262131:TBK262153 TLG262131:TLG262153 TVC262131:TVC262153 UEY262131:UEY262153 UOU262131:UOU262153 UYQ262131:UYQ262153 VIM262131:VIM262153 VSI262131:VSI262153 WCE262131:WCE262153 WMA262131:WMA262153 WVW262131:WVW262153 O327667:O327689 JK327667:JK327689 TG327667:TG327689 ADC327667:ADC327689 AMY327667:AMY327689 AWU327667:AWU327689 BGQ327667:BGQ327689 BQM327667:BQM327689 CAI327667:CAI327689 CKE327667:CKE327689 CUA327667:CUA327689 DDW327667:DDW327689 DNS327667:DNS327689 DXO327667:DXO327689 EHK327667:EHK327689 ERG327667:ERG327689 FBC327667:FBC327689 FKY327667:FKY327689 FUU327667:FUU327689 GEQ327667:GEQ327689 GOM327667:GOM327689 GYI327667:GYI327689 HIE327667:HIE327689 HSA327667:HSA327689 IBW327667:IBW327689 ILS327667:ILS327689 IVO327667:IVO327689 JFK327667:JFK327689 JPG327667:JPG327689 JZC327667:JZC327689 KIY327667:KIY327689 KSU327667:KSU327689 LCQ327667:LCQ327689 LMM327667:LMM327689 LWI327667:LWI327689 MGE327667:MGE327689 MQA327667:MQA327689 MZW327667:MZW327689 NJS327667:NJS327689 NTO327667:NTO327689 ODK327667:ODK327689 ONG327667:ONG327689 OXC327667:OXC327689 PGY327667:PGY327689 PQU327667:PQU327689 QAQ327667:QAQ327689 QKM327667:QKM327689 QUI327667:QUI327689 REE327667:REE327689 ROA327667:ROA327689 RXW327667:RXW327689 SHS327667:SHS327689 SRO327667:SRO327689 TBK327667:TBK327689 TLG327667:TLG327689 TVC327667:TVC327689 UEY327667:UEY327689 UOU327667:UOU327689 UYQ327667:UYQ327689 VIM327667:VIM327689 VSI327667:VSI327689 WCE327667:WCE327689 WMA327667:WMA327689 WVW327667:WVW327689 O393203:O393225 JK393203:JK393225 TG393203:TG393225 ADC393203:ADC393225 AMY393203:AMY393225 AWU393203:AWU393225 BGQ393203:BGQ393225 BQM393203:BQM393225 CAI393203:CAI393225 CKE393203:CKE393225 CUA393203:CUA393225 DDW393203:DDW393225 DNS393203:DNS393225 DXO393203:DXO393225 EHK393203:EHK393225 ERG393203:ERG393225 FBC393203:FBC393225 FKY393203:FKY393225 FUU393203:FUU393225 GEQ393203:GEQ393225 GOM393203:GOM393225 GYI393203:GYI393225 HIE393203:HIE393225 HSA393203:HSA393225 IBW393203:IBW393225 ILS393203:ILS393225 IVO393203:IVO393225 JFK393203:JFK393225 JPG393203:JPG393225 JZC393203:JZC393225 KIY393203:KIY393225 KSU393203:KSU393225 LCQ393203:LCQ393225 LMM393203:LMM393225 LWI393203:LWI393225 MGE393203:MGE393225 MQA393203:MQA393225 MZW393203:MZW393225 NJS393203:NJS393225 NTO393203:NTO393225 ODK393203:ODK393225 ONG393203:ONG393225 OXC393203:OXC393225 PGY393203:PGY393225 PQU393203:PQU393225 QAQ393203:QAQ393225 QKM393203:QKM393225 QUI393203:QUI393225 REE393203:REE393225 ROA393203:ROA393225 RXW393203:RXW393225 SHS393203:SHS393225 SRO393203:SRO393225 TBK393203:TBK393225 TLG393203:TLG393225 TVC393203:TVC393225 UEY393203:UEY393225 UOU393203:UOU393225 UYQ393203:UYQ393225 VIM393203:VIM393225 VSI393203:VSI393225 WCE393203:WCE393225 WMA393203:WMA393225 WVW393203:WVW393225 O458739:O458761 JK458739:JK458761 TG458739:TG458761 ADC458739:ADC458761 AMY458739:AMY458761 AWU458739:AWU458761 BGQ458739:BGQ458761 BQM458739:BQM458761 CAI458739:CAI458761 CKE458739:CKE458761 CUA458739:CUA458761 DDW458739:DDW458761 DNS458739:DNS458761 DXO458739:DXO458761 EHK458739:EHK458761 ERG458739:ERG458761 FBC458739:FBC458761 FKY458739:FKY458761 FUU458739:FUU458761 GEQ458739:GEQ458761 GOM458739:GOM458761 GYI458739:GYI458761 HIE458739:HIE458761 HSA458739:HSA458761 IBW458739:IBW458761 ILS458739:ILS458761 IVO458739:IVO458761 JFK458739:JFK458761 JPG458739:JPG458761 JZC458739:JZC458761 KIY458739:KIY458761 KSU458739:KSU458761 LCQ458739:LCQ458761 LMM458739:LMM458761 LWI458739:LWI458761 MGE458739:MGE458761 MQA458739:MQA458761 MZW458739:MZW458761 NJS458739:NJS458761 NTO458739:NTO458761 ODK458739:ODK458761 ONG458739:ONG458761 OXC458739:OXC458761 PGY458739:PGY458761 PQU458739:PQU458761 QAQ458739:QAQ458761 QKM458739:QKM458761 QUI458739:QUI458761 REE458739:REE458761 ROA458739:ROA458761 RXW458739:RXW458761 SHS458739:SHS458761 SRO458739:SRO458761 TBK458739:TBK458761 TLG458739:TLG458761 TVC458739:TVC458761 UEY458739:UEY458761 UOU458739:UOU458761 UYQ458739:UYQ458761 VIM458739:VIM458761 VSI458739:VSI458761 WCE458739:WCE458761 WMA458739:WMA458761 WVW458739:WVW458761 O524275:O524297 JK524275:JK524297 TG524275:TG524297 ADC524275:ADC524297 AMY524275:AMY524297 AWU524275:AWU524297 BGQ524275:BGQ524297 BQM524275:BQM524297 CAI524275:CAI524297 CKE524275:CKE524297 CUA524275:CUA524297 DDW524275:DDW524297 DNS524275:DNS524297 DXO524275:DXO524297 EHK524275:EHK524297 ERG524275:ERG524297 FBC524275:FBC524297 FKY524275:FKY524297 FUU524275:FUU524297 GEQ524275:GEQ524297 GOM524275:GOM524297 GYI524275:GYI524297 HIE524275:HIE524297 HSA524275:HSA524297 IBW524275:IBW524297 ILS524275:ILS524297 IVO524275:IVO524297 JFK524275:JFK524297 JPG524275:JPG524297 JZC524275:JZC524297 KIY524275:KIY524297 KSU524275:KSU524297 LCQ524275:LCQ524297 LMM524275:LMM524297 LWI524275:LWI524297 MGE524275:MGE524297 MQA524275:MQA524297 MZW524275:MZW524297 NJS524275:NJS524297 NTO524275:NTO524297 ODK524275:ODK524297 ONG524275:ONG524297 OXC524275:OXC524297 PGY524275:PGY524297 PQU524275:PQU524297 QAQ524275:QAQ524297 QKM524275:QKM524297 QUI524275:QUI524297 REE524275:REE524297 ROA524275:ROA524297 RXW524275:RXW524297 SHS524275:SHS524297 SRO524275:SRO524297 TBK524275:TBK524297 TLG524275:TLG524297 TVC524275:TVC524297 UEY524275:UEY524297 UOU524275:UOU524297 UYQ524275:UYQ524297 VIM524275:VIM524297 VSI524275:VSI524297 WCE524275:WCE524297 WMA524275:WMA524297 WVW524275:WVW524297 O589811:O589833 JK589811:JK589833 TG589811:TG589833 ADC589811:ADC589833 AMY589811:AMY589833 AWU589811:AWU589833 BGQ589811:BGQ589833 BQM589811:BQM589833 CAI589811:CAI589833 CKE589811:CKE589833 CUA589811:CUA589833 DDW589811:DDW589833 DNS589811:DNS589833 DXO589811:DXO589833 EHK589811:EHK589833 ERG589811:ERG589833 FBC589811:FBC589833 FKY589811:FKY589833 FUU589811:FUU589833 GEQ589811:GEQ589833 GOM589811:GOM589833 GYI589811:GYI589833 HIE589811:HIE589833 HSA589811:HSA589833 IBW589811:IBW589833 ILS589811:ILS589833 IVO589811:IVO589833 JFK589811:JFK589833 JPG589811:JPG589833 JZC589811:JZC589833 KIY589811:KIY589833 KSU589811:KSU589833 LCQ589811:LCQ589833 LMM589811:LMM589833 LWI589811:LWI589833 MGE589811:MGE589833 MQA589811:MQA589833 MZW589811:MZW589833 NJS589811:NJS589833 NTO589811:NTO589833 ODK589811:ODK589833 ONG589811:ONG589833 OXC589811:OXC589833 PGY589811:PGY589833 PQU589811:PQU589833 QAQ589811:QAQ589833 QKM589811:QKM589833 QUI589811:QUI589833 REE589811:REE589833 ROA589811:ROA589833 RXW589811:RXW589833 SHS589811:SHS589833 SRO589811:SRO589833 TBK589811:TBK589833 TLG589811:TLG589833 TVC589811:TVC589833 UEY589811:UEY589833 UOU589811:UOU589833 UYQ589811:UYQ589833 VIM589811:VIM589833 VSI589811:VSI589833 WCE589811:WCE589833 WMA589811:WMA589833 WVW589811:WVW589833 O655347:O655369 JK655347:JK655369 TG655347:TG655369 ADC655347:ADC655369 AMY655347:AMY655369 AWU655347:AWU655369 BGQ655347:BGQ655369 BQM655347:BQM655369 CAI655347:CAI655369 CKE655347:CKE655369 CUA655347:CUA655369 DDW655347:DDW655369 DNS655347:DNS655369 DXO655347:DXO655369 EHK655347:EHK655369 ERG655347:ERG655369 FBC655347:FBC655369 FKY655347:FKY655369 FUU655347:FUU655369 GEQ655347:GEQ655369 GOM655347:GOM655369 GYI655347:GYI655369 HIE655347:HIE655369 HSA655347:HSA655369 IBW655347:IBW655369 ILS655347:ILS655369 IVO655347:IVO655369 JFK655347:JFK655369 JPG655347:JPG655369 JZC655347:JZC655369 KIY655347:KIY655369 KSU655347:KSU655369 LCQ655347:LCQ655369 LMM655347:LMM655369 LWI655347:LWI655369 MGE655347:MGE655369 MQA655347:MQA655369 MZW655347:MZW655369 NJS655347:NJS655369 NTO655347:NTO655369 ODK655347:ODK655369 ONG655347:ONG655369 OXC655347:OXC655369 PGY655347:PGY655369 PQU655347:PQU655369 QAQ655347:QAQ655369 QKM655347:QKM655369 QUI655347:QUI655369 REE655347:REE655369 ROA655347:ROA655369 RXW655347:RXW655369 SHS655347:SHS655369 SRO655347:SRO655369 TBK655347:TBK655369 TLG655347:TLG655369 TVC655347:TVC655369 UEY655347:UEY655369 UOU655347:UOU655369 UYQ655347:UYQ655369 VIM655347:VIM655369 VSI655347:VSI655369 WCE655347:WCE655369 WMA655347:WMA655369 WVW655347:WVW655369 O720883:O720905 JK720883:JK720905 TG720883:TG720905 ADC720883:ADC720905 AMY720883:AMY720905 AWU720883:AWU720905 BGQ720883:BGQ720905 BQM720883:BQM720905 CAI720883:CAI720905 CKE720883:CKE720905 CUA720883:CUA720905 DDW720883:DDW720905 DNS720883:DNS720905 DXO720883:DXO720905 EHK720883:EHK720905 ERG720883:ERG720905 FBC720883:FBC720905 FKY720883:FKY720905 FUU720883:FUU720905 GEQ720883:GEQ720905 GOM720883:GOM720905 GYI720883:GYI720905 HIE720883:HIE720905 HSA720883:HSA720905 IBW720883:IBW720905 ILS720883:ILS720905 IVO720883:IVO720905 JFK720883:JFK720905 JPG720883:JPG720905 JZC720883:JZC720905 KIY720883:KIY720905 KSU720883:KSU720905 LCQ720883:LCQ720905 LMM720883:LMM720905 LWI720883:LWI720905 MGE720883:MGE720905 MQA720883:MQA720905 MZW720883:MZW720905 NJS720883:NJS720905 NTO720883:NTO720905 ODK720883:ODK720905 ONG720883:ONG720905 OXC720883:OXC720905 PGY720883:PGY720905 PQU720883:PQU720905 QAQ720883:QAQ720905 QKM720883:QKM720905 QUI720883:QUI720905 REE720883:REE720905 ROA720883:ROA720905 RXW720883:RXW720905 SHS720883:SHS720905 SRO720883:SRO720905 TBK720883:TBK720905 TLG720883:TLG720905 TVC720883:TVC720905 UEY720883:UEY720905 UOU720883:UOU720905 UYQ720883:UYQ720905 VIM720883:VIM720905 VSI720883:VSI720905 WCE720883:WCE720905 WMA720883:WMA720905 WVW720883:WVW720905 O786419:O786441 JK786419:JK786441 TG786419:TG786441 ADC786419:ADC786441 AMY786419:AMY786441 AWU786419:AWU786441 BGQ786419:BGQ786441 BQM786419:BQM786441 CAI786419:CAI786441 CKE786419:CKE786441 CUA786419:CUA786441 DDW786419:DDW786441 DNS786419:DNS786441 DXO786419:DXO786441 EHK786419:EHK786441 ERG786419:ERG786441 FBC786419:FBC786441 FKY786419:FKY786441 FUU786419:FUU786441 GEQ786419:GEQ786441 GOM786419:GOM786441 GYI786419:GYI786441 HIE786419:HIE786441 HSA786419:HSA786441 IBW786419:IBW786441 ILS786419:ILS786441 IVO786419:IVO786441 JFK786419:JFK786441 JPG786419:JPG786441 JZC786419:JZC786441 KIY786419:KIY786441 KSU786419:KSU786441 LCQ786419:LCQ786441 LMM786419:LMM786441 LWI786419:LWI786441 MGE786419:MGE786441 MQA786419:MQA786441 MZW786419:MZW786441 NJS786419:NJS786441 NTO786419:NTO786441 ODK786419:ODK786441 ONG786419:ONG786441 OXC786419:OXC786441 PGY786419:PGY786441 PQU786419:PQU786441 QAQ786419:QAQ786441 QKM786419:QKM786441 QUI786419:QUI786441 REE786419:REE786441 ROA786419:ROA786441 RXW786419:RXW786441 SHS786419:SHS786441 SRO786419:SRO786441 TBK786419:TBK786441 TLG786419:TLG786441 TVC786419:TVC786441 UEY786419:UEY786441 UOU786419:UOU786441 UYQ786419:UYQ786441 VIM786419:VIM786441 VSI786419:VSI786441 WCE786419:WCE786441 WMA786419:WMA786441 WVW786419:WVW786441 O851955:O851977 JK851955:JK851977 TG851955:TG851977 ADC851955:ADC851977 AMY851955:AMY851977 AWU851955:AWU851977 BGQ851955:BGQ851977 BQM851955:BQM851977 CAI851955:CAI851977 CKE851955:CKE851977 CUA851955:CUA851977 DDW851955:DDW851977 DNS851955:DNS851977 DXO851955:DXO851977 EHK851955:EHK851977 ERG851955:ERG851977 FBC851955:FBC851977 FKY851955:FKY851977 FUU851955:FUU851977 GEQ851955:GEQ851977 GOM851955:GOM851977 GYI851955:GYI851977 HIE851955:HIE851977 HSA851955:HSA851977 IBW851955:IBW851977 ILS851955:ILS851977 IVO851955:IVO851977 JFK851955:JFK851977 JPG851955:JPG851977 JZC851955:JZC851977 KIY851955:KIY851977 KSU851955:KSU851977 LCQ851955:LCQ851977 LMM851955:LMM851977 LWI851955:LWI851977 MGE851955:MGE851977 MQA851955:MQA851977 MZW851955:MZW851977 NJS851955:NJS851977 NTO851955:NTO851977 ODK851955:ODK851977 ONG851955:ONG851977 OXC851955:OXC851977 PGY851955:PGY851977 PQU851955:PQU851977 QAQ851955:QAQ851977 QKM851955:QKM851977 QUI851955:QUI851977 REE851955:REE851977 ROA851955:ROA851977 RXW851955:RXW851977 SHS851955:SHS851977 SRO851955:SRO851977 TBK851955:TBK851977 TLG851955:TLG851977 TVC851955:TVC851977 UEY851955:UEY851977 UOU851955:UOU851977 UYQ851955:UYQ851977 VIM851955:VIM851977 VSI851955:VSI851977 WCE851955:WCE851977 WMA851955:WMA851977 WVW851955:WVW851977 O917491:O917513 JK917491:JK917513 TG917491:TG917513 ADC917491:ADC917513 AMY917491:AMY917513 AWU917491:AWU917513 BGQ917491:BGQ917513 BQM917491:BQM917513 CAI917491:CAI917513 CKE917491:CKE917513 CUA917491:CUA917513 DDW917491:DDW917513 DNS917491:DNS917513 DXO917491:DXO917513 EHK917491:EHK917513 ERG917491:ERG917513 FBC917491:FBC917513 FKY917491:FKY917513 FUU917491:FUU917513 GEQ917491:GEQ917513 GOM917491:GOM917513 GYI917491:GYI917513 HIE917491:HIE917513 HSA917491:HSA917513 IBW917491:IBW917513 ILS917491:ILS917513 IVO917491:IVO917513 JFK917491:JFK917513 JPG917491:JPG917513 JZC917491:JZC917513 KIY917491:KIY917513 KSU917491:KSU917513 LCQ917491:LCQ917513 LMM917491:LMM917513 LWI917491:LWI917513 MGE917491:MGE917513 MQA917491:MQA917513 MZW917491:MZW917513 NJS917491:NJS917513 NTO917491:NTO917513 ODK917491:ODK917513 ONG917491:ONG917513 OXC917491:OXC917513 PGY917491:PGY917513 PQU917491:PQU917513 QAQ917491:QAQ917513 QKM917491:QKM917513 QUI917491:QUI917513 REE917491:REE917513 ROA917491:ROA917513 RXW917491:RXW917513 SHS917491:SHS917513 SRO917491:SRO917513 TBK917491:TBK917513 TLG917491:TLG917513 TVC917491:TVC917513 UEY917491:UEY917513 UOU917491:UOU917513 UYQ917491:UYQ917513 VIM917491:VIM917513 VSI917491:VSI917513 WCE917491:WCE917513 WMA917491:WMA917513 WVW917491:WVW917513 O983027:O983049 JK983027:JK983049 TG983027:TG983049 ADC983027:ADC983049 AMY983027:AMY983049 AWU983027:AWU983049 BGQ983027:BGQ983049 BQM983027:BQM983049 CAI983027:CAI983049 CKE983027:CKE983049 CUA983027:CUA983049 DDW983027:DDW983049 DNS983027:DNS983049 DXO983027:DXO983049 EHK983027:EHK983049 ERG983027:ERG983049 FBC983027:FBC983049 FKY983027:FKY983049 FUU983027:FUU983049 GEQ983027:GEQ983049 GOM983027:GOM983049 GYI983027:GYI983049 HIE983027:HIE983049 HSA983027:HSA983049 IBW983027:IBW983049 ILS983027:ILS983049 IVO983027:IVO983049 JFK983027:JFK983049 JPG983027:JPG983049 JZC983027:JZC983049 KIY983027:KIY983049 KSU983027:KSU983049 LCQ983027:LCQ983049 LMM983027:LMM983049 LWI983027:LWI983049 MGE983027:MGE983049 MQA983027:MQA983049 MZW983027:MZW983049 NJS983027:NJS983049 NTO983027:NTO983049 ODK983027:ODK983049 ONG983027:ONG983049 OXC983027:OXC983049 PGY983027:PGY983049 PQU983027:PQU983049 QAQ983027:QAQ983049 QKM983027:QKM983049 QUI983027:QUI983049 REE983027:REE983049 ROA983027:ROA983049 RXW983027:RXW983049 SHS983027:SHS983049 SRO983027:SRO983049 TBK983027:TBK983049 TLG983027:TLG983049 TVC983027:TVC983049 UEY983027:UEY983049 UOU983027:UOU983049 UYQ983027:UYQ983049 VIM983027:VIM983049 VSI983027:VSI983049 WCE983027:WCE983049 WMA983027:WMA983049 WVW983027:WVW983049 J65523:L65545 JF65523:JH65545 TB65523:TD65545 ACX65523:ACZ65545 AMT65523:AMV65545 AWP65523:AWR65545 BGL65523:BGN65545 BQH65523:BQJ65545 CAD65523:CAF65545 CJZ65523:CKB65545 CTV65523:CTX65545 DDR65523:DDT65545 DNN65523:DNP65545 DXJ65523:DXL65545 EHF65523:EHH65545 ERB65523:ERD65545 FAX65523:FAZ65545 FKT65523:FKV65545 FUP65523:FUR65545 GEL65523:GEN65545 GOH65523:GOJ65545 GYD65523:GYF65545 HHZ65523:HIB65545 HRV65523:HRX65545 IBR65523:IBT65545 ILN65523:ILP65545 IVJ65523:IVL65545 JFF65523:JFH65545 JPB65523:JPD65545 JYX65523:JYZ65545 KIT65523:KIV65545 KSP65523:KSR65545 LCL65523:LCN65545 LMH65523:LMJ65545 LWD65523:LWF65545 MFZ65523:MGB65545 MPV65523:MPX65545 MZR65523:MZT65545 NJN65523:NJP65545 NTJ65523:NTL65545 ODF65523:ODH65545 ONB65523:OND65545 OWX65523:OWZ65545 PGT65523:PGV65545 PQP65523:PQR65545 QAL65523:QAN65545 QKH65523:QKJ65545 QUD65523:QUF65545 RDZ65523:REB65545 RNV65523:RNX65545 RXR65523:RXT65545 SHN65523:SHP65545 SRJ65523:SRL65545 TBF65523:TBH65545 TLB65523:TLD65545 TUX65523:TUZ65545 UET65523:UEV65545 UOP65523:UOR65545 UYL65523:UYN65545 VIH65523:VIJ65545 VSD65523:VSF65545 WBZ65523:WCB65545 WLV65523:WLX65545 WVR65523:WVT65545 J131059:L131081 JF131059:JH131081 TB131059:TD131081 ACX131059:ACZ131081 AMT131059:AMV131081 AWP131059:AWR131081 BGL131059:BGN131081 BQH131059:BQJ131081 CAD131059:CAF131081 CJZ131059:CKB131081 CTV131059:CTX131081 DDR131059:DDT131081 DNN131059:DNP131081 DXJ131059:DXL131081 EHF131059:EHH131081 ERB131059:ERD131081 FAX131059:FAZ131081 FKT131059:FKV131081 FUP131059:FUR131081 GEL131059:GEN131081 GOH131059:GOJ131081 GYD131059:GYF131081 HHZ131059:HIB131081 HRV131059:HRX131081 IBR131059:IBT131081 ILN131059:ILP131081 IVJ131059:IVL131081 JFF131059:JFH131081 JPB131059:JPD131081 JYX131059:JYZ131081 KIT131059:KIV131081 KSP131059:KSR131081 LCL131059:LCN131081 LMH131059:LMJ131081 LWD131059:LWF131081 MFZ131059:MGB131081 MPV131059:MPX131081 MZR131059:MZT131081 NJN131059:NJP131081 NTJ131059:NTL131081 ODF131059:ODH131081 ONB131059:OND131081 OWX131059:OWZ131081 PGT131059:PGV131081 PQP131059:PQR131081 QAL131059:QAN131081 QKH131059:QKJ131081 QUD131059:QUF131081 RDZ131059:REB131081 RNV131059:RNX131081 RXR131059:RXT131081 SHN131059:SHP131081 SRJ131059:SRL131081 TBF131059:TBH131081 TLB131059:TLD131081 TUX131059:TUZ131081 UET131059:UEV131081 UOP131059:UOR131081 UYL131059:UYN131081 VIH131059:VIJ131081 VSD131059:VSF131081 WBZ131059:WCB131081 WLV131059:WLX131081 WVR131059:WVT131081 J196595:L196617 JF196595:JH196617 TB196595:TD196617 ACX196595:ACZ196617 AMT196595:AMV196617 AWP196595:AWR196617 BGL196595:BGN196617 BQH196595:BQJ196617 CAD196595:CAF196617 CJZ196595:CKB196617 CTV196595:CTX196617 DDR196595:DDT196617 DNN196595:DNP196617 DXJ196595:DXL196617 EHF196595:EHH196617 ERB196595:ERD196617 FAX196595:FAZ196617 FKT196595:FKV196617 FUP196595:FUR196617 GEL196595:GEN196617 GOH196595:GOJ196617 GYD196595:GYF196617 HHZ196595:HIB196617 HRV196595:HRX196617 IBR196595:IBT196617 ILN196595:ILP196617 IVJ196595:IVL196617 JFF196595:JFH196617 JPB196595:JPD196617 JYX196595:JYZ196617 KIT196595:KIV196617 KSP196595:KSR196617 LCL196595:LCN196617 LMH196595:LMJ196617 LWD196595:LWF196617 MFZ196595:MGB196617 MPV196595:MPX196617 MZR196595:MZT196617 NJN196595:NJP196617 NTJ196595:NTL196617 ODF196595:ODH196617 ONB196595:OND196617 OWX196595:OWZ196617 PGT196595:PGV196617 PQP196595:PQR196617 QAL196595:QAN196617 QKH196595:QKJ196617 QUD196595:QUF196617 RDZ196595:REB196617 RNV196595:RNX196617 RXR196595:RXT196617 SHN196595:SHP196617 SRJ196595:SRL196617 TBF196595:TBH196617 TLB196595:TLD196617 TUX196595:TUZ196617 UET196595:UEV196617 UOP196595:UOR196617 UYL196595:UYN196617 VIH196595:VIJ196617 VSD196595:VSF196617 WBZ196595:WCB196617 WLV196595:WLX196617 WVR196595:WVT196617 J262131:L262153 JF262131:JH262153 TB262131:TD262153 ACX262131:ACZ262153 AMT262131:AMV262153 AWP262131:AWR262153 BGL262131:BGN262153 BQH262131:BQJ262153 CAD262131:CAF262153 CJZ262131:CKB262153 CTV262131:CTX262153 DDR262131:DDT262153 DNN262131:DNP262153 DXJ262131:DXL262153 EHF262131:EHH262153 ERB262131:ERD262153 FAX262131:FAZ262153 FKT262131:FKV262153 FUP262131:FUR262153 GEL262131:GEN262153 GOH262131:GOJ262153 GYD262131:GYF262153 HHZ262131:HIB262153 HRV262131:HRX262153 IBR262131:IBT262153 ILN262131:ILP262153 IVJ262131:IVL262153 JFF262131:JFH262153 JPB262131:JPD262153 JYX262131:JYZ262153 KIT262131:KIV262153 KSP262131:KSR262153 LCL262131:LCN262153 LMH262131:LMJ262153 LWD262131:LWF262153 MFZ262131:MGB262153 MPV262131:MPX262153 MZR262131:MZT262153 NJN262131:NJP262153 NTJ262131:NTL262153 ODF262131:ODH262153 ONB262131:OND262153 OWX262131:OWZ262153 PGT262131:PGV262153 PQP262131:PQR262153 QAL262131:QAN262153 QKH262131:QKJ262153 QUD262131:QUF262153 RDZ262131:REB262153 RNV262131:RNX262153 RXR262131:RXT262153 SHN262131:SHP262153 SRJ262131:SRL262153 TBF262131:TBH262153 TLB262131:TLD262153 TUX262131:TUZ262153 UET262131:UEV262153 UOP262131:UOR262153 UYL262131:UYN262153 VIH262131:VIJ262153 VSD262131:VSF262153 WBZ262131:WCB262153 WLV262131:WLX262153 WVR262131:WVT262153 J327667:L327689 JF327667:JH327689 TB327667:TD327689 ACX327667:ACZ327689 AMT327667:AMV327689 AWP327667:AWR327689 BGL327667:BGN327689 BQH327667:BQJ327689 CAD327667:CAF327689 CJZ327667:CKB327689 CTV327667:CTX327689 DDR327667:DDT327689 DNN327667:DNP327689 DXJ327667:DXL327689 EHF327667:EHH327689 ERB327667:ERD327689 FAX327667:FAZ327689 FKT327667:FKV327689 FUP327667:FUR327689 GEL327667:GEN327689 GOH327667:GOJ327689 GYD327667:GYF327689 HHZ327667:HIB327689 HRV327667:HRX327689 IBR327667:IBT327689 ILN327667:ILP327689 IVJ327667:IVL327689 JFF327667:JFH327689 JPB327667:JPD327689 JYX327667:JYZ327689 KIT327667:KIV327689 KSP327667:KSR327689 LCL327667:LCN327689 LMH327667:LMJ327689 LWD327667:LWF327689 MFZ327667:MGB327689 MPV327667:MPX327689 MZR327667:MZT327689 NJN327667:NJP327689 NTJ327667:NTL327689 ODF327667:ODH327689 ONB327667:OND327689 OWX327667:OWZ327689 PGT327667:PGV327689 PQP327667:PQR327689 QAL327667:QAN327689 QKH327667:QKJ327689 QUD327667:QUF327689 RDZ327667:REB327689 RNV327667:RNX327689 RXR327667:RXT327689 SHN327667:SHP327689 SRJ327667:SRL327689 TBF327667:TBH327689 TLB327667:TLD327689 TUX327667:TUZ327689 UET327667:UEV327689 UOP327667:UOR327689 UYL327667:UYN327689 VIH327667:VIJ327689 VSD327667:VSF327689 WBZ327667:WCB327689 WLV327667:WLX327689 WVR327667:WVT327689 J393203:L393225 JF393203:JH393225 TB393203:TD393225 ACX393203:ACZ393225 AMT393203:AMV393225 AWP393203:AWR393225 BGL393203:BGN393225 BQH393203:BQJ393225 CAD393203:CAF393225 CJZ393203:CKB393225 CTV393203:CTX393225 DDR393203:DDT393225 DNN393203:DNP393225 DXJ393203:DXL393225 EHF393203:EHH393225 ERB393203:ERD393225 FAX393203:FAZ393225 FKT393203:FKV393225 FUP393203:FUR393225 GEL393203:GEN393225 GOH393203:GOJ393225 GYD393203:GYF393225 HHZ393203:HIB393225 HRV393203:HRX393225 IBR393203:IBT393225 ILN393203:ILP393225 IVJ393203:IVL393225 JFF393203:JFH393225 JPB393203:JPD393225 JYX393203:JYZ393225 KIT393203:KIV393225 KSP393203:KSR393225 LCL393203:LCN393225 LMH393203:LMJ393225 LWD393203:LWF393225 MFZ393203:MGB393225 MPV393203:MPX393225 MZR393203:MZT393225 NJN393203:NJP393225 NTJ393203:NTL393225 ODF393203:ODH393225 ONB393203:OND393225 OWX393203:OWZ393225 PGT393203:PGV393225 PQP393203:PQR393225 QAL393203:QAN393225 QKH393203:QKJ393225 QUD393203:QUF393225 RDZ393203:REB393225 RNV393203:RNX393225 RXR393203:RXT393225 SHN393203:SHP393225 SRJ393203:SRL393225 TBF393203:TBH393225 TLB393203:TLD393225 TUX393203:TUZ393225 UET393203:UEV393225 UOP393203:UOR393225 UYL393203:UYN393225 VIH393203:VIJ393225 VSD393203:VSF393225 WBZ393203:WCB393225 WLV393203:WLX393225 WVR393203:WVT393225 J458739:L458761 JF458739:JH458761 TB458739:TD458761 ACX458739:ACZ458761 AMT458739:AMV458761 AWP458739:AWR458761 BGL458739:BGN458761 BQH458739:BQJ458761 CAD458739:CAF458761 CJZ458739:CKB458761 CTV458739:CTX458761 DDR458739:DDT458761 DNN458739:DNP458761 DXJ458739:DXL458761 EHF458739:EHH458761 ERB458739:ERD458761 FAX458739:FAZ458761 FKT458739:FKV458761 FUP458739:FUR458761 GEL458739:GEN458761 GOH458739:GOJ458761 GYD458739:GYF458761 HHZ458739:HIB458761 HRV458739:HRX458761 IBR458739:IBT458761 ILN458739:ILP458761 IVJ458739:IVL458761 JFF458739:JFH458761 JPB458739:JPD458761 JYX458739:JYZ458761 KIT458739:KIV458761 KSP458739:KSR458761 LCL458739:LCN458761 LMH458739:LMJ458761 LWD458739:LWF458761 MFZ458739:MGB458761 MPV458739:MPX458761 MZR458739:MZT458761 NJN458739:NJP458761 NTJ458739:NTL458761 ODF458739:ODH458761 ONB458739:OND458761 OWX458739:OWZ458761 PGT458739:PGV458761 PQP458739:PQR458761 QAL458739:QAN458761 QKH458739:QKJ458761 QUD458739:QUF458761 RDZ458739:REB458761 RNV458739:RNX458761 RXR458739:RXT458761 SHN458739:SHP458761 SRJ458739:SRL458761 TBF458739:TBH458761 TLB458739:TLD458761 TUX458739:TUZ458761 UET458739:UEV458761 UOP458739:UOR458761 UYL458739:UYN458761 VIH458739:VIJ458761 VSD458739:VSF458761 WBZ458739:WCB458761 WLV458739:WLX458761 WVR458739:WVT458761 J524275:L524297 JF524275:JH524297 TB524275:TD524297 ACX524275:ACZ524297 AMT524275:AMV524297 AWP524275:AWR524297 BGL524275:BGN524297 BQH524275:BQJ524297 CAD524275:CAF524297 CJZ524275:CKB524297 CTV524275:CTX524297 DDR524275:DDT524297 DNN524275:DNP524297 DXJ524275:DXL524297 EHF524275:EHH524297 ERB524275:ERD524297 FAX524275:FAZ524297 FKT524275:FKV524297 FUP524275:FUR524297 GEL524275:GEN524297 GOH524275:GOJ524297 GYD524275:GYF524297 HHZ524275:HIB524297 HRV524275:HRX524297 IBR524275:IBT524297 ILN524275:ILP524297 IVJ524275:IVL524297 JFF524275:JFH524297 JPB524275:JPD524297 JYX524275:JYZ524297 KIT524275:KIV524297 KSP524275:KSR524297 LCL524275:LCN524297 LMH524275:LMJ524297 LWD524275:LWF524297 MFZ524275:MGB524297 MPV524275:MPX524297 MZR524275:MZT524297 NJN524275:NJP524297 NTJ524275:NTL524297 ODF524275:ODH524297 ONB524275:OND524297 OWX524275:OWZ524297 PGT524275:PGV524297 PQP524275:PQR524297 QAL524275:QAN524297 QKH524275:QKJ524297 QUD524275:QUF524297 RDZ524275:REB524297 RNV524275:RNX524297 RXR524275:RXT524297 SHN524275:SHP524297 SRJ524275:SRL524297 TBF524275:TBH524297 TLB524275:TLD524297 TUX524275:TUZ524297 UET524275:UEV524297 UOP524275:UOR524297 UYL524275:UYN524297 VIH524275:VIJ524297 VSD524275:VSF524297 WBZ524275:WCB524297 WLV524275:WLX524297 WVR524275:WVT524297 J589811:L589833 JF589811:JH589833 TB589811:TD589833 ACX589811:ACZ589833 AMT589811:AMV589833 AWP589811:AWR589833 BGL589811:BGN589833 BQH589811:BQJ589833 CAD589811:CAF589833 CJZ589811:CKB589833 CTV589811:CTX589833 DDR589811:DDT589833 DNN589811:DNP589833 DXJ589811:DXL589833 EHF589811:EHH589833 ERB589811:ERD589833 FAX589811:FAZ589833 FKT589811:FKV589833 FUP589811:FUR589833 GEL589811:GEN589833 GOH589811:GOJ589833 GYD589811:GYF589833 HHZ589811:HIB589833 HRV589811:HRX589833 IBR589811:IBT589833 ILN589811:ILP589833 IVJ589811:IVL589833 JFF589811:JFH589833 JPB589811:JPD589833 JYX589811:JYZ589833 KIT589811:KIV589833 KSP589811:KSR589833 LCL589811:LCN589833 LMH589811:LMJ589833 LWD589811:LWF589833 MFZ589811:MGB589833 MPV589811:MPX589833 MZR589811:MZT589833 NJN589811:NJP589833 NTJ589811:NTL589833 ODF589811:ODH589833 ONB589811:OND589833 OWX589811:OWZ589833 PGT589811:PGV589833 PQP589811:PQR589833 QAL589811:QAN589833 QKH589811:QKJ589833 QUD589811:QUF589833 RDZ589811:REB589833 RNV589811:RNX589833 RXR589811:RXT589833 SHN589811:SHP589833 SRJ589811:SRL589833 TBF589811:TBH589833 TLB589811:TLD589833 TUX589811:TUZ589833 UET589811:UEV589833 UOP589811:UOR589833 UYL589811:UYN589833 VIH589811:VIJ589833 VSD589811:VSF589833 WBZ589811:WCB589833 WLV589811:WLX589833 WVR589811:WVT589833 J655347:L655369 JF655347:JH655369 TB655347:TD655369 ACX655347:ACZ655369 AMT655347:AMV655369 AWP655347:AWR655369 BGL655347:BGN655369 BQH655347:BQJ655369 CAD655347:CAF655369 CJZ655347:CKB655369 CTV655347:CTX655369 DDR655347:DDT655369 DNN655347:DNP655369 DXJ655347:DXL655369 EHF655347:EHH655369 ERB655347:ERD655369 FAX655347:FAZ655369 FKT655347:FKV655369 FUP655347:FUR655369 GEL655347:GEN655369 GOH655347:GOJ655369 GYD655347:GYF655369 HHZ655347:HIB655369 HRV655347:HRX655369 IBR655347:IBT655369 ILN655347:ILP655369 IVJ655347:IVL655369 JFF655347:JFH655369 JPB655347:JPD655369 JYX655347:JYZ655369 KIT655347:KIV655369 KSP655347:KSR655369 LCL655347:LCN655369 LMH655347:LMJ655369 LWD655347:LWF655369 MFZ655347:MGB655369 MPV655347:MPX655369 MZR655347:MZT655369 NJN655347:NJP655369 NTJ655347:NTL655369 ODF655347:ODH655369 ONB655347:OND655369 OWX655347:OWZ655369 PGT655347:PGV655369 PQP655347:PQR655369 QAL655347:QAN655369 QKH655347:QKJ655369 QUD655347:QUF655369 RDZ655347:REB655369 RNV655347:RNX655369 RXR655347:RXT655369 SHN655347:SHP655369 SRJ655347:SRL655369 TBF655347:TBH655369 TLB655347:TLD655369 TUX655347:TUZ655369 UET655347:UEV655369 UOP655347:UOR655369 UYL655347:UYN655369 VIH655347:VIJ655369 VSD655347:VSF655369 WBZ655347:WCB655369 WLV655347:WLX655369 WVR655347:WVT655369 J720883:L720905 JF720883:JH720905 TB720883:TD720905 ACX720883:ACZ720905 AMT720883:AMV720905 AWP720883:AWR720905 BGL720883:BGN720905 BQH720883:BQJ720905 CAD720883:CAF720905 CJZ720883:CKB720905 CTV720883:CTX720905 DDR720883:DDT720905 DNN720883:DNP720905 DXJ720883:DXL720905 EHF720883:EHH720905 ERB720883:ERD720905 FAX720883:FAZ720905 FKT720883:FKV720905 FUP720883:FUR720905 GEL720883:GEN720905 GOH720883:GOJ720905 GYD720883:GYF720905 HHZ720883:HIB720905 HRV720883:HRX720905 IBR720883:IBT720905 ILN720883:ILP720905 IVJ720883:IVL720905 JFF720883:JFH720905 JPB720883:JPD720905 JYX720883:JYZ720905 KIT720883:KIV720905 KSP720883:KSR720905 LCL720883:LCN720905 LMH720883:LMJ720905 LWD720883:LWF720905 MFZ720883:MGB720905 MPV720883:MPX720905 MZR720883:MZT720905 NJN720883:NJP720905 NTJ720883:NTL720905 ODF720883:ODH720905 ONB720883:OND720905 OWX720883:OWZ720905 PGT720883:PGV720905 PQP720883:PQR720905 QAL720883:QAN720905 QKH720883:QKJ720905 QUD720883:QUF720905 RDZ720883:REB720905 RNV720883:RNX720905 RXR720883:RXT720905 SHN720883:SHP720905 SRJ720883:SRL720905 TBF720883:TBH720905 TLB720883:TLD720905 TUX720883:TUZ720905 UET720883:UEV720905 UOP720883:UOR720905 UYL720883:UYN720905 VIH720883:VIJ720905 VSD720883:VSF720905 WBZ720883:WCB720905 WLV720883:WLX720905 WVR720883:WVT720905 J786419:L786441 JF786419:JH786441 TB786419:TD786441 ACX786419:ACZ786441 AMT786419:AMV786441 AWP786419:AWR786441 BGL786419:BGN786441 BQH786419:BQJ786441 CAD786419:CAF786441 CJZ786419:CKB786441 CTV786419:CTX786441 DDR786419:DDT786441 DNN786419:DNP786441 DXJ786419:DXL786441 EHF786419:EHH786441 ERB786419:ERD786441 FAX786419:FAZ786441 FKT786419:FKV786441 FUP786419:FUR786441 GEL786419:GEN786441 GOH786419:GOJ786441 GYD786419:GYF786441 HHZ786419:HIB786441 HRV786419:HRX786441 IBR786419:IBT786441 ILN786419:ILP786441 IVJ786419:IVL786441 JFF786419:JFH786441 JPB786419:JPD786441 JYX786419:JYZ786441 KIT786419:KIV786441 KSP786419:KSR786441 LCL786419:LCN786441 LMH786419:LMJ786441 LWD786419:LWF786441 MFZ786419:MGB786441 MPV786419:MPX786441 MZR786419:MZT786441 NJN786419:NJP786441 NTJ786419:NTL786441 ODF786419:ODH786441 ONB786419:OND786441 OWX786419:OWZ786441 PGT786419:PGV786441 PQP786419:PQR786441 QAL786419:QAN786441 QKH786419:QKJ786441 QUD786419:QUF786441 RDZ786419:REB786441 RNV786419:RNX786441 RXR786419:RXT786441 SHN786419:SHP786441 SRJ786419:SRL786441 TBF786419:TBH786441 TLB786419:TLD786441 TUX786419:TUZ786441 UET786419:UEV786441 UOP786419:UOR786441 UYL786419:UYN786441 VIH786419:VIJ786441 VSD786419:VSF786441 WBZ786419:WCB786441 WLV786419:WLX786441 WVR786419:WVT786441 J851955:L851977 JF851955:JH851977 TB851955:TD851977 ACX851955:ACZ851977 AMT851955:AMV851977 AWP851955:AWR851977 BGL851955:BGN851977 BQH851955:BQJ851977 CAD851955:CAF851977 CJZ851955:CKB851977 CTV851955:CTX851977 DDR851955:DDT851977 DNN851955:DNP851977 DXJ851955:DXL851977 EHF851955:EHH851977 ERB851955:ERD851977 FAX851955:FAZ851977 FKT851955:FKV851977 FUP851955:FUR851977 GEL851955:GEN851977 GOH851955:GOJ851977 GYD851955:GYF851977 HHZ851955:HIB851977 HRV851955:HRX851977 IBR851955:IBT851977 ILN851955:ILP851977 IVJ851955:IVL851977 JFF851955:JFH851977 JPB851955:JPD851977 JYX851955:JYZ851977 KIT851955:KIV851977 KSP851955:KSR851977 LCL851955:LCN851977 LMH851955:LMJ851977 LWD851955:LWF851977 MFZ851955:MGB851977 MPV851955:MPX851977 MZR851955:MZT851977 NJN851955:NJP851977 NTJ851955:NTL851977 ODF851955:ODH851977 ONB851955:OND851977 OWX851955:OWZ851977 PGT851955:PGV851977 PQP851955:PQR851977 QAL851955:QAN851977 QKH851955:QKJ851977 QUD851955:QUF851977 RDZ851955:REB851977 RNV851955:RNX851977 RXR851955:RXT851977 SHN851955:SHP851977 SRJ851955:SRL851977 TBF851955:TBH851977 TLB851955:TLD851977 TUX851955:TUZ851977 UET851955:UEV851977 UOP851955:UOR851977 UYL851955:UYN851977 VIH851955:VIJ851977 VSD851955:VSF851977 WBZ851955:WCB851977 WLV851955:WLX851977 WVR851955:WVT851977 J917491:L917513 JF917491:JH917513 TB917491:TD917513 ACX917491:ACZ917513 AMT917491:AMV917513 AWP917491:AWR917513 BGL917491:BGN917513 BQH917491:BQJ917513 CAD917491:CAF917513 CJZ917491:CKB917513 CTV917491:CTX917513 DDR917491:DDT917513 DNN917491:DNP917513 DXJ917491:DXL917513 EHF917491:EHH917513 ERB917491:ERD917513 FAX917491:FAZ917513 FKT917491:FKV917513 FUP917491:FUR917513 GEL917491:GEN917513 GOH917491:GOJ917513 GYD917491:GYF917513 HHZ917491:HIB917513 HRV917491:HRX917513 IBR917491:IBT917513 ILN917491:ILP917513 IVJ917491:IVL917513 JFF917491:JFH917513 JPB917491:JPD917513 JYX917491:JYZ917513 KIT917491:KIV917513 KSP917491:KSR917513 LCL917491:LCN917513 LMH917491:LMJ917513 LWD917491:LWF917513 MFZ917491:MGB917513 MPV917491:MPX917513 MZR917491:MZT917513 NJN917491:NJP917513 NTJ917491:NTL917513 ODF917491:ODH917513 ONB917491:OND917513 OWX917491:OWZ917513 PGT917491:PGV917513 PQP917491:PQR917513 QAL917491:QAN917513 QKH917491:QKJ917513 QUD917491:QUF917513 RDZ917491:REB917513 RNV917491:RNX917513 RXR917491:RXT917513 SHN917491:SHP917513 SRJ917491:SRL917513 TBF917491:TBH917513 TLB917491:TLD917513 TUX917491:TUZ917513 UET917491:UEV917513 UOP917491:UOR917513 UYL917491:UYN917513 VIH917491:VIJ917513 VSD917491:VSF917513 WBZ917491:WCB917513 WLV917491:WLX917513 WVR917491:WVT917513 J983027:L983049 JF983027:JH983049 TB983027:TD983049 ACX983027:ACZ983049 AMT983027:AMV983049 AWP983027:AWR983049 BGL983027:BGN983049 BQH983027:BQJ983049 CAD983027:CAF983049 CJZ983027:CKB983049 CTV983027:CTX983049 DDR983027:DDT983049 DNN983027:DNP983049 DXJ983027:DXL983049 EHF983027:EHH983049 ERB983027:ERD983049 FAX983027:FAZ983049 FKT983027:FKV983049 FUP983027:FUR983049 GEL983027:GEN983049 GOH983027:GOJ983049 GYD983027:GYF983049 HHZ983027:HIB983049 HRV983027:HRX983049 IBR983027:IBT983049 ILN983027:ILP983049 IVJ983027:IVL983049 JFF983027:JFH983049 JPB983027:JPD983049 JYX983027:JYZ983049 KIT983027:KIV983049 KSP983027:KSR983049 LCL983027:LCN983049 LMH983027:LMJ983049 LWD983027:LWF983049 MFZ983027:MGB983049 MPV983027:MPX983049 MZR983027:MZT983049 NJN983027:NJP983049 NTJ983027:NTL983049 ODF983027:ODH983049 ONB983027:OND983049 OWX983027:OWZ983049 PGT983027:PGV983049 PQP983027:PQR983049 QAL983027:QAN983049 QKH983027:QKJ983049 QUD983027:QUF983049 RDZ983027:REB983049 RNV983027:RNX983049 RXR983027:RXT983049 SHN983027:SHP983049 SRJ983027:SRL983049 TBF983027:TBH983049 TLB983027:TLD983049 TUX983027:TUZ983049 UET983027:UEV983049 UOP983027:UOR983049 UYL983027:UYN983049 VIH983027:VIJ983049 VSD983027:VSF983049 WBZ983027:WCB983049 WLV983027:WLX983049 WVR983027:WVT983049 G50:H73 D17:D40 D50:D73 G17:H40" xr:uid="{7763F0F7-7262-4157-8BA0-4661C1E36A1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9A8CB768-8540-4745-AD94-3C0277C87E03}">
            <xm:f>TITELBLAD!$F$16="ex-ante"</xm:f>
            <x14:dxf>
              <fill>
                <patternFill patternType="lightUp"/>
              </fill>
            </x14:dxf>
          </x14:cfRule>
          <xm:sqref>A47:I76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235F-ABB3-4F98-9CD1-5146AB4A39E8}">
  <sheetPr>
    <pageSetUpPr fitToPage="1"/>
  </sheetPr>
  <dimension ref="A1:Q34"/>
  <sheetViews>
    <sheetView zoomScaleNormal="100" workbookViewId="0">
      <selection activeCell="E32" sqref="E32"/>
    </sheetView>
  </sheetViews>
  <sheetFormatPr defaultColWidth="9.1796875" defaultRowHeight="12.5" x14ac:dyDescent="0.25"/>
  <cols>
    <col min="1" max="1" width="9.1796875" style="608"/>
    <col min="2" max="2" width="26.54296875" style="608" bestFit="1" customWidth="1"/>
    <col min="3" max="3" width="34.81640625" style="608" bestFit="1" customWidth="1"/>
    <col min="4" max="5" width="25.7265625" style="608" customWidth="1"/>
    <col min="6" max="7" width="18.453125" style="608" customWidth="1"/>
    <col min="8" max="257" width="9.1796875" style="608"/>
    <col min="258" max="258" width="26.54296875" style="608" bestFit="1" customWidth="1"/>
    <col min="259" max="259" width="34.81640625" style="608" bestFit="1" customWidth="1"/>
    <col min="260" max="263" width="18.453125" style="608" customWidth="1"/>
    <col min="264" max="513" width="9.1796875" style="608"/>
    <col min="514" max="514" width="26.54296875" style="608" bestFit="1" customWidth="1"/>
    <col min="515" max="515" width="34.81640625" style="608" bestFit="1" customWidth="1"/>
    <col min="516" max="519" width="18.453125" style="608" customWidth="1"/>
    <col min="520" max="769" width="9.1796875" style="608"/>
    <col min="770" max="770" width="26.54296875" style="608" bestFit="1" customWidth="1"/>
    <col min="771" max="771" width="34.81640625" style="608" bestFit="1" customWidth="1"/>
    <col min="772" max="775" width="18.453125" style="608" customWidth="1"/>
    <col min="776" max="1025" width="9.1796875" style="608"/>
    <col min="1026" max="1026" width="26.54296875" style="608" bestFit="1" customWidth="1"/>
    <col min="1027" max="1027" width="34.81640625" style="608" bestFit="1" customWidth="1"/>
    <col min="1028" max="1031" width="18.453125" style="608" customWidth="1"/>
    <col min="1032" max="1281" width="9.1796875" style="608"/>
    <col min="1282" max="1282" width="26.54296875" style="608" bestFit="1" customWidth="1"/>
    <col min="1283" max="1283" width="34.81640625" style="608" bestFit="1" customWidth="1"/>
    <col min="1284" max="1287" width="18.453125" style="608" customWidth="1"/>
    <col min="1288" max="1537" width="9.1796875" style="608"/>
    <col min="1538" max="1538" width="26.54296875" style="608" bestFit="1" customWidth="1"/>
    <col min="1539" max="1539" width="34.81640625" style="608" bestFit="1" customWidth="1"/>
    <col min="1540" max="1543" width="18.453125" style="608" customWidth="1"/>
    <col min="1544" max="1793" width="9.1796875" style="608"/>
    <col min="1794" max="1794" width="26.54296875" style="608" bestFit="1" customWidth="1"/>
    <col min="1795" max="1795" width="34.81640625" style="608" bestFit="1" customWidth="1"/>
    <col min="1796" max="1799" width="18.453125" style="608" customWidth="1"/>
    <col min="1800" max="2049" width="9.1796875" style="608"/>
    <col min="2050" max="2050" width="26.54296875" style="608" bestFit="1" customWidth="1"/>
    <col min="2051" max="2051" width="34.81640625" style="608" bestFit="1" customWidth="1"/>
    <col min="2052" max="2055" width="18.453125" style="608" customWidth="1"/>
    <col min="2056" max="2305" width="9.1796875" style="608"/>
    <col min="2306" max="2306" width="26.54296875" style="608" bestFit="1" customWidth="1"/>
    <col min="2307" max="2307" width="34.81640625" style="608" bestFit="1" customWidth="1"/>
    <col min="2308" max="2311" width="18.453125" style="608" customWidth="1"/>
    <col min="2312" max="2561" width="9.1796875" style="608"/>
    <col min="2562" max="2562" width="26.54296875" style="608" bestFit="1" customWidth="1"/>
    <col min="2563" max="2563" width="34.81640625" style="608" bestFit="1" customWidth="1"/>
    <col min="2564" max="2567" width="18.453125" style="608" customWidth="1"/>
    <col min="2568" max="2817" width="9.1796875" style="608"/>
    <col min="2818" max="2818" width="26.54296875" style="608" bestFit="1" customWidth="1"/>
    <col min="2819" max="2819" width="34.81640625" style="608" bestFit="1" customWidth="1"/>
    <col min="2820" max="2823" width="18.453125" style="608" customWidth="1"/>
    <col min="2824" max="3073" width="9.1796875" style="608"/>
    <col min="3074" max="3074" width="26.54296875" style="608" bestFit="1" customWidth="1"/>
    <col min="3075" max="3075" width="34.81640625" style="608" bestFit="1" customWidth="1"/>
    <col min="3076" max="3079" width="18.453125" style="608" customWidth="1"/>
    <col min="3080" max="3329" width="9.1796875" style="608"/>
    <col min="3330" max="3330" width="26.54296875" style="608" bestFit="1" customWidth="1"/>
    <col min="3331" max="3331" width="34.81640625" style="608" bestFit="1" customWidth="1"/>
    <col min="3332" max="3335" width="18.453125" style="608" customWidth="1"/>
    <col min="3336" max="3585" width="9.1796875" style="608"/>
    <col min="3586" max="3586" width="26.54296875" style="608" bestFit="1" customWidth="1"/>
    <col min="3587" max="3587" width="34.81640625" style="608" bestFit="1" customWidth="1"/>
    <col min="3588" max="3591" width="18.453125" style="608" customWidth="1"/>
    <col min="3592" max="3841" width="9.1796875" style="608"/>
    <col min="3842" max="3842" width="26.54296875" style="608" bestFit="1" customWidth="1"/>
    <col min="3843" max="3843" width="34.81640625" style="608" bestFit="1" customWidth="1"/>
    <col min="3844" max="3847" width="18.453125" style="608" customWidth="1"/>
    <col min="3848" max="4097" width="9.1796875" style="608"/>
    <col min="4098" max="4098" width="26.54296875" style="608" bestFit="1" customWidth="1"/>
    <col min="4099" max="4099" width="34.81640625" style="608" bestFit="1" customWidth="1"/>
    <col min="4100" max="4103" width="18.453125" style="608" customWidth="1"/>
    <col min="4104" max="4353" width="9.1796875" style="608"/>
    <col min="4354" max="4354" width="26.54296875" style="608" bestFit="1" customWidth="1"/>
    <col min="4355" max="4355" width="34.81640625" style="608" bestFit="1" customWidth="1"/>
    <col min="4356" max="4359" width="18.453125" style="608" customWidth="1"/>
    <col min="4360" max="4609" width="9.1796875" style="608"/>
    <col min="4610" max="4610" width="26.54296875" style="608" bestFit="1" customWidth="1"/>
    <col min="4611" max="4611" width="34.81640625" style="608" bestFit="1" customWidth="1"/>
    <col min="4612" max="4615" width="18.453125" style="608" customWidth="1"/>
    <col min="4616" max="4865" width="9.1796875" style="608"/>
    <col min="4866" max="4866" width="26.54296875" style="608" bestFit="1" customWidth="1"/>
    <col min="4867" max="4867" width="34.81640625" style="608" bestFit="1" customWidth="1"/>
    <col min="4868" max="4871" width="18.453125" style="608" customWidth="1"/>
    <col min="4872" max="5121" width="9.1796875" style="608"/>
    <col min="5122" max="5122" width="26.54296875" style="608" bestFit="1" customWidth="1"/>
    <col min="5123" max="5123" width="34.81640625" style="608" bestFit="1" customWidth="1"/>
    <col min="5124" max="5127" width="18.453125" style="608" customWidth="1"/>
    <col min="5128" max="5377" width="9.1796875" style="608"/>
    <col min="5378" max="5378" width="26.54296875" style="608" bestFit="1" customWidth="1"/>
    <col min="5379" max="5379" width="34.81640625" style="608" bestFit="1" customWidth="1"/>
    <col min="5380" max="5383" width="18.453125" style="608" customWidth="1"/>
    <col min="5384" max="5633" width="9.1796875" style="608"/>
    <col min="5634" max="5634" width="26.54296875" style="608" bestFit="1" customWidth="1"/>
    <col min="5635" max="5635" width="34.81640625" style="608" bestFit="1" customWidth="1"/>
    <col min="5636" max="5639" width="18.453125" style="608" customWidth="1"/>
    <col min="5640" max="5889" width="9.1796875" style="608"/>
    <col min="5890" max="5890" width="26.54296875" style="608" bestFit="1" customWidth="1"/>
    <col min="5891" max="5891" width="34.81640625" style="608" bestFit="1" customWidth="1"/>
    <col min="5892" max="5895" width="18.453125" style="608" customWidth="1"/>
    <col min="5896" max="6145" width="9.1796875" style="608"/>
    <col min="6146" max="6146" width="26.54296875" style="608" bestFit="1" customWidth="1"/>
    <col min="6147" max="6147" width="34.81640625" style="608" bestFit="1" customWidth="1"/>
    <col min="6148" max="6151" width="18.453125" style="608" customWidth="1"/>
    <col min="6152" max="6401" width="9.1796875" style="608"/>
    <col min="6402" max="6402" width="26.54296875" style="608" bestFit="1" customWidth="1"/>
    <col min="6403" max="6403" width="34.81640625" style="608" bestFit="1" customWidth="1"/>
    <col min="6404" max="6407" width="18.453125" style="608" customWidth="1"/>
    <col min="6408" max="6657" width="9.1796875" style="608"/>
    <col min="6658" max="6658" width="26.54296875" style="608" bestFit="1" customWidth="1"/>
    <col min="6659" max="6659" width="34.81640625" style="608" bestFit="1" customWidth="1"/>
    <col min="6660" max="6663" width="18.453125" style="608" customWidth="1"/>
    <col min="6664" max="6913" width="9.1796875" style="608"/>
    <col min="6914" max="6914" width="26.54296875" style="608" bestFit="1" customWidth="1"/>
    <col min="6915" max="6915" width="34.81640625" style="608" bestFit="1" customWidth="1"/>
    <col min="6916" max="6919" width="18.453125" style="608" customWidth="1"/>
    <col min="6920" max="7169" width="9.1796875" style="608"/>
    <col min="7170" max="7170" width="26.54296875" style="608" bestFit="1" customWidth="1"/>
    <col min="7171" max="7171" width="34.81640625" style="608" bestFit="1" customWidth="1"/>
    <col min="7172" max="7175" width="18.453125" style="608" customWidth="1"/>
    <col min="7176" max="7425" width="9.1796875" style="608"/>
    <col min="7426" max="7426" width="26.54296875" style="608" bestFit="1" customWidth="1"/>
    <col min="7427" max="7427" width="34.81640625" style="608" bestFit="1" customWidth="1"/>
    <col min="7428" max="7431" width="18.453125" style="608" customWidth="1"/>
    <col min="7432" max="7681" width="9.1796875" style="608"/>
    <col min="7682" max="7682" width="26.54296875" style="608" bestFit="1" customWidth="1"/>
    <col min="7683" max="7683" width="34.81640625" style="608" bestFit="1" customWidth="1"/>
    <col min="7684" max="7687" width="18.453125" style="608" customWidth="1"/>
    <col min="7688" max="7937" width="9.1796875" style="608"/>
    <col min="7938" max="7938" width="26.54296875" style="608" bestFit="1" customWidth="1"/>
    <col min="7939" max="7939" width="34.81640625" style="608" bestFit="1" customWidth="1"/>
    <col min="7940" max="7943" width="18.453125" style="608" customWidth="1"/>
    <col min="7944" max="8193" width="9.1796875" style="608"/>
    <col min="8194" max="8194" width="26.54296875" style="608" bestFit="1" customWidth="1"/>
    <col min="8195" max="8195" width="34.81640625" style="608" bestFit="1" customWidth="1"/>
    <col min="8196" max="8199" width="18.453125" style="608" customWidth="1"/>
    <col min="8200" max="8449" width="9.1796875" style="608"/>
    <col min="8450" max="8450" width="26.54296875" style="608" bestFit="1" customWidth="1"/>
    <col min="8451" max="8451" width="34.81640625" style="608" bestFit="1" customWidth="1"/>
    <col min="8452" max="8455" width="18.453125" style="608" customWidth="1"/>
    <col min="8456" max="8705" width="9.1796875" style="608"/>
    <col min="8706" max="8706" width="26.54296875" style="608" bestFit="1" customWidth="1"/>
    <col min="8707" max="8707" width="34.81640625" style="608" bestFit="1" customWidth="1"/>
    <col min="8708" max="8711" width="18.453125" style="608" customWidth="1"/>
    <col min="8712" max="8961" width="9.1796875" style="608"/>
    <col min="8962" max="8962" width="26.54296875" style="608" bestFit="1" customWidth="1"/>
    <col min="8963" max="8963" width="34.81640625" style="608" bestFit="1" customWidth="1"/>
    <col min="8964" max="8967" width="18.453125" style="608" customWidth="1"/>
    <col min="8968" max="9217" width="9.1796875" style="608"/>
    <col min="9218" max="9218" width="26.54296875" style="608" bestFit="1" customWidth="1"/>
    <col min="9219" max="9219" width="34.81640625" style="608" bestFit="1" customWidth="1"/>
    <col min="9220" max="9223" width="18.453125" style="608" customWidth="1"/>
    <col min="9224" max="9473" width="9.1796875" style="608"/>
    <col min="9474" max="9474" width="26.54296875" style="608" bestFit="1" customWidth="1"/>
    <col min="9475" max="9475" width="34.81640625" style="608" bestFit="1" customWidth="1"/>
    <col min="9476" max="9479" width="18.453125" style="608" customWidth="1"/>
    <col min="9480" max="9729" width="9.1796875" style="608"/>
    <col min="9730" max="9730" width="26.54296875" style="608" bestFit="1" customWidth="1"/>
    <col min="9731" max="9731" width="34.81640625" style="608" bestFit="1" customWidth="1"/>
    <col min="9732" max="9735" width="18.453125" style="608" customWidth="1"/>
    <col min="9736" max="9985" width="9.1796875" style="608"/>
    <col min="9986" max="9986" width="26.54296875" style="608" bestFit="1" customWidth="1"/>
    <col min="9987" max="9987" width="34.81640625" style="608" bestFit="1" customWidth="1"/>
    <col min="9988" max="9991" width="18.453125" style="608" customWidth="1"/>
    <col min="9992" max="10241" width="9.1796875" style="608"/>
    <col min="10242" max="10242" width="26.54296875" style="608" bestFit="1" customWidth="1"/>
    <col min="10243" max="10243" width="34.81640625" style="608" bestFit="1" customWidth="1"/>
    <col min="10244" max="10247" width="18.453125" style="608" customWidth="1"/>
    <col min="10248" max="10497" width="9.1796875" style="608"/>
    <col min="10498" max="10498" width="26.54296875" style="608" bestFit="1" customWidth="1"/>
    <col min="10499" max="10499" width="34.81640625" style="608" bestFit="1" customWidth="1"/>
    <col min="10500" max="10503" width="18.453125" style="608" customWidth="1"/>
    <col min="10504" max="10753" width="9.1796875" style="608"/>
    <col min="10754" max="10754" width="26.54296875" style="608" bestFit="1" customWidth="1"/>
    <col min="10755" max="10755" width="34.81640625" style="608" bestFit="1" customWidth="1"/>
    <col min="10756" max="10759" width="18.453125" style="608" customWidth="1"/>
    <col min="10760" max="11009" width="9.1796875" style="608"/>
    <col min="11010" max="11010" width="26.54296875" style="608" bestFit="1" customWidth="1"/>
    <col min="11011" max="11011" width="34.81640625" style="608" bestFit="1" customWidth="1"/>
    <col min="11012" max="11015" width="18.453125" style="608" customWidth="1"/>
    <col min="11016" max="11265" width="9.1796875" style="608"/>
    <col min="11266" max="11266" width="26.54296875" style="608" bestFit="1" customWidth="1"/>
    <col min="11267" max="11267" width="34.81640625" style="608" bestFit="1" customWidth="1"/>
    <col min="11268" max="11271" width="18.453125" style="608" customWidth="1"/>
    <col min="11272" max="11521" width="9.1796875" style="608"/>
    <col min="11522" max="11522" width="26.54296875" style="608" bestFit="1" customWidth="1"/>
    <col min="11523" max="11523" width="34.81640625" style="608" bestFit="1" customWidth="1"/>
    <col min="11524" max="11527" width="18.453125" style="608" customWidth="1"/>
    <col min="11528" max="11777" width="9.1796875" style="608"/>
    <col min="11778" max="11778" width="26.54296875" style="608" bestFit="1" customWidth="1"/>
    <col min="11779" max="11779" width="34.81640625" style="608" bestFit="1" customWidth="1"/>
    <col min="11780" max="11783" width="18.453125" style="608" customWidth="1"/>
    <col min="11784" max="12033" width="9.1796875" style="608"/>
    <col min="12034" max="12034" width="26.54296875" style="608" bestFit="1" customWidth="1"/>
    <col min="12035" max="12035" width="34.81640625" style="608" bestFit="1" customWidth="1"/>
    <col min="12036" max="12039" width="18.453125" style="608" customWidth="1"/>
    <col min="12040" max="12289" width="9.1796875" style="608"/>
    <col min="12290" max="12290" width="26.54296875" style="608" bestFit="1" customWidth="1"/>
    <col min="12291" max="12291" width="34.81640625" style="608" bestFit="1" customWidth="1"/>
    <col min="12292" max="12295" width="18.453125" style="608" customWidth="1"/>
    <col min="12296" max="12545" width="9.1796875" style="608"/>
    <col min="12546" max="12546" width="26.54296875" style="608" bestFit="1" customWidth="1"/>
    <col min="12547" max="12547" width="34.81640625" style="608" bestFit="1" customWidth="1"/>
    <col min="12548" max="12551" width="18.453125" style="608" customWidth="1"/>
    <col min="12552" max="12801" width="9.1796875" style="608"/>
    <col min="12802" max="12802" width="26.54296875" style="608" bestFit="1" customWidth="1"/>
    <col min="12803" max="12803" width="34.81640625" style="608" bestFit="1" customWidth="1"/>
    <col min="12804" max="12807" width="18.453125" style="608" customWidth="1"/>
    <col min="12808" max="13057" width="9.1796875" style="608"/>
    <col min="13058" max="13058" width="26.54296875" style="608" bestFit="1" customWidth="1"/>
    <col min="13059" max="13059" width="34.81640625" style="608" bestFit="1" customWidth="1"/>
    <col min="13060" max="13063" width="18.453125" style="608" customWidth="1"/>
    <col min="13064" max="13313" width="9.1796875" style="608"/>
    <col min="13314" max="13314" width="26.54296875" style="608" bestFit="1" customWidth="1"/>
    <col min="13315" max="13315" width="34.81640625" style="608" bestFit="1" customWidth="1"/>
    <col min="13316" max="13319" width="18.453125" style="608" customWidth="1"/>
    <col min="13320" max="13569" width="9.1796875" style="608"/>
    <col min="13570" max="13570" width="26.54296875" style="608" bestFit="1" customWidth="1"/>
    <col min="13571" max="13571" width="34.81640625" style="608" bestFit="1" customWidth="1"/>
    <col min="13572" max="13575" width="18.453125" style="608" customWidth="1"/>
    <col min="13576" max="13825" width="9.1796875" style="608"/>
    <col min="13826" max="13826" width="26.54296875" style="608" bestFit="1" customWidth="1"/>
    <col min="13827" max="13827" width="34.81640625" style="608" bestFit="1" customWidth="1"/>
    <col min="13828" max="13831" width="18.453125" style="608" customWidth="1"/>
    <col min="13832" max="14081" width="9.1796875" style="608"/>
    <col min="14082" max="14082" width="26.54296875" style="608" bestFit="1" customWidth="1"/>
    <col min="14083" max="14083" width="34.81640625" style="608" bestFit="1" customWidth="1"/>
    <col min="14084" max="14087" width="18.453125" style="608" customWidth="1"/>
    <col min="14088" max="14337" width="9.1796875" style="608"/>
    <col min="14338" max="14338" width="26.54296875" style="608" bestFit="1" customWidth="1"/>
    <col min="14339" max="14339" width="34.81640625" style="608" bestFit="1" customWidth="1"/>
    <col min="14340" max="14343" width="18.453125" style="608" customWidth="1"/>
    <col min="14344" max="14593" width="9.1796875" style="608"/>
    <col min="14594" max="14594" width="26.54296875" style="608" bestFit="1" customWidth="1"/>
    <col min="14595" max="14595" width="34.81640625" style="608" bestFit="1" customWidth="1"/>
    <col min="14596" max="14599" width="18.453125" style="608" customWidth="1"/>
    <col min="14600" max="14849" width="9.1796875" style="608"/>
    <col min="14850" max="14850" width="26.54296875" style="608" bestFit="1" customWidth="1"/>
    <col min="14851" max="14851" width="34.81640625" style="608" bestFit="1" customWidth="1"/>
    <col min="14852" max="14855" width="18.453125" style="608" customWidth="1"/>
    <col min="14856" max="15105" width="9.1796875" style="608"/>
    <col min="15106" max="15106" width="26.54296875" style="608" bestFit="1" customWidth="1"/>
    <col min="15107" max="15107" width="34.81640625" style="608" bestFit="1" customWidth="1"/>
    <col min="15108" max="15111" width="18.453125" style="608" customWidth="1"/>
    <col min="15112" max="15361" width="9.1796875" style="608"/>
    <col min="15362" max="15362" width="26.54296875" style="608" bestFit="1" customWidth="1"/>
    <col min="15363" max="15363" width="34.81640625" style="608" bestFit="1" customWidth="1"/>
    <col min="15364" max="15367" width="18.453125" style="608" customWidth="1"/>
    <col min="15368" max="15617" width="9.1796875" style="608"/>
    <col min="15618" max="15618" width="26.54296875" style="608" bestFit="1" customWidth="1"/>
    <col min="15619" max="15619" width="34.81640625" style="608" bestFit="1" customWidth="1"/>
    <col min="15620" max="15623" width="18.453125" style="608" customWidth="1"/>
    <col min="15624" max="15873" width="9.1796875" style="608"/>
    <col min="15874" max="15874" width="26.54296875" style="608" bestFit="1" customWidth="1"/>
    <col min="15875" max="15875" width="34.81640625" style="608" bestFit="1" customWidth="1"/>
    <col min="15876" max="15879" width="18.453125" style="608" customWidth="1"/>
    <col min="15880" max="16129" width="9.1796875" style="608"/>
    <col min="16130" max="16130" width="26.54296875" style="608" bestFit="1" customWidth="1"/>
    <col min="16131" max="16131" width="34.81640625" style="608" bestFit="1" customWidth="1"/>
    <col min="16132" max="16135" width="18.453125" style="608" customWidth="1"/>
    <col min="16136" max="16384" width="9.1796875" style="608"/>
  </cols>
  <sheetData>
    <row r="1" spans="1:17" ht="23.15" customHeight="1" thickBot="1" x14ac:dyDescent="0.3">
      <c r="A1" s="1192" t="s">
        <v>432</v>
      </c>
      <c r="B1" s="1193"/>
      <c r="C1" s="1193"/>
      <c r="D1" s="1193"/>
      <c r="E1" s="1193"/>
      <c r="F1" s="1194"/>
      <c r="G1" s="728"/>
      <c r="H1" s="615"/>
      <c r="I1" s="615"/>
      <c r="J1" s="615"/>
      <c r="K1" s="609" t="str">
        <f>+TITELBLAD!C10</f>
        <v>elektriciteit</v>
      </c>
      <c r="L1" s="615"/>
      <c r="M1" s="615"/>
      <c r="N1" s="615"/>
      <c r="O1" s="615"/>
      <c r="P1" s="615"/>
      <c r="Q1" s="615"/>
    </row>
    <row r="2" spans="1:17" ht="13" x14ac:dyDescent="0.25">
      <c r="A2" s="615"/>
      <c r="B2" s="615"/>
      <c r="C2" s="615"/>
      <c r="D2" s="615"/>
      <c r="E2" s="615"/>
      <c r="F2" s="615"/>
      <c r="G2" s="615"/>
      <c r="H2" s="615"/>
      <c r="I2" s="615"/>
      <c r="J2" s="615"/>
      <c r="K2" s="620">
        <f>+TITELBLAD!E16</f>
        <v>2022</v>
      </c>
      <c r="L2" s="615"/>
      <c r="M2" s="615"/>
      <c r="N2" s="615"/>
      <c r="O2" s="615"/>
      <c r="P2" s="615"/>
      <c r="Q2" s="615"/>
    </row>
    <row r="3" spans="1:17" ht="13" thickBot="1" x14ac:dyDescent="0.3">
      <c r="H3" s="615"/>
      <c r="I3" s="615"/>
      <c r="J3" s="615"/>
      <c r="K3" s="609"/>
      <c r="L3" s="615"/>
      <c r="M3" s="615"/>
      <c r="N3" s="615"/>
      <c r="O3" s="615"/>
      <c r="P3" s="615"/>
      <c r="Q3" s="615"/>
    </row>
    <row r="4" spans="1:17" ht="13" customHeight="1" x14ac:dyDescent="0.25">
      <c r="B4" s="623"/>
      <c r="C4" s="624"/>
      <c r="D4" s="1198" t="str">
        <f>"BUDGET "&amp;K2</f>
        <v>BUDGET 2022</v>
      </c>
      <c r="E4" s="1198" t="str">
        <f>"REALITEIT "&amp;K2</f>
        <v>REALITEIT 2022</v>
      </c>
      <c r="H4" s="615"/>
      <c r="I4" s="615"/>
      <c r="J4" s="615"/>
      <c r="K4" s="615"/>
      <c r="L4" s="615"/>
      <c r="M4" s="615"/>
      <c r="N4" s="615"/>
      <c r="O4" s="615"/>
      <c r="P4" s="615"/>
      <c r="Q4" s="615"/>
    </row>
    <row r="5" spans="1:17" ht="13" thickBot="1" x14ac:dyDescent="0.3">
      <c r="B5" s="625"/>
      <c r="C5" s="626"/>
      <c r="D5" s="1199"/>
      <c r="E5" s="1199"/>
      <c r="H5" s="615"/>
      <c r="I5" s="615"/>
      <c r="J5" s="615"/>
      <c r="K5" s="615"/>
      <c r="L5" s="615"/>
      <c r="M5" s="615"/>
      <c r="N5" s="615"/>
      <c r="O5" s="615"/>
      <c r="P5" s="615"/>
      <c r="Q5" s="615"/>
    </row>
    <row r="6" spans="1:17" ht="13" x14ac:dyDescent="0.25">
      <c r="B6" s="623"/>
      <c r="C6" s="624"/>
      <c r="D6" s="627"/>
      <c r="E6" s="627"/>
      <c r="H6" s="615"/>
      <c r="I6" s="615"/>
      <c r="J6" s="615"/>
      <c r="K6" s="615"/>
      <c r="L6" s="615"/>
      <c r="M6" s="615"/>
      <c r="N6" s="615"/>
      <c r="O6" s="615"/>
      <c r="P6" s="615"/>
      <c r="Q6" s="615"/>
    </row>
    <row r="7" spans="1:17" x14ac:dyDescent="0.25">
      <c r="B7" s="1195" t="str">
        <f>"Startwaarde (01/01/"&amp;K2&amp;")"</f>
        <v>Startwaarde (01/01/2022)</v>
      </c>
      <c r="C7" s="628" t="s">
        <v>311</v>
      </c>
      <c r="D7" s="629">
        <f>IF($K$1="elektriciteit",T13A!E63,IF('T14'!$K$1="gas",T13C!E42,"FOUT"))</f>
        <v>0</v>
      </c>
      <c r="E7" s="629">
        <f>IF($K$1="elektriciteit",T13A!E117,IF('T14'!$K$1="gas",T13C!E75,"FOUT"))</f>
        <v>0</v>
      </c>
      <c r="H7" s="615"/>
      <c r="I7" s="615"/>
      <c r="J7" s="615"/>
      <c r="K7" s="615"/>
      <c r="L7" s="615"/>
      <c r="M7" s="615"/>
      <c r="N7" s="615"/>
      <c r="O7" s="615"/>
      <c r="P7" s="615"/>
      <c r="Q7" s="615"/>
    </row>
    <row r="8" spans="1:17" x14ac:dyDescent="0.25">
      <c r="B8" s="1195"/>
      <c r="C8" s="628" t="s">
        <v>312</v>
      </c>
      <c r="D8" s="629">
        <f>IF($K$1="elektriciteit",T13B!E63,IF('T14'!$K$1="gas",T13D!E42,"FOUT"))</f>
        <v>0</v>
      </c>
      <c r="E8" s="630">
        <f>IF($K$1="elektriciteit",T13B!E117,IF('T14'!$K$1="gas",T13D!E75,"FOUT"))</f>
        <v>0</v>
      </c>
      <c r="H8" s="615"/>
      <c r="I8" s="615"/>
      <c r="J8" s="615"/>
      <c r="K8" s="615"/>
      <c r="L8" s="615"/>
      <c r="M8" s="615"/>
      <c r="N8" s="615"/>
      <c r="O8" s="615"/>
      <c r="P8" s="615"/>
      <c r="Q8" s="615"/>
    </row>
    <row r="9" spans="1:17" x14ac:dyDescent="0.25">
      <c r="B9" s="631"/>
      <c r="C9" s="632"/>
      <c r="D9" s="633"/>
      <c r="E9" s="634"/>
      <c r="H9" s="615"/>
      <c r="I9" s="615"/>
      <c r="J9" s="615"/>
      <c r="K9" s="615"/>
      <c r="L9" s="615"/>
      <c r="M9" s="615"/>
      <c r="N9" s="615"/>
      <c r="O9" s="615"/>
      <c r="P9" s="615"/>
      <c r="Q9" s="615"/>
    </row>
    <row r="10" spans="1:17" x14ac:dyDescent="0.25">
      <c r="B10" s="635"/>
      <c r="C10" s="636"/>
      <c r="D10" s="637"/>
      <c r="E10" s="638"/>
      <c r="H10" s="615"/>
      <c r="I10" s="615"/>
      <c r="J10" s="615"/>
      <c r="K10" s="615"/>
      <c r="L10" s="615"/>
      <c r="M10" s="615"/>
      <c r="N10" s="615"/>
      <c r="O10" s="615"/>
      <c r="P10" s="615"/>
      <c r="Q10" s="615"/>
    </row>
    <row r="11" spans="1:17" x14ac:dyDescent="0.25">
      <c r="B11" s="631" t="str">
        <f>"Startwaarde RAB m.b.t. herwaarderingsmeerwaarden (01/01/"&amp;K2&amp;")"</f>
        <v>Startwaarde RAB m.b.t. herwaarderingsmeerwaarden (01/01/2022)</v>
      </c>
      <c r="C11" s="639"/>
      <c r="D11" s="640">
        <f>+D8+D7</f>
        <v>0</v>
      </c>
      <c r="E11" s="640">
        <f>+E8+E7</f>
        <v>0</v>
      </c>
      <c r="H11" s="615"/>
      <c r="I11" s="615"/>
      <c r="J11" s="615"/>
      <c r="K11" s="615"/>
      <c r="L11" s="615"/>
      <c r="M11" s="615"/>
      <c r="N11" s="615"/>
      <c r="O11" s="615"/>
      <c r="P11" s="615"/>
      <c r="Q11" s="615"/>
    </row>
    <row r="12" spans="1:17" x14ac:dyDescent="0.25">
      <c r="B12" s="631"/>
      <c r="C12" s="639"/>
      <c r="D12" s="640"/>
      <c r="E12" s="641"/>
      <c r="H12" s="615"/>
      <c r="I12" s="615"/>
      <c r="J12" s="615"/>
      <c r="K12" s="615"/>
      <c r="L12" s="615"/>
      <c r="M12" s="615"/>
      <c r="N12" s="615"/>
      <c r="O12" s="615"/>
      <c r="P12" s="615"/>
      <c r="Q12" s="615"/>
    </row>
    <row r="13" spans="1:17" x14ac:dyDescent="0.25">
      <c r="B13" s="635"/>
      <c r="C13" s="642"/>
      <c r="D13" s="637"/>
      <c r="E13" s="638"/>
    </row>
    <row r="14" spans="1:17" x14ac:dyDescent="0.25">
      <c r="B14" s="631" t="s">
        <v>313</v>
      </c>
      <c r="C14" s="628" t="s">
        <v>311</v>
      </c>
      <c r="D14" s="629">
        <f>IF($K$1="elektriciteit",T13A!G63,IF('T14'!$K$1="gas",T13C!G42,"FOUT"))</f>
        <v>0</v>
      </c>
      <c r="E14" s="629">
        <f>IF($K$1="elektriciteit",T13A!G117,IF('T14'!$K$1="gas",T13C!G75,"FOUT"))</f>
        <v>0</v>
      </c>
    </row>
    <row r="15" spans="1:17" x14ac:dyDescent="0.25">
      <c r="B15" s="631"/>
      <c r="C15" s="628" t="s">
        <v>312</v>
      </c>
      <c r="D15" s="629">
        <f>IF($K$1="elektriciteit",T13B!G63,IF('T14'!$K$1="gas",T13D!G42,"FOUT"))</f>
        <v>0</v>
      </c>
      <c r="E15" s="630">
        <f>IF($K$1="elektriciteit",T13B!G117,IF('T14'!$K$1="gas",T13D!G75,"FOUT"))</f>
        <v>0</v>
      </c>
    </row>
    <row r="16" spans="1:17" x14ac:dyDescent="0.25">
      <c r="B16" s="643"/>
      <c r="C16" s="644"/>
      <c r="D16" s="645"/>
      <c r="E16" s="646"/>
    </row>
    <row r="17" spans="2:5" x14ac:dyDescent="0.25">
      <c r="B17" s="635"/>
      <c r="C17" s="642"/>
      <c r="D17" s="637"/>
      <c r="E17" s="638"/>
    </row>
    <row r="18" spans="2:5" ht="13.5" customHeight="1" x14ac:dyDescent="0.25">
      <c r="B18" s="1206" t="s">
        <v>437</v>
      </c>
      <c r="C18" s="628" t="s">
        <v>311</v>
      </c>
      <c r="D18" s="629">
        <f>IF($K$1="elektriciteit",T13A!H63,IF('T14'!$K$1="gas",T13C!H42,"FOUT"))</f>
        <v>0</v>
      </c>
      <c r="E18" s="629">
        <f>IF($K$1="elektriciteit",T13A!H117,IF('T14'!$K$1="gas",T13C!H75,"FOUT"))</f>
        <v>0</v>
      </c>
    </row>
    <row r="19" spans="2:5" ht="13.5" customHeight="1" x14ac:dyDescent="0.25">
      <c r="B19" s="1206"/>
      <c r="C19" s="628" t="s">
        <v>312</v>
      </c>
      <c r="D19" s="629">
        <f>IF($K$1="elektriciteit",T13B!H63,IF('T14'!$K$1="gas",T13D!H42,"FOUT"))</f>
        <v>0</v>
      </c>
      <c r="E19" s="630">
        <f>IF($K$1="elektriciteit",T13B!H117,IF('T14'!$K$1="gas",T13D!H75,"FOUT"))</f>
        <v>0</v>
      </c>
    </row>
    <row r="20" spans="2:5" x14ac:dyDescent="0.25">
      <c r="B20" s="643"/>
      <c r="C20" s="644"/>
      <c r="D20" s="645"/>
      <c r="E20" s="646"/>
    </row>
    <row r="21" spans="2:5" x14ac:dyDescent="0.25">
      <c r="B21" s="631"/>
      <c r="C21" s="639"/>
      <c r="D21" s="640"/>
      <c r="E21" s="641"/>
    </row>
    <row r="22" spans="2:5" x14ac:dyDescent="0.25">
      <c r="B22" s="631" t="str">
        <f>"Eindwaarde (31/12/"&amp;K2&amp;")"</f>
        <v>Eindwaarde (31/12/2022)</v>
      </c>
      <c r="C22" s="628" t="s">
        <v>311</v>
      </c>
      <c r="D22" s="629">
        <f>+D7+D14+D18</f>
        <v>0</v>
      </c>
      <c r="E22" s="630">
        <f>+E7+E14+E18</f>
        <v>0</v>
      </c>
    </row>
    <row r="23" spans="2:5" x14ac:dyDescent="0.25">
      <c r="B23" s="631"/>
      <c r="C23" s="628" t="s">
        <v>312</v>
      </c>
      <c r="D23" s="629">
        <f t="shared" ref="D23:E23" si="0">+D8+D15+D19</f>
        <v>0</v>
      </c>
      <c r="E23" s="630">
        <f t="shared" si="0"/>
        <v>0</v>
      </c>
    </row>
    <row r="24" spans="2:5" x14ac:dyDescent="0.25">
      <c r="B24" s="647"/>
      <c r="C24" s="648"/>
      <c r="D24" s="649"/>
      <c r="E24" s="650"/>
    </row>
    <row r="25" spans="2:5" x14ac:dyDescent="0.25">
      <c r="B25" s="631"/>
      <c r="C25" s="639"/>
      <c r="D25" s="640"/>
      <c r="E25" s="641"/>
    </row>
    <row r="26" spans="2:5" x14ac:dyDescent="0.25">
      <c r="B26" s="631" t="str">
        <f>"Eindwaarde RAB m.b.t. herwaarderingsmeerwaarden (31/12/"&amp;K2&amp;")"</f>
        <v>Eindwaarde RAB m.b.t. herwaarderingsmeerwaarden (31/12/2022)</v>
      </c>
      <c r="C26" s="639"/>
      <c r="D26" s="640">
        <f>D22+D23</f>
        <v>0</v>
      </c>
      <c r="E26" s="641">
        <f>E22+E23</f>
        <v>0</v>
      </c>
    </row>
    <row r="27" spans="2:5" x14ac:dyDescent="0.25">
      <c r="B27" s="643"/>
      <c r="C27" s="644"/>
      <c r="D27" s="645"/>
      <c r="E27" s="646"/>
    </row>
    <row r="28" spans="2:5" ht="13" customHeight="1" x14ac:dyDescent="0.25">
      <c r="B28" s="1200" t="str">
        <f>"Gemiddelde RAB m.b.t. herwaarderingsmeerwaarden voor het jaar "&amp;'T9 - Overzicht'!B6</f>
        <v>Gemiddelde RAB m.b.t. herwaarderingsmeerwaarden voor het jaar 2022</v>
      </c>
      <c r="C28" s="1201"/>
      <c r="D28" s="640"/>
      <c r="E28" s="641"/>
    </row>
    <row r="29" spans="2:5" ht="13" x14ac:dyDescent="0.25">
      <c r="B29" s="1202"/>
      <c r="C29" s="1203"/>
      <c r="D29" s="651">
        <f>(D11+D26)/2</f>
        <v>0</v>
      </c>
      <c r="E29" s="652">
        <f>(E11+E26)/2</f>
        <v>0</v>
      </c>
    </row>
    <row r="30" spans="2:5" ht="13" thickBot="1" x14ac:dyDescent="0.3">
      <c r="B30" s="1204"/>
      <c r="C30" s="1205"/>
      <c r="D30" s="653"/>
      <c r="E30" s="654"/>
    </row>
    <row r="31" spans="2:5" ht="7.5" customHeight="1" thickBot="1" x14ac:dyDescent="0.3"/>
    <row r="32" spans="2:5" ht="14.5" customHeight="1" thickBot="1" x14ac:dyDescent="0.3">
      <c r="B32" s="1196" t="str">
        <f>"Kapitaalkostpercentage herwaarderingsmeerwaarden "&amp;K2</f>
        <v>Kapitaalkostpercentage herwaarderingsmeerwaarden 2022</v>
      </c>
      <c r="C32" s="1197"/>
      <c r="D32" s="618">
        <f>IF($K$2=2021,0.035,IF($K$2=2022,0.0306,IF($K$2=2023,0.0263,IF($K$2=2024,0.0219,"FOUT"))))</f>
        <v>3.0599999999999999E-2</v>
      </c>
      <c r="E32" s="619">
        <f>IF($K$2=2021,0.035,IF($K$2=2022,0.0306,IF($K$2=2023,0.0263,IF($K$2=2024,0.0219,"FOUT"))))</f>
        <v>3.0599999999999999E-2</v>
      </c>
    </row>
    <row r="33" spans="2:5" ht="7.5" customHeight="1" thickBot="1" x14ac:dyDescent="0.3"/>
    <row r="34" spans="2:5" ht="14.5" customHeight="1" thickBot="1" x14ac:dyDescent="0.3">
      <c r="B34" s="1196" t="s">
        <v>314</v>
      </c>
      <c r="C34" s="1197"/>
      <c r="D34" s="621">
        <f>+D29*D32</f>
        <v>0</v>
      </c>
      <c r="E34" s="622">
        <f>+E29*E32</f>
        <v>0</v>
      </c>
    </row>
  </sheetData>
  <sheetProtection algorithmName="SHA-512" hashValue="C41qKDpKQedgHEFAADYTFr7vI+2GzdQ82v9IK+Kie/C3oPhBRWKp76jv/6BR05XVaQU8WSzzpsBRqP6w1R/Kkg==" saltValue="gW0qTI+qln7Fy9knGjBABg==" spinCount="100000" sheet="1" objects="1" scenarios="1"/>
  <mergeCells count="8">
    <mergeCell ref="A1:F1"/>
    <mergeCell ref="B7:B8"/>
    <mergeCell ref="B32:C32"/>
    <mergeCell ref="B34:C34"/>
    <mergeCell ref="D4:D5"/>
    <mergeCell ref="E4:E5"/>
    <mergeCell ref="B28:C30"/>
    <mergeCell ref="B18:B19"/>
  </mergeCells>
  <pageMargins left="0.70866141732283472" right="0.70866141732283472" top="0.74803149606299213" bottom="0.74803149606299213" header="0.31496062992125984" footer="0.31496062992125984"/>
  <pageSetup paperSize="8"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CD3D3052-15D1-4EC6-B790-C0893E3D102F}">
            <xm:f>'T9 - Overzicht'!$C$6="ex-ante"</xm:f>
            <x14:dxf>
              <fill>
                <patternFill patternType="lightUp"/>
              </fill>
            </x14:dxf>
          </x14:cfRule>
          <xm:sqref>E4:E30 E32 E34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4CA0-AD3B-4D90-86CF-3EB23CD76C86}">
  <sheetPr published="0"/>
  <dimension ref="A1"/>
  <sheetViews>
    <sheetView workbookViewId="0">
      <selection activeCell="Q33" sqref="Q33"/>
    </sheetView>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S125"/>
  <sheetViews>
    <sheetView zoomScale="70" zoomScaleNormal="70" workbookViewId="0">
      <selection activeCell="G56" sqref="G56"/>
    </sheetView>
  </sheetViews>
  <sheetFormatPr defaultColWidth="9.1796875" defaultRowHeight="12.5" x14ac:dyDescent="0.25"/>
  <cols>
    <col min="1" max="1" width="1.54296875" style="12" customWidth="1"/>
    <col min="2" max="2" width="4.1796875" style="42" customWidth="1"/>
    <col min="3" max="3" width="22.453125" style="42" customWidth="1"/>
    <col min="4" max="4" width="1.453125" style="42" customWidth="1"/>
    <col min="5" max="5" width="23" style="42" customWidth="1"/>
    <col min="6" max="6" width="10.7265625" style="43" customWidth="1"/>
    <col min="7" max="8" width="26.1796875" style="42" customWidth="1"/>
    <col min="9" max="11" width="23.7265625" style="42" customWidth="1"/>
    <col min="12" max="13" width="25" style="42" customWidth="1"/>
    <col min="14" max="14" width="22.453125" style="42" customWidth="1"/>
    <col min="15" max="15" width="26.54296875" style="42" customWidth="1"/>
    <col min="16" max="16" width="22.453125" style="42" customWidth="1"/>
    <col min="17" max="17" width="31.81640625" style="42" customWidth="1"/>
    <col min="18" max="18" width="19.7265625" style="42" customWidth="1"/>
    <col min="19" max="19" width="18.7265625" style="42" customWidth="1"/>
    <col min="20" max="16384" width="9.1796875" style="12"/>
  </cols>
  <sheetData>
    <row r="1" spans="2:19" ht="25.5" customHeight="1" thickBot="1" x14ac:dyDescent="0.3">
      <c r="B1" s="1007" t="str">
        <f>"TABEL 1: Resultatenrekening (algemene boekhouding) voor boekjaar "&amp;TITELBLAD!E16&amp;" (waarden boekhouding)"</f>
        <v>TABEL 1: Resultatenrekening (algemene boekhouding) voor boekjaar 2022 (waarden boekhouding)</v>
      </c>
      <c r="C1" s="1008"/>
      <c r="D1" s="1008"/>
      <c r="E1" s="1008"/>
      <c r="F1" s="1008"/>
      <c r="G1" s="1008"/>
      <c r="H1" s="1008"/>
      <c r="I1" s="1008"/>
      <c r="J1" s="1008"/>
      <c r="K1" s="1008"/>
      <c r="L1" s="1008"/>
      <c r="M1" s="1009"/>
      <c r="N1" s="12"/>
      <c r="O1" s="12"/>
      <c r="P1" s="12"/>
      <c r="Q1" s="12"/>
      <c r="R1" s="12"/>
      <c r="S1" s="12"/>
    </row>
    <row r="2" spans="2:19" ht="18" x14ac:dyDescent="0.4">
      <c r="B2" s="34"/>
      <c r="C2" s="34"/>
      <c r="D2" s="34"/>
      <c r="E2" s="34"/>
      <c r="F2" s="35"/>
      <c r="G2" s="34"/>
      <c r="H2" s="34"/>
      <c r="I2" s="34"/>
      <c r="J2" s="34"/>
      <c r="K2" s="34"/>
      <c r="L2" s="34"/>
      <c r="M2" s="34"/>
      <c r="N2" s="34"/>
      <c r="O2" s="140" t="s">
        <v>83</v>
      </c>
      <c r="P2" s="140">
        <f>+TITELBLAD!E16</f>
        <v>2022</v>
      </c>
      <c r="Q2" s="140" t="str">
        <f>+TITELBLAD!F16</f>
        <v>ex-post</v>
      </c>
      <c r="R2" s="34"/>
      <c r="S2" s="35"/>
    </row>
    <row r="3" spans="2:19" s="36" customFormat="1" ht="13" x14ac:dyDescent="0.25">
      <c r="C3" s="37" t="s">
        <v>37</v>
      </c>
      <c r="D3" s="38"/>
      <c r="L3" s="38"/>
      <c r="O3" s="141"/>
      <c r="P3" s="141"/>
      <c r="Q3" s="141"/>
    </row>
    <row r="4" spans="2:19" s="36" customFormat="1" ht="13" x14ac:dyDescent="0.25">
      <c r="C4" s="39" t="s">
        <v>80</v>
      </c>
      <c r="D4" s="38"/>
      <c r="L4" s="38"/>
    </row>
    <row r="5" spans="2:19" ht="13.5" thickBot="1" x14ac:dyDescent="0.35">
      <c r="B5" s="40"/>
      <c r="C5" s="40"/>
      <c r="D5" s="40"/>
      <c r="E5" s="40"/>
      <c r="F5" s="41"/>
      <c r="G5" s="40"/>
      <c r="H5" s="40"/>
      <c r="I5" s="40"/>
      <c r="J5" s="40"/>
      <c r="K5" s="40"/>
      <c r="L5" s="40"/>
      <c r="M5" s="40"/>
      <c r="N5" s="40"/>
      <c r="O5" s="40"/>
      <c r="P5" s="40"/>
      <c r="Q5" s="40"/>
      <c r="R5" s="40"/>
      <c r="S5" s="40"/>
    </row>
    <row r="6" spans="2:19" ht="13" thickTop="1" x14ac:dyDescent="0.25">
      <c r="B6" s="999" t="s">
        <v>43</v>
      </c>
      <c r="C6" s="1000"/>
      <c r="D6" s="1000"/>
      <c r="E6" s="1001"/>
      <c r="F6" s="1010" t="s">
        <v>3</v>
      </c>
      <c r="G6" s="993" t="s">
        <v>55</v>
      </c>
      <c r="H6" s="994"/>
      <c r="I6" s="994"/>
      <c r="J6" s="994"/>
      <c r="K6" s="995"/>
      <c r="L6" s="993" t="s">
        <v>56</v>
      </c>
      <c r="M6" s="994"/>
      <c r="N6" s="994"/>
      <c r="O6" s="994"/>
      <c r="P6" s="995"/>
      <c r="Q6" s="991" t="s">
        <v>57</v>
      </c>
      <c r="R6" s="991" t="s">
        <v>20</v>
      </c>
      <c r="S6" s="44"/>
    </row>
    <row r="7" spans="2:19" x14ac:dyDescent="0.25">
      <c r="B7" s="1002"/>
      <c r="C7" s="1003"/>
      <c r="D7" s="1003"/>
      <c r="E7" s="1004"/>
      <c r="F7" s="1011"/>
      <c r="G7" s="996"/>
      <c r="H7" s="997"/>
      <c r="I7" s="997"/>
      <c r="J7" s="997"/>
      <c r="K7" s="998"/>
      <c r="L7" s="996"/>
      <c r="M7" s="997"/>
      <c r="N7" s="997"/>
      <c r="O7" s="997"/>
      <c r="P7" s="998"/>
      <c r="Q7" s="992"/>
      <c r="R7" s="992"/>
      <c r="S7" s="44"/>
    </row>
    <row r="8" spans="2:19" ht="29.25" customHeight="1" x14ac:dyDescent="0.25">
      <c r="B8" s="126"/>
      <c r="C8" s="127"/>
      <c r="D8" s="127"/>
      <c r="E8" s="127"/>
      <c r="F8" s="128"/>
      <c r="G8" s="987" t="s">
        <v>79</v>
      </c>
      <c r="H8" s="988"/>
      <c r="I8" s="988"/>
      <c r="J8" s="989"/>
      <c r="K8" s="49" t="s">
        <v>57</v>
      </c>
      <c r="L8" s="987" t="s">
        <v>79</v>
      </c>
      <c r="M8" s="988"/>
      <c r="N8" s="988"/>
      <c r="O8" s="990"/>
      <c r="P8" s="129" t="s">
        <v>57</v>
      </c>
      <c r="Q8" s="782"/>
      <c r="R8" s="782"/>
      <c r="S8" s="44"/>
    </row>
    <row r="9" spans="2:19" ht="31.5" customHeight="1" x14ac:dyDescent="0.3">
      <c r="B9" s="45"/>
      <c r="C9" s="46"/>
      <c r="D9" s="47"/>
      <c r="E9" s="47"/>
      <c r="F9" s="48"/>
      <c r="G9" s="49" t="s">
        <v>159</v>
      </c>
      <c r="H9" s="49" t="s">
        <v>160</v>
      </c>
      <c r="I9" s="49" t="s">
        <v>161</v>
      </c>
      <c r="J9" s="49" t="s">
        <v>78</v>
      </c>
      <c r="K9" s="49"/>
      <c r="L9" s="49" t="s">
        <v>159</v>
      </c>
      <c r="M9" s="49" t="s">
        <v>160</v>
      </c>
      <c r="N9" s="49" t="s">
        <v>161</v>
      </c>
      <c r="O9" s="49" t="s">
        <v>78</v>
      </c>
      <c r="P9" s="49"/>
      <c r="Q9" s="50"/>
      <c r="R9" s="50"/>
      <c r="S9" s="44"/>
    </row>
    <row r="10" spans="2:19" ht="13" x14ac:dyDescent="0.3">
      <c r="B10" s="45"/>
      <c r="C10" s="46"/>
      <c r="D10" s="47"/>
      <c r="E10" s="47"/>
      <c r="F10" s="48"/>
      <c r="G10" s="51"/>
      <c r="H10" s="51"/>
      <c r="I10" s="51"/>
      <c r="J10" s="51"/>
      <c r="K10" s="51"/>
      <c r="L10" s="51"/>
      <c r="M10" s="51"/>
      <c r="N10" s="51"/>
      <c r="O10" s="51"/>
      <c r="P10" s="51"/>
      <c r="Q10" s="51"/>
      <c r="R10" s="51"/>
      <c r="S10" s="44"/>
    </row>
    <row r="11" spans="2:19" x14ac:dyDescent="0.25">
      <c r="B11" s="52"/>
      <c r="C11" s="53"/>
      <c r="D11" s="53"/>
      <c r="E11" s="53"/>
      <c r="F11" s="783"/>
      <c r="G11" s="54"/>
      <c r="H11" s="54"/>
      <c r="I11" s="54"/>
      <c r="J11" s="54"/>
      <c r="K11" s="54"/>
      <c r="L11" s="54"/>
      <c r="M11" s="54"/>
      <c r="N11" s="54"/>
      <c r="O11" s="54"/>
      <c r="P11" s="54"/>
      <c r="Q11" s="54"/>
      <c r="R11" s="54"/>
      <c r="S11" s="44"/>
    </row>
    <row r="12" spans="2:19" ht="13" x14ac:dyDescent="0.25">
      <c r="B12" s="55" t="s">
        <v>144</v>
      </c>
      <c r="C12" s="56"/>
      <c r="D12" s="56"/>
      <c r="E12" s="56"/>
      <c r="F12" s="57" t="s">
        <v>442</v>
      </c>
      <c r="G12" s="130">
        <f>SUM(G14,G17,G18,G19,G20)</f>
        <v>0</v>
      </c>
      <c r="H12" s="130">
        <f t="shared" ref="H12:R12" si="0">SUM(H14,H17,H18,H19,H20)</f>
        <v>0</v>
      </c>
      <c r="I12" s="130">
        <f t="shared" si="0"/>
        <v>0</v>
      </c>
      <c r="J12" s="130">
        <f t="shared" si="0"/>
        <v>0</v>
      </c>
      <c r="K12" s="130">
        <f t="shared" si="0"/>
        <v>0</v>
      </c>
      <c r="L12" s="130">
        <f t="shared" si="0"/>
        <v>0</v>
      </c>
      <c r="M12" s="130">
        <f t="shared" si="0"/>
        <v>0</v>
      </c>
      <c r="N12" s="130">
        <f t="shared" si="0"/>
        <v>0</v>
      </c>
      <c r="O12" s="130">
        <f t="shared" si="0"/>
        <v>0</v>
      </c>
      <c r="P12" s="130">
        <f t="shared" si="0"/>
        <v>0</v>
      </c>
      <c r="Q12" s="130">
        <f t="shared" si="0"/>
        <v>0</v>
      </c>
      <c r="R12" s="130">
        <f t="shared" si="0"/>
        <v>0</v>
      </c>
      <c r="S12" s="58"/>
    </row>
    <row r="13" spans="2:19" x14ac:dyDescent="0.25">
      <c r="B13" s="59"/>
      <c r="C13" s="60"/>
      <c r="D13" s="60"/>
      <c r="E13" s="60"/>
      <c r="F13" s="61"/>
      <c r="G13" s="131"/>
      <c r="H13" s="131"/>
      <c r="I13" s="131"/>
      <c r="J13" s="131"/>
      <c r="K13" s="131"/>
      <c r="L13" s="131"/>
      <c r="M13" s="131"/>
      <c r="N13" s="131"/>
      <c r="O13" s="131"/>
      <c r="P13" s="131"/>
      <c r="Q13" s="131"/>
      <c r="R13" s="132"/>
      <c r="S13" s="58"/>
    </row>
    <row r="14" spans="2:19" x14ac:dyDescent="0.25">
      <c r="B14" s="62"/>
      <c r="C14" s="60" t="s">
        <v>44</v>
      </c>
      <c r="D14" s="60"/>
      <c r="E14" s="60"/>
      <c r="F14" s="61">
        <v>70</v>
      </c>
      <c r="G14" s="795">
        <v>0</v>
      </c>
      <c r="H14" s="795">
        <v>0</v>
      </c>
      <c r="I14" s="795">
        <v>0</v>
      </c>
      <c r="J14" s="795">
        <v>0</v>
      </c>
      <c r="K14" s="795">
        <v>0</v>
      </c>
      <c r="L14" s="795">
        <v>0</v>
      </c>
      <c r="M14" s="795">
        <v>0</v>
      </c>
      <c r="N14" s="795">
        <v>0</v>
      </c>
      <c r="O14" s="795">
        <v>0</v>
      </c>
      <c r="P14" s="795">
        <v>0</v>
      </c>
      <c r="Q14" s="795">
        <v>0</v>
      </c>
      <c r="R14" s="131">
        <f>SUM(G14:Q14)</f>
        <v>0</v>
      </c>
      <c r="S14" s="58"/>
    </row>
    <row r="15" spans="2:19" x14ac:dyDescent="0.25">
      <c r="B15" s="62"/>
      <c r="C15" s="1013" t="s">
        <v>146</v>
      </c>
      <c r="D15" s="1013"/>
      <c r="E15" s="1014"/>
      <c r="F15" s="1012">
        <v>71</v>
      </c>
      <c r="G15" s="131"/>
      <c r="H15" s="131"/>
      <c r="I15" s="131"/>
      <c r="J15" s="131"/>
      <c r="K15" s="131"/>
      <c r="L15" s="131"/>
      <c r="M15" s="131"/>
      <c r="N15" s="131"/>
      <c r="O15" s="131"/>
      <c r="P15" s="131"/>
      <c r="Q15" s="131"/>
      <c r="R15" s="131"/>
      <c r="S15" s="58"/>
    </row>
    <row r="16" spans="2:19" x14ac:dyDescent="0.25">
      <c r="B16" s="62"/>
      <c r="C16" s="1013"/>
      <c r="D16" s="1013"/>
      <c r="E16" s="1014"/>
      <c r="F16" s="1012"/>
      <c r="G16" s="131"/>
      <c r="H16" s="131"/>
      <c r="I16" s="131"/>
      <c r="J16" s="131"/>
      <c r="K16" s="131"/>
      <c r="L16" s="131"/>
      <c r="M16" s="131"/>
      <c r="N16" s="131"/>
      <c r="O16" s="131"/>
      <c r="P16" s="131"/>
      <c r="Q16" s="131"/>
      <c r="R16" s="131"/>
      <c r="S16" s="58"/>
    </row>
    <row r="17" spans="2:19" x14ac:dyDescent="0.25">
      <c r="B17" s="62"/>
      <c r="C17" s="1013"/>
      <c r="D17" s="1013"/>
      <c r="E17" s="1014"/>
      <c r="F17" s="1012"/>
      <c r="G17" s="795">
        <v>0</v>
      </c>
      <c r="H17" s="795">
        <v>0</v>
      </c>
      <c r="I17" s="795">
        <v>0</v>
      </c>
      <c r="J17" s="795">
        <v>0</v>
      </c>
      <c r="K17" s="795">
        <v>0</v>
      </c>
      <c r="L17" s="795">
        <v>0</v>
      </c>
      <c r="M17" s="795">
        <v>0</v>
      </c>
      <c r="N17" s="795">
        <v>0</v>
      </c>
      <c r="O17" s="795">
        <v>0</v>
      </c>
      <c r="P17" s="795">
        <v>0</v>
      </c>
      <c r="Q17" s="795">
        <v>0</v>
      </c>
      <c r="R17" s="131">
        <f>SUM(G17:Q17)</f>
        <v>0</v>
      </c>
      <c r="S17" s="58"/>
    </row>
    <row r="18" spans="2:19" x14ac:dyDescent="0.25">
      <c r="B18" s="62"/>
      <c r="C18" s="60" t="s">
        <v>45</v>
      </c>
      <c r="D18" s="60"/>
      <c r="E18" s="60"/>
      <c r="F18" s="61">
        <v>72</v>
      </c>
      <c r="G18" s="795">
        <v>0</v>
      </c>
      <c r="H18" s="795">
        <v>0</v>
      </c>
      <c r="I18" s="795">
        <v>0</v>
      </c>
      <c r="J18" s="795">
        <v>0</v>
      </c>
      <c r="K18" s="795">
        <v>0</v>
      </c>
      <c r="L18" s="795">
        <v>0</v>
      </c>
      <c r="M18" s="795">
        <v>0</v>
      </c>
      <c r="N18" s="795">
        <v>0</v>
      </c>
      <c r="O18" s="795">
        <v>0</v>
      </c>
      <c r="P18" s="795">
        <v>0</v>
      </c>
      <c r="Q18" s="795">
        <v>0</v>
      </c>
      <c r="R18" s="131">
        <f>SUM(G18:Q18)</f>
        <v>0</v>
      </c>
      <c r="S18" s="58"/>
    </row>
    <row r="19" spans="2:19" x14ac:dyDescent="0.25">
      <c r="B19" s="62"/>
      <c r="C19" s="60" t="s">
        <v>46</v>
      </c>
      <c r="D19" s="63"/>
      <c r="E19" s="60"/>
      <c r="F19" s="61">
        <v>74</v>
      </c>
      <c r="G19" s="795">
        <v>0</v>
      </c>
      <c r="H19" s="795">
        <v>0</v>
      </c>
      <c r="I19" s="795">
        <v>0</v>
      </c>
      <c r="J19" s="795">
        <v>0</v>
      </c>
      <c r="K19" s="795">
        <v>0</v>
      </c>
      <c r="L19" s="795">
        <v>0</v>
      </c>
      <c r="M19" s="795">
        <v>0</v>
      </c>
      <c r="N19" s="795">
        <v>0</v>
      </c>
      <c r="O19" s="795">
        <v>0</v>
      </c>
      <c r="P19" s="795">
        <v>0</v>
      </c>
      <c r="Q19" s="795">
        <v>0</v>
      </c>
      <c r="R19" s="131">
        <f>SUM(G19:Q19)</f>
        <v>0</v>
      </c>
      <c r="S19" s="58"/>
    </row>
    <row r="20" spans="2:19" s="938" customFormat="1" x14ac:dyDescent="0.25">
      <c r="B20" s="939"/>
      <c r="C20" s="940" t="s">
        <v>440</v>
      </c>
      <c r="D20" s="941"/>
      <c r="E20" s="940"/>
      <c r="F20" s="942" t="s">
        <v>441</v>
      </c>
      <c r="G20" s="943">
        <v>0</v>
      </c>
      <c r="H20" s="943">
        <v>0</v>
      </c>
      <c r="I20" s="943">
        <v>0</v>
      </c>
      <c r="J20" s="943">
        <v>0</v>
      </c>
      <c r="K20" s="943">
        <v>0</v>
      </c>
      <c r="L20" s="943">
        <v>0</v>
      </c>
      <c r="M20" s="943">
        <v>0</v>
      </c>
      <c r="N20" s="943">
        <v>0</v>
      </c>
      <c r="O20" s="943">
        <v>0</v>
      </c>
      <c r="P20" s="943">
        <v>0</v>
      </c>
      <c r="Q20" s="943">
        <v>0</v>
      </c>
      <c r="R20" s="944">
        <f>SUM(G20:Q20)</f>
        <v>0</v>
      </c>
      <c r="S20" s="945"/>
    </row>
    <row r="21" spans="2:19" x14ac:dyDescent="0.25">
      <c r="B21" s="62"/>
      <c r="C21" s="63"/>
      <c r="D21" s="60"/>
      <c r="E21" s="60"/>
      <c r="F21" s="61"/>
      <c r="G21" s="131"/>
      <c r="H21" s="131"/>
      <c r="I21" s="131"/>
      <c r="J21" s="131"/>
      <c r="K21" s="131"/>
      <c r="L21" s="131"/>
      <c r="M21" s="131"/>
      <c r="N21" s="131"/>
      <c r="O21" s="131"/>
      <c r="P21" s="131"/>
      <c r="Q21" s="131"/>
      <c r="R21" s="131"/>
      <c r="S21" s="58"/>
    </row>
    <row r="22" spans="2:19" ht="13" x14ac:dyDescent="0.25">
      <c r="B22" s="64" t="s">
        <v>145</v>
      </c>
      <c r="C22" s="65"/>
      <c r="D22" s="56"/>
      <c r="E22" s="56"/>
      <c r="F22" s="57" t="s">
        <v>446</v>
      </c>
      <c r="G22" s="946">
        <f>+SUM(G23:G24)</f>
        <v>0</v>
      </c>
      <c r="H22" s="946">
        <f t="shared" ref="H22:R22" si="1">+SUM(H23:H24)</f>
        <v>0</v>
      </c>
      <c r="I22" s="946">
        <f t="shared" si="1"/>
        <v>0</v>
      </c>
      <c r="J22" s="946">
        <f t="shared" si="1"/>
        <v>0</v>
      </c>
      <c r="K22" s="946">
        <f t="shared" si="1"/>
        <v>0</v>
      </c>
      <c r="L22" s="946">
        <f t="shared" si="1"/>
        <v>0</v>
      </c>
      <c r="M22" s="946">
        <f t="shared" si="1"/>
        <v>0</v>
      </c>
      <c r="N22" s="946">
        <f t="shared" si="1"/>
        <v>0</v>
      </c>
      <c r="O22" s="946">
        <f t="shared" si="1"/>
        <v>0</v>
      </c>
      <c r="P22" s="946">
        <f t="shared" si="1"/>
        <v>0</v>
      </c>
      <c r="Q22" s="946">
        <f t="shared" si="1"/>
        <v>0</v>
      </c>
      <c r="R22" s="130">
        <f t="shared" si="1"/>
        <v>0</v>
      </c>
      <c r="S22" s="58"/>
    </row>
    <row r="23" spans="2:19" s="938" customFormat="1" ht="14.15" customHeight="1" x14ac:dyDescent="0.25">
      <c r="B23" s="939"/>
      <c r="C23" s="940" t="s">
        <v>443</v>
      </c>
      <c r="D23" s="940"/>
      <c r="E23" s="940"/>
      <c r="F23" s="942">
        <v>75</v>
      </c>
      <c r="G23" s="943">
        <v>0</v>
      </c>
      <c r="H23" s="943">
        <v>0</v>
      </c>
      <c r="I23" s="943">
        <v>0</v>
      </c>
      <c r="J23" s="943">
        <v>0</v>
      </c>
      <c r="K23" s="943">
        <v>0</v>
      </c>
      <c r="L23" s="943">
        <v>0</v>
      </c>
      <c r="M23" s="943">
        <v>0</v>
      </c>
      <c r="N23" s="943">
        <v>0</v>
      </c>
      <c r="O23" s="943">
        <v>0</v>
      </c>
      <c r="P23" s="943">
        <v>0</v>
      </c>
      <c r="Q23" s="943">
        <v>0</v>
      </c>
      <c r="R23" s="944">
        <f>SUM(G23:Q23)</f>
        <v>0</v>
      </c>
      <c r="S23" s="945"/>
    </row>
    <row r="24" spans="2:19" s="938" customFormat="1" ht="14.15" customHeight="1" x14ac:dyDescent="0.25">
      <c r="B24" s="939"/>
      <c r="C24" s="940" t="s">
        <v>444</v>
      </c>
      <c r="D24" s="940"/>
      <c r="E24" s="940"/>
      <c r="F24" s="942" t="s">
        <v>445</v>
      </c>
      <c r="G24" s="943">
        <v>0</v>
      </c>
      <c r="H24" s="943">
        <v>0</v>
      </c>
      <c r="I24" s="943">
        <v>0</v>
      </c>
      <c r="J24" s="943">
        <v>0</v>
      </c>
      <c r="K24" s="943">
        <v>0</v>
      </c>
      <c r="L24" s="943">
        <v>0</v>
      </c>
      <c r="M24" s="943">
        <v>0</v>
      </c>
      <c r="N24" s="943">
        <v>0</v>
      </c>
      <c r="O24" s="943">
        <v>0</v>
      </c>
      <c r="P24" s="943">
        <v>0</v>
      </c>
      <c r="Q24" s="943">
        <v>0</v>
      </c>
      <c r="R24" s="944">
        <f>SUM(G24:Q24)</f>
        <v>0</v>
      </c>
      <c r="S24" s="945"/>
    </row>
    <row r="25" spans="2:19" ht="13" x14ac:dyDescent="0.25">
      <c r="B25" s="66"/>
      <c r="C25" s="67"/>
      <c r="D25" s="68"/>
      <c r="E25" s="68"/>
      <c r="F25" s="69"/>
      <c r="G25" s="133"/>
      <c r="H25" s="133"/>
      <c r="I25" s="133"/>
      <c r="J25" s="133"/>
      <c r="K25" s="133"/>
      <c r="L25" s="133"/>
      <c r="M25" s="133"/>
      <c r="N25" s="133"/>
      <c r="O25" s="133"/>
      <c r="P25" s="133"/>
      <c r="Q25" s="133"/>
      <c r="R25" s="130"/>
      <c r="S25" s="58"/>
    </row>
    <row r="26" spans="2:19" ht="13" x14ac:dyDescent="0.25">
      <c r="B26" s="1015" t="s">
        <v>148</v>
      </c>
      <c r="C26" s="1016"/>
      <c r="D26" s="1016"/>
      <c r="E26" s="1017"/>
      <c r="F26" s="1018">
        <v>780</v>
      </c>
      <c r="G26" s="130"/>
      <c r="H26" s="130"/>
      <c r="I26" s="130"/>
      <c r="J26" s="130"/>
      <c r="K26" s="130"/>
      <c r="L26" s="130"/>
      <c r="M26" s="130"/>
      <c r="N26" s="130"/>
      <c r="O26" s="130"/>
      <c r="P26" s="130"/>
      <c r="Q26" s="130"/>
      <c r="R26" s="130"/>
      <c r="S26" s="58"/>
    </row>
    <row r="27" spans="2:19" ht="13" x14ac:dyDescent="0.25">
      <c r="B27" s="1015"/>
      <c r="C27" s="1016"/>
      <c r="D27" s="1016"/>
      <c r="E27" s="1017"/>
      <c r="F27" s="1018"/>
      <c r="G27" s="796">
        <v>0</v>
      </c>
      <c r="H27" s="796">
        <v>0</v>
      </c>
      <c r="I27" s="796">
        <v>0</v>
      </c>
      <c r="J27" s="796">
        <v>0</v>
      </c>
      <c r="K27" s="796">
        <v>0</v>
      </c>
      <c r="L27" s="796">
        <v>0</v>
      </c>
      <c r="M27" s="796">
        <v>0</v>
      </c>
      <c r="N27" s="796">
        <v>0</v>
      </c>
      <c r="O27" s="796">
        <v>0</v>
      </c>
      <c r="P27" s="796">
        <v>0</v>
      </c>
      <c r="Q27" s="796">
        <v>0</v>
      </c>
      <c r="R27" s="130">
        <f>SUM(G27:Q27)</f>
        <v>0</v>
      </c>
      <c r="S27" s="58"/>
    </row>
    <row r="28" spans="2:19" ht="13" x14ac:dyDescent="0.25">
      <c r="B28" s="66"/>
      <c r="C28" s="68"/>
      <c r="D28" s="68"/>
      <c r="E28" s="68"/>
      <c r="F28" s="69"/>
      <c r="G28" s="133"/>
      <c r="H28" s="133"/>
      <c r="I28" s="133"/>
      <c r="J28" s="133"/>
      <c r="K28" s="133"/>
      <c r="L28" s="133"/>
      <c r="M28" s="133"/>
      <c r="N28" s="133"/>
      <c r="O28" s="133"/>
      <c r="P28" s="133"/>
      <c r="Q28" s="133"/>
      <c r="R28" s="130"/>
      <c r="S28" s="58"/>
    </row>
    <row r="29" spans="2:19" ht="13" x14ac:dyDescent="0.25">
      <c r="B29" s="1015" t="s">
        <v>147</v>
      </c>
      <c r="C29" s="1016"/>
      <c r="D29" s="1016"/>
      <c r="E29" s="1017"/>
      <c r="F29" s="1018">
        <v>77</v>
      </c>
      <c r="G29" s="130"/>
      <c r="H29" s="130"/>
      <c r="I29" s="130"/>
      <c r="J29" s="130"/>
      <c r="K29" s="130"/>
      <c r="L29" s="130"/>
      <c r="M29" s="130"/>
      <c r="N29" s="130"/>
      <c r="O29" s="130"/>
      <c r="P29" s="130"/>
      <c r="Q29" s="130"/>
      <c r="R29" s="130"/>
      <c r="S29" s="44"/>
    </row>
    <row r="30" spans="2:19" ht="13" x14ac:dyDescent="0.25">
      <c r="B30" s="1015"/>
      <c r="C30" s="1016"/>
      <c r="D30" s="1016"/>
      <c r="E30" s="1017"/>
      <c r="F30" s="1018"/>
      <c r="G30" s="796">
        <v>0</v>
      </c>
      <c r="H30" s="796">
        <v>0</v>
      </c>
      <c r="I30" s="796">
        <v>0</v>
      </c>
      <c r="J30" s="796">
        <v>0</v>
      </c>
      <c r="K30" s="796">
        <v>0</v>
      </c>
      <c r="L30" s="796">
        <v>0</v>
      </c>
      <c r="M30" s="796">
        <v>0</v>
      </c>
      <c r="N30" s="796">
        <v>0</v>
      </c>
      <c r="O30" s="796">
        <v>0</v>
      </c>
      <c r="P30" s="796">
        <v>0</v>
      </c>
      <c r="Q30" s="796">
        <v>0</v>
      </c>
      <c r="R30" s="130">
        <f>SUM(G30:Q30)</f>
        <v>0</v>
      </c>
      <c r="S30" s="58"/>
    </row>
    <row r="31" spans="2:19" ht="13" x14ac:dyDescent="0.25">
      <c r="B31" s="66"/>
      <c r="C31" s="68"/>
      <c r="D31" s="68"/>
      <c r="E31" s="68"/>
      <c r="F31" s="69"/>
      <c r="G31" s="133"/>
      <c r="H31" s="133"/>
      <c r="I31" s="133"/>
      <c r="J31" s="133"/>
      <c r="K31" s="133"/>
      <c r="L31" s="133"/>
      <c r="M31" s="133"/>
      <c r="N31" s="133"/>
      <c r="O31" s="133"/>
      <c r="P31" s="133"/>
      <c r="Q31" s="133"/>
      <c r="R31" s="130"/>
      <c r="S31" s="44"/>
    </row>
    <row r="32" spans="2:19" ht="13" x14ac:dyDescent="0.25">
      <c r="B32" s="64" t="s">
        <v>149</v>
      </c>
      <c r="C32" s="56"/>
      <c r="D32" s="65"/>
      <c r="E32" s="56"/>
      <c r="F32" s="57"/>
      <c r="G32" s="796">
        <v>0</v>
      </c>
      <c r="H32" s="796">
        <v>0</v>
      </c>
      <c r="I32" s="796">
        <v>0</v>
      </c>
      <c r="J32" s="796">
        <v>0</v>
      </c>
      <c r="K32" s="796">
        <v>0</v>
      </c>
      <c r="L32" s="796">
        <v>0</v>
      </c>
      <c r="M32" s="796">
        <v>0</v>
      </c>
      <c r="N32" s="796">
        <v>0</v>
      </c>
      <c r="O32" s="796">
        <v>0</v>
      </c>
      <c r="P32" s="796">
        <v>0</v>
      </c>
      <c r="Q32" s="796">
        <v>0</v>
      </c>
      <c r="R32" s="130">
        <f>SUM(G32:Q32)</f>
        <v>0</v>
      </c>
      <c r="S32" s="58"/>
    </row>
    <row r="33" spans="2:19" x14ac:dyDescent="0.25">
      <c r="B33" s="62"/>
      <c r="C33" s="60"/>
      <c r="D33" s="60"/>
      <c r="E33" s="60"/>
      <c r="F33" s="61"/>
      <c r="G33" s="134"/>
      <c r="H33" s="134"/>
      <c r="I33" s="134"/>
      <c r="J33" s="134"/>
      <c r="K33" s="134"/>
      <c r="L33" s="134"/>
      <c r="M33" s="134"/>
      <c r="N33" s="134"/>
      <c r="O33" s="134"/>
      <c r="P33" s="134"/>
      <c r="Q33" s="134"/>
      <c r="R33" s="134"/>
      <c r="S33" s="58"/>
    </row>
    <row r="34" spans="2:19" ht="15.5" x14ac:dyDescent="0.25">
      <c r="B34" s="70"/>
      <c r="C34" s="71"/>
      <c r="D34" s="71"/>
      <c r="E34" s="72"/>
      <c r="F34" s="73"/>
      <c r="G34" s="135"/>
      <c r="H34" s="135"/>
      <c r="I34" s="135"/>
      <c r="J34" s="135"/>
      <c r="K34" s="135"/>
      <c r="L34" s="135"/>
      <c r="M34" s="135"/>
      <c r="N34" s="135"/>
      <c r="O34" s="135"/>
      <c r="P34" s="135"/>
      <c r="Q34" s="135"/>
      <c r="R34" s="135"/>
      <c r="S34" s="58"/>
    </row>
    <row r="35" spans="2:19" ht="14" x14ac:dyDescent="0.25">
      <c r="B35" s="74"/>
      <c r="C35" s="75"/>
      <c r="D35" s="75"/>
      <c r="E35" s="76" t="s">
        <v>20</v>
      </c>
      <c r="F35" s="77"/>
      <c r="G35" s="136">
        <f>SUM(G12,G22,G27,G30,G32)</f>
        <v>0</v>
      </c>
      <c r="H35" s="136">
        <f t="shared" ref="H35:R35" si="2">SUM(H12,H22,H27,H30,H32)</f>
        <v>0</v>
      </c>
      <c r="I35" s="136">
        <f t="shared" si="2"/>
        <v>0</v>
      </c>
      <c r="J35" s="136">
        <f t="shared" si="2"/>
        <v>0</v>
      </c>
      <c r="K35" s="136">
        <f t="shared" si="2"/>
        <v>0</v>
      </c>
      <c r="L35" s="136">
        <f t="shared" si="2"/>
        <v>0</v>
      </c>
      <c r="M35" s="136">
        <f t="shared" si="2"/>
        <v>0</v>
      </c>
      <c r="N35" s="136">
        <f t="shared" si="2"/>
        <v>0</v>
      </c>
      <c r="O35" s="136">
        <f t="shared" si="2"/>
        <v>0</v>
      </c>
      <c r="P35" s="136">
        <f t="shared" si="2"/>
        <v>0</v>
      </c>
      <c r="Q35" s="136">
        <f t="shared" si="2"/>
        <v>0</v>
      </c>
      <c r="R35" s="136">
        <f t="shared" si="2"/>
        <v>0</v>
      </c>
      <c r="S35" s="58"/>
    </row>
    <row r="36" spans="2:19" ht="16" thickBot="1" x14ac:dyDescent="0.3">
      <c r="B36" s="78"/>
      <c r="C36" s="79"/>
      <c r="D36" s="79"/>
      <c r="E36" s="80"/>
      <c r="F36" s="81"/>
      <c r="G36" s="82"/>
      <c r="H36" s="82"/>
      <c r="I36" s="82"/>
      <c r="J36" s="82"/>
      <c r="K36" s="82"/>
      <c r="L36" s="82"/>
      <c r="M36" s="82"/>
      <c r="N36" s="82"/>
      <c r="O36" s="82"/>
      <c r="P36" s="82"/>
      <c r="Q36" s="82"/>
      <c r="R36" s="82"/>
      <c r="S36" s="44"/>
    </row>
    <row r="37" spans="2:19" ht="13.5" thickTop="1" x14ac:dyDescent="0.3">
      <c r="B37" s="83"/>
      <c r="C37" s="84"/>
      <c r="D37" s="84"/>
      <c r="E37" s="84"/>
      <c r="F37" s="85"/>
      <c r="G37" s="86"/>
      <c r="H37" s="86"/>
      <c r="I37" s="86"/>
      <c r="J37" s="86"/>
      <c r="K37" s="86"/>
      <c r="L37" s="86"/>
      <c r="M37" s="86"/>
      <c r="N37" s="86"/>
      <c r="O37" s="86"/>
      <c r="P37" s="86"/>
      <c r="Q37" s="86"/>
      <c r="R37" s="84"/>
      <c r="S37" s="44"/>
    </row>
    <row r="38" spans="2:19" ht="13.5" thickBot="1" x14ac:dyDescent="0.35">
      <c r="B38" s="83"/>
      <c r="C38" s="84"/>
      <c r="D38" s="84"/>
      <c r="E38" s="84"/>
      <c r="F38" s="85"/>
      <c r="G38" s="86"/>
      <c r="H38" s="86"/>
      <c r="I38" s="86"/>
      <c r="J38" s="86"/>
      <c r="K38" s="86"/>
      <c r="L38" s="86"/>
      <c r="M38" s="86"/>
      <c r="N38" s="86"/>
      <c r="O38" s="86"/>
      <c r="P38" s="86"/>
      <c r="Q38" s="86"/>
      <c r="R38" s="84"/>
      <c r="S38" s="44"/>
    </row>
    <row r="39" spans="2:19" ht="13" thickTop="1" x14ac:dyDescent="0.25">
      <c r="B39" s="999" t="s">
        <v>47</v>
      </c>
      <c r="C39" s="1000"/>
      <c r="D39" s="1000"/>
      <c r="E39" s="1001"/>
      <c r="F39" s="1005" t="s">
        <v>3</v>
      </c>
      <c r="G39" s="993" t="s">
        <v>55</v>
      </c>
      <c r="H39" s="994"/>
      <c r="I39" s="994"/>
      <c r="J39" s="994"/>
      <c r="K39" s="995"/>
      <c r="L39" s="993" t="s">
        <v>56</v>
      </c>
      <c r="M39" s="994"/>
      <c r="N39" s="994"/>
      <c r="O39" s="994"/>
      <c r="P39" s="995"/>
      <c r="Q39" s="991" t="s">
        <v>57</v>
      </c>
      <c r="R39" s="991" t="s">
        <v>20</v>
      </c>
      <c r="S39" s="44"/>
    </row>
    <row r="40" spans="2:19" x14ac:dyDescent="0.25">
      <c r="B40" s="1002"/>
      <c r="C40" s="1003"/>
      <c r="D40" s="1003"/>
      <c r="E40" s="1004"/>
      <c r="F40" s="1006"/>
      <c r="G40" s="996"/>
      <c r="H40" s="997"/>
      <c r="I40" s="997"/>
      <c r="J40" s="997"/>
      <c r="K40" s="998"/>
      <c r="L40" s="996"/>
      <c r="M40" s="997"/>
      <c r="N40" s="997"/>
      <c r="O40" s="997"/>
      <c r="P40" s="998"/>
      <c r="Q40" s="992"/>
      <c r="R40" s="992"/>
      <c r="S40" s="44"/>
    </row>
    <row r="41" spans="2:19" ht="26" x14ac:dyDescent="0.25">
      <c r="B41" s="126"/>
      <c r="C41" s="127"/>
      <c r="D41" s="127"/>
      <c r="E41" s="127"/>
      <c r="F41" s="57"/>
      <c r="G41" s="987" t="s">
        <v>79</v>
      </c>
      <c r="H41" s="988"/>
      <c r="I41" s="988"/>
      <c r="J41" s="989"/>
      <c r="K41" s="49" t="s">
        <v>57</v>
      </c>
      <c r="L41" s="987" t="s">
        <v>79</v>
      </c>
      <c r="M41" s="988"/>
      <c r="N41" s="988"/>
      <c r="O41" s="990"/>
      <c r="P41" s="129" t="s">
        <v>57</v>
      </c>
      <c r="Q41" s="782"/>
      <c r="R41" s="782"/>
      <c r="S41" s="44"/>
    </row>
    <row r="42" spans="2:19" ht="31.5" customHeight="1" x14ac:dyDescent="0.3">
      <c r="B42" s="45"/>
      <c r="C42" s="46"/>
      <c r="D42" s="47"/>
      <c r="E42" s="47"/>
      <c r="F42" s="48"/>
      <c r="G42" s="49" t="s">
        <v>162</v>
      </c>
      <c r="H42" s="49" t="s">
        <v>163</v>
      </c>
      <c r="I42" s="49" t="s">
        <v>164</v>
      </c>
      <c r="J42" s="49" t="s">
        <v>78</v>
      </c>
      <c r="K42" s="49"/>
      <c r="L42" s="49" t="s">
        <v>162</v>
      </c>
      <c r="M42" s="49" t="s">
        <v>163</v>
      </c>
      <c r="N42" s="49" t="s">
        <v>164</v>
      </c>
      <c r="O42" s="49" t="s">
        <v>78</v>
      </c>
      <c r="P42" s="49"/>
      <c r="Q42" s="50"/>
      <c r="R42" s="50"/>
      <c r="S42" s="44"/>
    </row>
    <row r="43" spans="2:19" ht="13" x14ac:dyDescent="0.3">
      <c r="B43" s="45"/>
      <c r="C43" s="46"/>
      <c r="D43" s="47"/>
      <c r="E43" s="47"/>
      <c r="F43" s="48"/>
      <c r="G43" s="51"/>
      <c r="H43" s="51"/>
      <c r="I43" s="51"/>
      <c r="J43" s="51"/>
      <c r="K43" s="51"/>
      <c r="L43" s="51"/>
      <c r="M43" s="51"/>
      <c r="N43" s="51"/>
      <c r="O43" s="51"/>
      <c r="P43" s="51"/>
      <c r="Q43" s="51"/>
      <c r="R43" s="51"/>
      <c r="S43" s="44"/>
    </row>
    <row r="44" spans="2:19" x14ac:dyDescent="0.25">
      <c r="B44" s="52"/>
      <c r="C44" s="53"/>
      <c r="D44" s="53"/>
      <c r="E44" s="53"/>
      <c r="F44" s="783"/>
      <c r="G44" s="54"/>
      <c r="H44" s="54"/>
      <c r="I44" s="54"/>
      <c r="J44" s="54"/>
      <c r="K44" s="54"/>
      <c r="L44" s="54"/>
      <c r="M44" s="54"/>
      <c r="N44" s="54"/>
      <c r="O44" s="54"/>
      <c r="P44" s="54"/>
      <c r="Q44" s="54"/>
      <c r="R44" s="54"/>
      <c r="S44" s="44"/>
    </row>
    <row r="45" spans="2:19" ht="13" x14ac:dyDescent="0.25">
      <c r="B45" s="55" t="s">
        <v>150</v>
      </c>
      <c r="C45" s="56"/>
      <c r="D45" s="56"/>
      <c r="E45" s="56"/>
      <c r="F45" s="57" t="s">
        <v>453</v>
      </c>
      <c r="G45" s="130">
        <f>SUM(G47,G48,G49,G51,G54,G56,G57,G59,G60)</f>
        <v>0</v>
      </c>
      <c r="H45" s="130">
        <f t="shared" ref="H45:R45" si="3">SUM(H47,H48,H49,H51,H54,H56,H57,H59,H60)</f>
        <v>0</v>
      </c>
      <c r="I45" s="130">
        <f t="shared" si="3"/>
        <v>0</v>
      </c>
      <c r="J45" s="130">
        <f t="shared" si="3"/>
        <v>0</v>
      </c>
      <c r="K45" s="130">
        <f t="shared" si="3"/>
        <v>0</v>
      </c>
      <c r="L45" s="130">
        <f t="shared" si="3"/>
        <v>0</v>
      </c>
      <c r="M45" s="130">
        <f t="shared" si="3"/>
        <v>0</v>
      </c>
      <c r="N45" s="130">
        <f t="shared" si="3"/>
        <v>0</v>
      </c>
      <c r="O45" s="130">
        <f t="shared" si="3"/>
        <v>0</v>
      </c>
      <c r="P45" s="130">
        <f t="shared" si="3"/>
        <v>0</v>
      </c>
      <c r="Q45" s="130">
        <f t="shared" si="3"/>
        <v>0</v>
      </c>
      <c r="R45" s="130">
        <f t="shared" si="3"/>
        <v>0</v>
      </c>
      <c r="S45" s="44"/>
    </row>
    <row r="46" spans="2:19" x14ac:dyDescent="0.25">
      <c r="B46" s="59"/>
      <c r="C46" s="60"/>
      <c r="D46" s="60"/>
      <c r="E46" s="60"/>
      <c r="F46" s="61"/>
      <c r="G46" s="131"/>
      <c r="H46" s="131"/>
      <c r="I46" s="131"/>
      <c r="J46" s="131"/>
      <c r="K46" s="131"/>
      <c r="L46" s="131"/>
      <c r="M46" s="131"/>
      <c r="N46" s="131"/>
      <c r="O46" s="131"/>
      <c r="P46" s="131"/>
      <c r="Q46" s="131"/>
      <c r="R46" s="131"/>
      <c r="S46" s="44"/>
    </row>
    <row r="47" spans="2:19" x14ac:dyDescent="0.25">
      <c r="B47" s="62"/>
      <c r="C47" s="60" t="s">
        <v>48</v>
      </c>
      <c r="D47" s="60"/>
      <c r="E47" s="60"/>
      <c r="F47" s="61">
        <v>60</v>
      </c>
      <c r="G47" s="795">
        <v>0</v>
      </c>
      <c r="H47" s="795">
        <v>0</v>
      </c>
      <c r="I47" s="795">
        <v>0</v>
      </c>
      <c r="J47" s="795">
        <v>0</v>
      </c>
      <c r="K47" s="795">
        <v>0</v>
      </c>
      <c r="L47" s="795">
        <v>0</v>
      </c>
      <c r="M47" s="795">
        <v>0</v>
      </c>
      <c r="N47" s="795">
        <v>0</v>
      </c>
      <c r="O47" s="795">
        <v>0</v>
      </c>
      <c r="P47" s="795">
        <v>0</v>
      </c>
      <c r="Q47" s="795">
        <v>0</v>
      </c>
      <c r="R47" s="131">
        <f>SUM(G47:Q47)</f>
        <v>0</v>
      </c>
      <c r="S47" s="44"/>
    </row>
    <row r="48" spans="2:19" x14ac:dyDescent="0.25">
      <c r="B48" s="62"/>
      <c r="C48" s="63" t="s">
        <v>49</v>
      </c>
      <c r="D48" s="60"/>
      <c r="E48" s="60"/>
      <c r="F48" s="61">
        <v>61</v>
      </c>
      <c r="G48" s="795">
        <v>0</v>
      </c>
      <c r="H48" s="795">
        <v>0</v>
      </c>
      <c r="I48" s="795">
        <v>0</v>
      </c>
      <c r="J48" s="795">
        <v>0</v>
      </c>
      <c r="K48" s="795">
        <v>0</v>
      </c>
      <c r="L48" s="795">
        <v>0</v>
      </c>
      <c r="M48" s="795">
        <v>0</v>
      </c>
      <c r="N48" s="795">
        <v>0</v>
      </c>
      <c r="O48" s="795">
        <v>0</v>
      </c>
      <c r="P48" s="795">
        <v>0</v>
      </c>
      <c r="Q48" s="795">
        <v>0</v>
      </c>
      <c r="R48" s="131">
        <f>SUM(G48:Q48)</f>
        <v>0</v>
      </c>
      <c r="S48" s="44"/>
    </row>
    <row r="49" spans="2:19" x14ac:dyDescent="0.25">
      <c r="B49" s="62"/>
      <c r="C49" s="60" t="s">
        <v>50</v>
      </c>
      <c r="D49" s="60"/>
      <c r="E49" s="60"/>
      <c r="F49" s="61">
        <v>62</v>
      </c>
      <c r="G49" s="795">
        <v>0</v>
      </c>
      <c r="H49" s="795">
        <v>0</v>
      </c>
      <c r="I49" s="795">
        <v>0</v>
      </c>
      <c r="J49" s="795">
        <v>0</v>
      </c>
      <c r="K49" s="795">
        <v>0</v>
      </c>
      <c r="L49" s="795">
        <v>0</v>
      </c>
      <c r="M49" s="795">
        <v>0</v>
      </c>
      <c r="N49" s="795">
        <v>0</v>
      </c>
      <c r="O49" s="795">
        <v>0</v>
      </c>
      <c r="P49" s="795">
        <v>0</v>
      </c>
      <c r="Q49" s="795">
        <v>0</v>
      </c>
      <c r="R49" s="131">
        <f>SUM(G49:Q49)</f>
        <v>0</v>
      </c>
      <c r="S49" s="44"/>
    </row>
    <row r="50" spans="2:19" x14ac:dyDescent="0.25">
      <c r="B50" s="62"/>
      <c r="C50" s="1013" t="s">
        <v>151</v>
      </c>
      <c r="D50" s="1013"/>
      <c r="E50" s="1014"/>
      <c r="F50" s="1019">
        <v>630</v>
      </c>
      <c r="G50" s="131"/>
      <c r="H50" s="131"/>
      <c r="I50" s="131"/>
      <c r="J50" s="131"/>
      <c r="K50" s="131"/>
      <c r="L50" s="131"/>
      <c r="M50" s="131"/>
      <c r="N50" s="131"/>
      <c r="O50" s="131"/>
      <c r="P50" s="131"/>
      <c r="Q50" s="131"/>
      <c r="R50" s="131"/>
      <c r="S50" s="44"/>
    </row>
    <row r="51" spans="2:19" x14ac:dyDescent="0.25">
      <c r="B51" s="62"/>
      <c r="C51" s="1013"/>
      <c r="D51" s="1013"/>
      <c r="E51" s="1014"/>
      <c r="F51" s="1019"/>
      <c r="G51" s="795">
        <v>0</v>
      </c>
      <c r="H51" s="795">
        <v>0</v>
      </c>
      <c r="I51" s="795">
        <v>0</v>
      </c>
      <c r="J51" s="795">
        <v>0</v>
      </c>
      <c r="K51" s="795">
        <v>0</v>
      </c>
      <c r="L51" s="795">
        <v>0</v>
      </c>
      <c r="M51" s="795">
        <v>0</v>
      </c>
      <c r="N51" s="795">
        <v>0</v>
      </c>
      <c r="O51" s="795">
        <v>0</v>
      </c>
      <c r="P51" s="795">
        <v>0</v>
      </c>
      <c r="Q51" s="795">
        <v>0</v>
      </c>
      <c r="R51" s="131">
        <f>SUM(G51:Q51)</f>
        <v>0</v>
      </c>
      <c r="S51" s="44"/>
    </row>
    <row r="52" spans="2:19" x14ac:dyDescent="0.25">
      <c r="B52" s="62"/>
      <c r="C52" s="1013" t="s">
        <v>152</v>
      </c>
      <c r="D52" s="1013"/>
      <c r="E52" s="1014"/>
      <c r="F52" s="1019" t="s">
        <v>51</v>
      </c>
      <c r="G52" s="131"/>
      <c r="H52" s="131"/>
      <c r="I52" s="131"/>
      <c r="J52" s="131"/>
      <c r="K52" s="131"/>
      <c r="L52" s="131"/>
      <c r="M52" s="131"/>
      <c r="N52" s="131"/>
      <c r="O52" s="131"/>
      <c r="P52" s="131"/>
      <c r="Q52" s="131"/>
      <c r="R52" s="131"/>
      <c r="S52" s="44"/>
    </row>
    <row r="53" spans="2:19" x14ac:dyDescent="0.25">
      <c r="B53" s="62"/>
      <c r="C53" s="1013"/>
      <c r="D53" s="1013"/>
      <c r="E53" s="1014"/>
      <c r="F53" s="1019"/>
      <c r="G53" s="131"/>
      <c r="H53" s="131"/>
      <c r="I53" s="131"/>
      <c r="J53" s="131"/>
      <c r="K53" s="131"/>
      <c r="L53" s="131"/>
      <c r="M53" s="131"/>
      <c r="N53" s="131"/>
      <c r="O53" s="131"/>
      <c r="P53" s="131"/>
      <c r="Q53" s="131"/>
      <c r="R53" s="131"/>
      <c r="S53" s="44"/>
    </row>
    <row r="54" spans="2:19" ht="15" customHeight="1" x14ac:dyDescent="0.25">
      <c r="B54" s="62"/>
      <c r="C54" s="1013"/>
      <c r="D54" s="1013"/>
      <c r="E54" s="1014"/>
      <c r="F54" s="1019"/>
      <c r="G54" s="795">
        <v>0</v>
      </c>
      <c r="H54" s="795">
        <v>0</v>
      </c>
      <c r="I54" s="795">
        <v>0</v>
      </c>
      <c r="J54" s="795">
        <v>0</v>
      </c>
      <c r="K54" s="795">
        <v>0</v>
      </c>
      <c r="L54" s="795">
        <v>0</v>
      </c>
      <c r="M54" s="795">
        <v>0</v>
      </c>
      <c r="N54" s="795">
        <v>0</v>
      </c>
      <c r="O54" s="795">
        <v>0</v>
      </c>
      <c r="P54" s="795">
        <v>0</v>
      </c>
      <c r="Q54" s="795">
        <v>0</v>
      </c>
      <c r="R54" s="131">
        <f>SUM(G54:Q54)</f>
        <v>0</v>
      </c>
      <c r="S54" s="44"/>
    </row>
    <row r="55" spans="2:19" x14ac:dyDescent="0.25">
      <c r="B55" s="62"/>
      <c r="C55" s="1013" t="s">
        <v>153</v>
      </c>
      <c r="D55" s="1013"/>
      <c r="E55" s="1014"/>
      <c r="F55" s="1019" t="s">
        <v>400</v>
      </c>
      <c r="G55" s="131"/>
      <c r="H55" s="131"/>
      <c r="I55" s="131"/>
      <c r="J55" s="131"/>
      <c r="K55" s="131"/>
      <c r="L55" s="131"/>
      <c r="M55" s="131"/>
      <c r="N55" s="131"/>
      <c r="O55" s="131"/>
      <c r="P55" s="131"/>
      <c r="Q55" s="131"/>
      <c r="R55" s="131"/>
      <c r="S55" s="44"/>
    </row>
    <row r="56" spans="2:19" ht="16.5" customHeight="1" x14ac:dyDescent="0.25">
      <c r="B56" s="62"/>
      <c r="C56" s="1013"/>
      <c r="D56" s="1013"/>
      <c r="E56" s="1014"/>
      <c r="F56" s="1019"/>
      <c r="G56" s="795">
        <v>0</v>
      </c>
      <c r="H56" s="795">
        <v>0</v>
      </c>
      <c r="I56" s="795">
        <v>0</v>
      </c>
      <c r="J56" s="795">
        <v>0</v>
      </c>
      <c r="K56" s="795">
        <v>0</v>
      </c>
      <c r="L56" s="795">
        <v>0</v>
      </c>
      <c r="M56" s="795">
        <v>0</v>
      </c>
      <c r="N56" s="795">
        <v>0</v>
      </c>
      <c r="O56" s="795">
        <v>0</v>
      </c>
      <c r="P56" s="795">
        <v>0</v>
      </c>
      <c r="Q56" s="795">
        <v>0</v>
      </c>
      <c r="R56" s="131">
        <f>SUM(G56:Q56)</f>
        <v>0</v>
      </c>
      <c r="S56" s="44"/>
    </row>
    <row r="57" spans="2:19" x14ac:dyDescent="0.25">
      <c r="B57" s="62"/>
      <c r="C57" s="60" t="s">
        <v>52</v>
      </c>
      <c r="D57" s="60"/>
      <c r="E57" s="60"/>
      <c r="F57" s="61" t="s">
        <v>53</v>
      </c>
      <c r="G57" s="795">
        <v>0</v>
      </c>
      <c r="H57" s="795">
        <v>0</v>
      </c>
      <c r="I57" s="795">
        <v>0</v>
      </c>
      <c r="J57" s="795">
        <v>0</v>
      </c>
      <c r="K57" s="795">
        <v>0</v>
      </c>
      <c r="L57" s="795">
        <v>0</v>
      </c>
      <c r="M57" s="795">
        <v>0</v>
      </c>
      <c r="N57" s="795">
        <v>0</v>
      </c>
      <c r="O57" s="795">
        <v>0</v>
      </c>
      <c r="P57" s="795">
        <v>0</v>
      </c>
      <c r="Q57" s="795">
        <v>0</v>
      </c>
      <c r="R57" s="131">
        <f>SUM(G57:Q57)</f>
        <v>0</v>
      </c>
      <c r="S57" s="44"/>
    </row>
    <row r="58" spans="2:19" ht="12.65" customHeight="1" x14ac:dyDescent="0.25">
      <c r="B58" s="62"/>
      <c r="C58" s="1013" t="s">
        <v>398</v>
      </c>
      <c r="D58" s="1013"/>
      <c r="E58" s="1014"/>
      <c r="F58" s="1019">
        <v>649</v>
      </c>
      <c r="G58" s="131"/>
      <c r="H58" s="131"/>
      <c r="I58" s="131"/>
      <c r="J58" s="131"/>
      <c r="K58" s="131"/>
      <c r="L58" s="131"/>
      <c r="M58" s="131"/>
      <c r="N58" s="131"/>
      <c r="O58" s="131"/>
      <c r="P58" s="131"/>
      <c r="Q58" s="131"/>
      <c r="R58" s="131"/>
      <c r="S58" s="44"/>
    </row>
    <row r="59" spans="2:19" x14ac:dyDescent="0.25">
      <c r="B59" s="62"/>
      <c r="C59" s="1013"/>
      <c r="D59" s="1013"/>
      <c r="E59" s="1014"/>
      <c r="F59" s="1019"/>
      <c r="G59" s="795">
        <v>0</v>
      </c>
      <c r="H59" s="795">
        <v>0</v>
      </c>
      <c r="I59" s="795">
        <v>0</v>
      </c>
      <c r="J59" s="795">
        <v>0</v>
      </c>
      <c r="K59" s="795">
        <v>0</v>
      </c>
      <c r="L59" s="795">
        <v>0</v>
      </c>
      <c r="M59" s="795">
        <v>0</v>
      </c>
      <c r="N59" s="795">
        <v>0</v>
      </c>
      <c r="O59" s="795">
        <v>0</v>
      </c>
      <c r="P59" s="795">
        <v>0</v>
      </c>
      <c r="Q59" s="795">
        <v>0</v>
      </c>
      <c r="R59" s="131">
        <f>SUM(G59:Q59)</f>
        <v>0</v>
      </c>
      <c r="S59" s="44"/>
    </row>
    <row r="60" spans="2:19" s="938" customFormat="1" x14ac:dyDescent="0.25">
      <c r="B60" s="939"/>
      <c r="C60" s="940" t="s">
        <v>447</v>
      </c>
      <c r="D60" s="940"/>
      <c r="E60" s="940"/>
      <c r="F60" s="942" t="s">
        <v>448</v>
      </c>
      <c r="G60" s="943">
        <v>0</v>
      </c>
      <c r="H60" s="943">
        <v>0</v>
      </c>
      <c r="I60" s="943">
        <v>0</v>
      </c>
      <c r="J60" s="943">
        <v>0</v>
      </c>
      <c r="K60" s="943">
        <v>0</v>
      </c>
      <c r="L60" s="943">
        <v>0</v>
      </c>
      <c r="M60" s="943">
        <v>0</v>
      </c>
      <c r="N60" s="943">
        <v>0</v>
      </c>
      <c r="O60" s="943">
        <v>0</v>
      </c>
      <c r="P60" s="943">
        <v>0</v>
      </c>
      <c r="Q60" s="943">
        <v>0</v>
      </c>
      <c r="R60" s="944">
        <f>SUM(G60:Q60)</f>
        <v>0</v>
      </c>
      <c r="S60" s="945"/>
    </row>
    <row r="61" spans="2:19" x14ac:dyDescent="0.25">
      <c r="B61" s="62"/>
      <c r="C61" s="63"/>
      <c r="D61" s="60"/>
      <c r="E61" s="60"/>
      <c r="F61" s="61"/>
      <c r="G61" s="131"/>
      <c r="H61" s="131"/>
      <c r="I61" s="131"/>
      <c r="J61" s="131"/>
      <c r="K61" s="131"/>
      <c r="L61" s="131"/>
      <c r="M61" s="131"/>
      <c r="N61" s="131"/>
      <c r="O61" s="131"/>
      <c r="P61" s="131"/>
      <c r="Q61" s="131"/>
      <c r="R61" s="131"/>
      <c r="S61" s="44"/>
    </row>
    <row r="62" spans="2:19" ht="13" x14ac:dyDescent="0.25">
      <c r="B62" s="64" t="s">
        <v>154</v>
      </c>
      <c r="C62" s="65"/>
      <c r="D62" s="56"/>
      <c r="E62" s="56"/>
      <c r="F62" s="57" t="s">
        <v>452</v>
      </c>
      <c r="G62" s="946">
        <f>SUM(G63:G64)</f>
        <v>0</v>
      </c>
      <c r="H62" s="946">
        <f t="shared" ref="H62:R62" si="4">SUM(H63:H64)</f>
        <v>0</v>
      </c>
      <c r="I62" s="946">
        <f t="shared" si="4"/>
        <v>0</v>
      </c>
      <c r="J62" s="946">
        <f t="shared" si="4"/>
        <v>0</v>
      </c>
      <c r="K62" s="946">
        <f t="shared" si="4"/>
        <v>0</v>
      </c>
      <c r="L62" s="946">
        <f t="shared" si="4"/>
        <v>0</v>
      </c>
      <c r="M62" s="946">
        <f t="shared" si="4"/>
        <v>0</v>
      </c>
      <c r="N62" s="946">
        <f t="shared" si="4"/>
        <v>0</v>
      </c>
      <c r="O62" s="946">
        <f t="shared" si="4"/>
        <v>0</v>
      </c>
      <c r="P62" s="946">
        <f t="shared" si="4"/>
        <v>0</v>
      </c>
      <c r="Q62" s="946">
        <f t="shared" si="4"/>
        <v>0</v>
      </c>
      <c r="R62" s="130">
        <f t="shared" si="4"/>
        <v>0</v>
      </c>
      <c r="S62" s="44"/>
    </row>
    <row r="63" spans="2:19" s="938" customFormat="1" ht="14.15" customHeight="1" x14ac:dyDescent="0.25">
      <c r="B63" s="939"/>
      <c r="C63" s="940" t="s">
        <v>449</v>
      </c>
      <c r="D63" s="940"/>
      <c r="E63" s="940"/>
      <c r="F63" s="942">
        <v>65</v>
      </c>
      <c r="G63" s="943">
        <v>0</v>
      </c>
      <c r="H63" s="943">
        <v>0</v>
      </c>
      <c r="I63" s="943">
        <v>0</v>
      </c>
      <c r="J63" s="943">
        <v>0</v>
      </c>
      <c r="K63" s="943">
        <v>0</v>
      </c>
      <c r="L63" s="943">
        <v>0</v>
      </c>
      <c r="M63" s="943">
        <v>0</v>
      </c>
      <c r="N63" s="943">
        <v>0</v>
      </c>
      <c r="O63" s="943">
        <v>0</v>
      </c>
      <c r="P63" s="943">
        <v>0</v>
      </c>
      <c r="Q63" s="943">
        <v>0</v>
      </c>
      <c r="R63" s="944">
        <f>SUM(G63:Q63)</f>
        <v>0</v>
      </c>
      <c r="S63" s="945"/>
    </row>
    <row r="64" spans="2:19" s="938" customFormat="1" ht="14.15" customHeight="1" x14ac:dyDescent="0.25">
      <c r="B64" s="939"/>
      <c r="C64" s="940" t="s">
        <v>450</v>
      </c>
      <c r="D64" s="940"/>
      <c r="E64" s="940"/>
      <c r="F64" s="942" t="s">
        <v>451</v>
      </c>
      <c r="G64" s="943">
        <v>0</v>
      </c>
      <c r="H64" s="943">
        <v>0</v>
      </c>
      <c r="I64" s="943">
        <v>0</v>
      </c>
      <c r="J64" s="943">
        <v>0</v>
      </c>
      <c r="K64" s="943">
        <v>0</v>
      </c>
      <c r="L64" s="943">
        <v>0</v>
      </c>
      <c r="M64" s="943">
        <v>0</v>
      </c>
      <c r="N64" s="943">
        <v>0</v>
      </c>
      <c r="O64" s="943">
        <v>0</v>
      </c>
      <c r="P64" s="943">
        <v>0</v>
      </c>
      <c r="Q64" s="943">
        <v>0</v>
      </c>
      <c r="R64" s="944">
        <f>SUM(G64:Q64)</f>
        <v>0</v>
      </c>
      <c r="S64" s="945"/>
    </row>
    <row r="65" spans="2:19" ht="13" x14ac:dyDescent="0.25">
      <c r="B65" s="66"/>
      <c r="C65" s="67"/>
      <c r="D65" s="68"/>
      <c r="E65" s="68"/>
      <c r="F65" s="69"/>
      <c r="G65" s="133"/>
      <c r="H65" s="133"/>
      <c r="I65" s="133"/>
      <c r="J65" s="133"/>
      <c r="K65" s="133"/>
      <c r="L65" s="133"/>
      <c r="M65" s="133"/>
      <c r="N65" s="133"/>
      <c r="O65" s="133"/>
      <c r="P65" s="133"/>
      <c r="Q65" s="133"/>
      <c r="R65" s="130"/>
      <c r="S65" s="44"/>
    </row>
    <row r="66" spans="2:19" ht="13" x14ac:dyDescent="0.25">
      <c r="B66" s="1020" t="s">
        <v>155</v>
      </c>
      <c r="C66" s="1021"/>
      <c r="D66" s="1021"/>
      <c r="E66" s="1022"/>
      <c r="F66" s="1018">
        <v>680</v>
      </c>
      <c r="G66" s="130"/>
      <c r="H66" s="130"/>
      <c r="I66" s="130"/>
      <c r="J66" s="130"/>
      <c r="K66" s="130"/>
      <c r="L66" s="130"/>
      <c r="M66" s="130"/>
      <c r="N66" s="130"/>
      <c r="O66" s="130"/>
      <c r="P66" s="130"/>
      <c r="Q66" s="130"/>
      <c r="R66" s="130"/>
      <c r="S66" s="44"/>
    </row>
    <row r="67" spans="2:19" ht="13" x14ac:dyDescent="0.25">
      <c r="B67" s="1020"/>
      <c r="C67" s="1021"/>
      <c r="D67" s="1021"/>
      <c r="E67" s="1022"/>
      <c r="F67" s="1018"/>
      <c r="G67" s="796">
        <v>0</v>
      </c>
      <c r="H67" s="796">
        <v>0</v>
      </c>
      <c r="I67" s="796">
        <v>0</v>
      </c>
      <c r="J67" s="796">
        <v>0</v>
      </c>
      <c r="K67" s="796">
        <v>0</v>
      </c>
      <c r="L67" s="796">
        <v>0</v>
      </c>
      <c r="M67" s="796">
        <v>0</v>
      </c>
      <c r="N67" s="796">
        <v>0</v>
      </c>
      <c r="O67" s="796">
        <v>0</v>
      </c>
      <c r="P67" s="796">
        <v>0</v>
      </c>
      <c r="Q67" s="796">
        <v>0</v>
      </c>
      <c r="R67" s="130">
        <f>SUM(G67:Q67)</f>
        <v>0</v>
      </c>
      <c r="S67" s="44"/>
    </row>
    <row r="68" spans="2:19" ht="13" x14ac:dyDescent="0.25">
      <c r="B68" s="66"/>
      <c r="C68" s="68"/>
      <c r="D68" s="68"/>
      <c r="E68" s="68"/>
      <c r="F68" s="69"/>
      <c r="G68" s="133"/>
      <c r="H68" s="133"/>
      <c r="I68" s="133"/>
      <c r="J68" s="133"/>
      <c r="K68" s="133"/>
      <c r="L68" s="133"/>
      <c r="M68" s="133"/>
      <c r="N68" s="133"/>
      <c r="O68" s="133"/>
      <c r="P68" s="133"/>
      <c r="Q68" s="133"/>
      <c r="R68" s="133"/>
      <c r="S68" s="44"/>
    </row>
    <row r="69" spans="2:19" ht="13" x14ac:dyDescent="0.25">
      <c r="B69" s="64" t="s">
        <v>156</v>
      </c>
      <c r="C69" s="56"/>
      <c r="D69" s="56"/>
      <c r="E69" s="56"/>
      <c r="F69" s="57" t="s">
        <v>54</v>
      </c>
      <c r="G69" s="796">
        <v>0</v>
      </c>
      <c r="H69" s="796">
        <v>0</v>
      </c>
      <c r="I69" s="796">
        <v>0</v>
      </c>
      <c r="J69" s="796">
        <v>0</v>
      </c>
      <c r="K69" s="796">
        <v>0</v>
      </c>
      <c r="L69" s="796">
        <v>0</v>
      </c>
      <c r="M69" s="796">
        <v>0</v>
      </c>
      <c r="N69" s="796">
        <v>0</v>
      </c>
      <c r="O69" s="796">
        <v>0</v>
      </c>
      <c r="P69" s="796">
        <v>0</v>
      </c>
      <c r="Q69" s="796">
        <v>0</v>
      </c>
      <c r="R69" s="130">
        <f>SUM(G69:Q69)</f>
        <v>0</v>
      </c>
      <c r="S69" s="44"/>
    </row>
    <row r="70" spans="2:19" ht="13" x14ac:dyDescent="0.25">
      <c r="B70" s="66"/>
      <c r="C70" s="68"/>
      <c r="D70" s="68"/>
      <c r="E70" s="68"/>
      <c r="F70" s="69"/>
      <c r="G70" s="133"/>
      <c r="H70" s="133"/>
      <c r="I70" s="133"/>
      <c r="J70" s="133"/>
      <c r="K70" s="133"/>
      <c r="L70" s="133"/>
      <c r="M70" s="133"/>
      <c r="N70" s="133"/>
      <c r="O70" s="133"/>
      <c r="P70" s="133"/>
      <c r="Q70" s="133"/>
      <c r="R70" s="133"/>
      <c r="S70" s="44"/>
    </row>
    <row r="71" spans="2:19" ht="13" x14ac:dyDescent="0.25">
      <c r="B71" s="64" t="s">
        <v>157</v>
      </c>
      <c r="C71" s="56"/>
      <c r="D71" s="65"/>
      <c r="E71" s="56"/>
      <c r="F71" s="57"/>
      <c r="G71" s="796">
        <v>0</v>
      </c>
      <c r="H71" s="796">
        <v>0</v>
      </c>
      <c r="I71" s="796">
        <v>0</v>
      </c>
      <c r="J71" s="796">
        <v>0</v>
      </c>
      <c r="K71" s="796">
        <v>0</v>
      </c>
      <c r="L71" s="796">
        <v>0</v>
      </c>
      <c r="M71" s="796">
        <v>0</v>
      </c>
      <c r="N71" s="796">
        <v>0</v>
      </c>
      <c r="O71" s="796">
        <v>0</v>
      </c>
      <c r="P71" s="796">
        <v>0</v>
      </c>
      <c r="Q71" s="796">
        <v>0</v>
      </c>
      <c r="R71" s="130">
        <f>SUM(G71:Q71)</f>
        <v>0</v>
      </c>
      <c r="S71" s="44"/>
    </row>
    <row r="72" spans="2:19" x14ac:dyDescent="0.25">
      <c r="B72" s="62"/>
      <c r="C72" s="60"/>
      <c r="D72" s="60"/>
      <c r="E72" s="60"/>
      <c r="F72" s="61"/>
      <c r="G72" s="131"/>
      <c r="H72" s="131"/>
      <c r="I72" s="131"/>
      <c r="J72" s="131"/>
      <c r="K72" s="131"/>
      <c r="L72" s="131"/>
      <c r="M72" s="131"/>
      <c r="N72" s="131"/>
      <c r="O72" s="131"/>
      <c r="P72" s="131"/>
      <c r="Q72" s="131"/>
      <c r="R72" s="131"/>
      <c r="S72" s="44"/>
    </row>
    <row r="73" spans="2:19" ht="15.5" x14ac:dyDescent="0.25">
      <c r="B73" s="70"/>
      <c r="C73" s="71"/>
      <c r="D73" s="71"/>
      <c r="E73" s="72"/>
      <c r="F73" s="73"/>
      <c r="G73" s="135"/>
      <c r="H73" s="135"/>
      <c r="I73" s="135"/>
      <c r="J73" s="135"/>
      <c r="K73" s="135"/>
      <c r="L73" s="135"/>
      <c r="M73" s="135"/>
      <c r="N73" s="135"/>
      <c r="O73" s="135"/>
      <c r="P73" s="135"/>
      <c r="Q73" s="135"/>
      <c r="R73" s="135"/>
      <c r="S73" s="44"/>
    </row>
    <row r="74" spans="2:19" ht="14" x14ac:dyDescent="0.25">
      <c r="B74" s="74"/>
      <c r="C74" s="75"/>
      <c r="D74" s="75"/>
      <c r="E74" s="76" t="s">
        <v>20</v>
      </c>
      <c r="F74" s="77"/>
      <c r="G74" s="136">
        <f>SUM(G45,G62,G67,G69,G71)</f>
        <v>0</v>
      </c>
      <c r="H74" s="136">
        <f t="shared" ref="H74:R74" si="5">SUM(H45,H62,H67,H69,H71)</f>
        <v>0</v>
      </c>
      <c r="I74" s="136">
        <f t="shared" si="5"/>
        <v>0</v>
      </c>
      <c r="J74" s="136">
        <f t="shared" si="5"/>
        <v>0</v>
      </c>
      <c r="K74" s="136">
        <f t="shared" si="5"/>
        <v>0</v>
      </c>
      <c r="L74" s="136">
        <f t="shared" si="5"/>
        <v>0</v>
      </c>
      <c r="M74" s="136">
        <f t="shared" si="5"/>
        <v>0</v>
      </c>
      <c r="N74" s="136">
        <f t="shared" si="5"/>
        <v>0</v>
      </c>
      <c r="O74" s="136">
        <f t="shared" si="5"/>
        <v>0</v>
      </c>
      <c r="P74" s="136">
        <f t="shared" si="5"/>
        <v>0</v>
      </c>
      <c r="Q74" s="136">
        <f t="shared" si="5"/>
        <v>0</v>
      </c>
      <c r="R74" s="136">
        <f t="shared" si="5"/>
        <v>0</v>
      </c>
      <c r="S74" s="44"/>
    </row>
    <row r="75" spans="2:19" ht="16" thickBot="1" x14ac:dyDescent="0.3">
      <c r="B75" s="78"/>
      <c r="C75" s="79"/>
      <c r="D75" s="79"/>
      <c r="E75" s="80"/>
      <c r="F75" s="81"/>
      <c r="G75" s="82"/>
      <c r="H75" s="82"/>
      <c r="I75" s="82"/>
      <c r="J75" s="82"/>
      <c r="K75" s="82"/>
      <c r="L75" s="82"/>
      <c r="M75" s="82"/>
      <c r="N75" s="82"/>
      <c r="O75" s="82"/>
      <c r="P75" s="82"/>
      <c r="Q75" s="82"/>
      <c r="R75" s="82"/>
      <c r="S75" s="58"/>
    </row>
    <row r="76" spans="2:19" ht="13" thickTop="1" x14ac:dyDescent="0.25">
      <c r="B76" s="87"/>
      <c r="C76" s="87"/>
      <c r="D76" s="87"/>
      <c r="E76" s="87"/>
      <c r="F76" s="88"/>
      <c r="G76" s="89"/>
      <c r="H76" s="89"/>
      <c r="I76" s="89"/>
      <c r="J76" s="89"/>
      <c r="K76" s="89"/>
      <c r="L76" s="89"/>
      <c r="M76" s="89"/>
      <c r="N76" s="89"/>
      <c r="O76" s="89"/>
      <c r="P76" s="89"/>
      <c r="Q76" s="89"/>
      <c r="R76" s="89"/>
      <c r="S76" s="58"/>
    </row>
    <row r="77" spans="2:19" ht="13" x14ac:dyDescent="0.25">
      <c r="B77" s="87"/>
      <c r="C77" s="87"/>
      <c r="D77" s="87"/>
      <c r="E77" s="87" t="s">
        <v>58</v>
      </c>
      <c r="F77" s="88"/>
      <c r="G77" s="89">
        <f>SUM(G12,G22,G27,G30)</f>
        <v>0</v>
      </c>
      <c r="H77" s="89">
        <f t="shared" ref="H77:R77" si="6">SUM(H12,H22,H27,H30)</f>
        <v>0</v>
      </c>
      <c r="I77" s="89">
        <f t="shared" si="6"/>
        <v>0</v>
      </c>
      <c r="J77" s="89">
        <f t="shared" si="6"/>
        <v>0</v>
      </c>
      <c r="K77" s="89">
        <f t="shared" si="6"/>
        <v>0</v>
      </c>
      <c r="L77" s="89">
        <f t="shared" si="6"/>
        <v>0</v>
      </c>
      <c r="M77" s="89">
        <f t="shared" si="6"/>
        <v>0</v>
      </c>
      <c r="N77" s="89">
        <f t="shared" si="6"/>
        <v>0</v>
      </c>
      <c r="O77" s="89">
        <f t="shared" si="6"/>
        <v>0</v>
      </c>
      <c r="P77" s="89">
        <f t="shared" si="6"/>
        <v>0</v>
      </c>
      <c r="Q77" s="89">
        <f t="shared" si="6"/>
        <v>0</v>
      </c>
      <c r="R77" s="137">
        <f t="shared" si="6"/>
        <v>0</v>
      </c>
      <c r="S77" s="58"/>
    </row>
    <row r="78" spans="2:19" ht="13" x14ac:dyDescent="0.25">
      <c r="B78" s="87"/>
      <c r="C78" s="87"/>
      <c r="D78" s="87"/>
      <c r="E78" s="87" t="s">
        <v>59</v>
      </c>
      <c r="F78" s="88"/>
      <c r="G78" s="89">
        <f>SUM(G45,G62,G67,G69)</f>
        <v>0</v>
      </c>
      <c r="H78" s="89">
        <f t="shared" ref="H78:R78" si="7">SUM(H45,H62,H67,H69)</f>
        <v>0</v>
      </c>
      <c r="I78" s="89">
        <f t="shared" si="7"/>
        <v>0</v>
      </c>
      <c r="J78" s="89">
        <f t="shared" si="7"/>
        <v>0</v>
      </c>
      <c r="K78" s="89">
        <f t="shared" si="7"/>
        <v>0</v>
      </c>
      <c r="L78" s="89">
        <f t="shared" si="7"/>
        <v>0</v>
      </c>
      <c r="M78" s="89">
        <f t="shared" si="7"/>
        <v>0</v>
      </c>
      <c r="N78" s="89">
        <f t="shared" si="7"/>
        <v>0</v>
      </c>
      <c r="O78" s="89">
        <f t="shared" si="7"/>
        <v>0</v>
      </c>
      <c r="P78" s="89">
        <f t="shared" si="7"/>
        <v>0</v>
      </c>
      <c r="Q78" s="89">
        <f t="shared" si="7"/>
        <v>0</v>
      </c>
      <c r="R78" s="137">
        <f t="shared" si="7"/>
        <v>0</v>
      </c>
      <c r="S78" s="58"/>
    </row>
    <row r="79" spans="2:19" ht="13" x14ac:dyDescent="0.25">
      <c r="B79" s="87"/>
      <c r="C79" s="87"/>
      <c r="D79" s="87"/>
      <c r="E79" s="87" t="s">
        <v>60</v>
      </c>
      <c r="F79" s="88"/>
      <c r="G79" s="89">
        <f t="shared" ref="G79:R79" si="8">G77-G78</f>
        <v>0</v>
      </c>
      <c r="H79" s="89">
        <f t="shared" si="8"/>
        <v>0</v>
      </c>
      <c r="I79" s="89">
        <f t="shared" si="8"/>
        <v>0</v>
      </c>
      <c r="J79" s="89">
        <f>J77-J78</f>
        <v>0</v>
      </c>
      <c r="K79" s="89">
        <f>K77-K78</f>
        <v>0</v>
      </c>
      <c r="L79" s="89">
        <f t="shared" si="8"/>
        <v>0</v>
      </c>
      <c r="M79" s="89">
        <f t="shared" si="8"/>
        <v>0</v>
      </c>
      <c r="N79" s="89">
        <f t="shared" si="8"/>
        <v>0</v>
      </c>
      <c r="O79" s="89">
        <f>O77-O78</f>
        <v>0</v>
      </c>
      <c r="P79" s="89">
        <f>P77-P78</f>
        <v>0</v>
      </c>
      <c r="Q79" s="89">
        <f t="shared" si="8"/>
        <v>0</v>
      </c>
      <c r="R79" s="137">
        <f t="shared" si="8"/>
        <v>0</v>
      </c>
      <c r="S79" s="58"/>
    </row>
    <row r="80" spans="2:19" x14ac:dyDescent="0.25">
      <c r="B80" s="87"/>
      <c r="C80" s="87"/>
      <c r="D80" s="87"/>
      <c r="E80" s="87"/>
      <c r="F80" s="88"/>
      <c r="G80" s="87"/>
      <c r="H80" s="87"/>
      <c r="I80" s="87"/>
      <c r="J80" s="87"/>
      <c r="K80" s="87"/>
      <c r="L80" s="87"/>
      <c r="M80" s="87"/>
      <c r="N80" s="87"/>
      <c r="O80" s="87"/>
      <c r="P80" s="87"/>
      <c r="Q80" s="87"/>
      <c r="R80" s="87"/>
      <c r="S80" s="87"/>
    </row>
    <row r="81" spans="2:19" ht="13" x14ac:dyDescent="0.25">
      <c r="B81" s="87"/>
      <c r="C81" s="87"/>
      <c r="D81" s="87"/>
      <c r="E81" s="90"/>
      <c r="F81" s="88"/>
      <c r="G81" s="87"/>
      <c r="H81" s="87"/>
      <c r="I81" s="87"/>
      <c r="J81" s="87"/>
      <c r="K81" s="87"/>
      <c r="L81" s="87"/>
      <c r="M81" s="87"/>
      <c r="N81" s="87"/>
      <c r="O81" s="87"/>
      <c r="P81" s="87"/>
      <c r="Q81" s="87"/>
      <c r="R81" s="87"/>
      <c r="S81" s="87"/>
    </row>
    <row r="82" spans="2:19" x14ac:dyDescent="0.25">
      <c r="B82" s="87"/>
      <c r="C82" s="87"/>
      <c r="D82" s="87"/>
      <c r="E82" s="87"/>
      <c r="F82" s="88"/>
      <c r="G82" s="87"/>
      <c r="H82" s="87"/>
      <c r="I82" s="87"/>
      <c r="J82" s="87"/>
      <c r="K82" s="87"/>
      <c r="L82" s="87"/>
      <c r="M82" s="87"/>
      <c r="N82" s="87"/>
      <c r="O82" s="87"/>
      <c r="P82" s="87"/>
      <c r="Q82" s="87"/>
      <c r="R82" s="87"/>
      <c r="S82" s="87"/>
    </row>
    <row r="83" spans="2:19" x14ac:dyDescent="0.25">
      <c r="B83" s="87"/>
      <c r="C83" s="87"/>
      <c r="D83" s="87"/>
      <c r="E83" s="87"/>
      <c r="F83" s="88"/>
      <c r="G83" s="87"/>
      <c r="H83" s="87"/>
      <c r="I83" s="87"/>
      <c r="J83" s="87"/>
      <c r="K83" s="87"/>
      <c r="L83" s="87"/>
      <c r="M83" s="87"/>
      <c r="N83" s="87"/>
      <c r="O83" s="87"/>
      <c r="P83" s="87"/>
      <c r="Q83" s="87"/>
      <c r="R83" s="87"/>
      <c r="S83" s="87"/>
    </row>
    <row r="84" spans="2:19" x14ac:dyDescent="0.25">
      <c r="B84" s="87"/>
      <c r="C84" s="87"/>
      <c r="D84" s="87"/>
      <c r="E84" s="87"/>
      <c r="F84" s="88"/>
      <c r="G84" s="87"/>
      <c r="H84" s="87"/>
      <c r="I84" s="87"/>
      <c r="J84" s="87"/>
      <c r="K84" s="87"/>
      <c r="L84" s="87"/>
      <c r="M84" s="87"/>
      <c r="N84" s="87"/>
      <c r="O84" s="87"/>
      <c r="P84" s="87"/>
      <c r="Q84" s="87"/>
      <c r="R84" s="87"/>
      <c r="S84" s="87"/>
    </row>
    <row r="85" spans="2:19" x14ac:dyDescent="0.25">
      <c r="B85" s="87"/>
      <c r="C85" s="87"/>
      <c r="D85" s="87"/>
      <c r="E85" s="87"/>
      <c r="F85" s="88"/>
      <c r="G85" s="87"/>
      <c r="H85" s="87"/>
      <c r="I85" s="87"/>
      <c r="J85" s="87"/>
      <c r="K85" s="87"/>
      <c r="L85" s="87"/>
      <c r="M85" s="87"/>
      <c r="N85" s="87"/>
      <c r="O85" s="87"/>
      <c r="P85" s="87"/>
      <c r="Q85" s="87"/>
      <c r="R85" s="87"/>
      <c r="S85" s="87"/>
    </row>
    <row r="86" spans="2:19" x14ac:dyDescent="0.25">
      <c r="B86" s="87"/>
      <c r="C86" s="87"/>
      <c r="D86" s="87"/>
      <c r="E86" s="87"/>
      <c r="F86" s="88"/>
      <c r="G86" s="87"/>
      <c r="H86" s="87"/>
      <c r="I86" s="87"/>
      <c r="J86" s="87"/>
      <c r="K86" s="87"/>
      <c r="L86" s="87"/>
      <c r="M86" s="87"/>
      <c r="N86" s="87"/>
      <c r="O86" s="87"/>
      <c r="P86" s="87"/>
      <c r="Q86" s="87"/>
      <c r="R86" s="87"/>
      <c r="S86" s="87"/>
    </row>
    <row r="87" spans="2:19" x14ac:dyDescent="0.25">
      <c r="B87" s="87"/>
      <c r="C87" s="87"/>
      <c r="D87" s="87"/>
      <c r="E87" s="87"/>
      <c r="F87" s="88"/>
      <c r="G87" s="87"/>
      <c r="H87" s="87"/>
      <c r="I87" s="87"/>
      <c r="J87" s="87"/>
      <c r="K87" s="87"/>
      <c r="L87" s="87"/>
      <c r="M87" s="87"/>
      <c r="N87" s="87"/>
      <c r="O87" s="87"/>
      <c r="P87" s="87"/>
      <c r="Q87" s="87"/>
      <c r="R87" s="87"/>
      <c r="S87" s="87"/>
    </row>
    <row r="88" spans="2:19" x14ac:dyDescent="0.25">
      <c r="B88" s="87"/>
      <c r="C88" s="87"/>
      <c r="D88" s="87"/>
      <c r="E88" s="87"/>
      <c r="F88" s="88"/>
      <c r="G88" s="87"/>
      <c r="H88" s="87"/>
      <c r="I88" s="87"/>
      <c r="J88" s="87"/>
      <c r="K88" s="87"/>
      <c r="L88" s="87"/>
      <c r="M88" s="87"/>
      <c r="N88" s="87"/>
      <c r="O88" s="87"/>
      <c r="P88" s="87"/>
      <c r="Q88" s="87"/>
      <c r="R88" s="87"/>
      <c r="S88" s="87"/>
    </row>
    <row r="89" spans="2:19" x14ac:dyDescent="0.25">
      <c r="B89" s="87"/>
      <c r="C89" s="87"/>
      <c r="D89" s="87"/>
      <c r="E89" s="87"/>
      <c r="F89" s="88"/>
      <c r="G89" s="87"/>
      <c r="H89" s="87"/>
      <c r="I89" s="87"/>
      <c r="J89" s="87"/>
      <c r="K89" s="87"/>
      <c r="L89" s="87"/>
      <c r="M89" s="87"/>
      <c r="N89" s="87"/>
      <c r="O89" s="87"/>
      <c r="P89" s="87"/>
      <c r="Q89" s="87"/>
      <c r="R89" s="87"/>
      <c r="S89" s="87"/>
    </row>
    <row r="90" spans="2:19" x14ac:dyDescent="0.25">
      <c r="B90" s="87"/>
      <c r="C90" s="87"/>
      <c r="D90" s="87"/>
      <c r="E90" s="87"/>
      <c r="F90" s="88"/>
      <c r="G90" s="87"/>
      <c r="H90" s="87"/>
      <c r="I90" s="87"/>
      <c r="J90" s="87"/>
      <c r="K90" s="87"/>
      <c r="L90" s="87"/>
      <c r="M90" s="87"/>
      <c r="N90" s="87"/>
      <c r="O90" s="87"/>
      <c r="P90" s="87"/>
      <c r="Q90" s="87"/>
      <c r="R90" s="87"/>
      <c r="S90" s="87"/>
    </row>
    <row r="91" spans="2:19" x14ac:dyDescent="0.25">
      <c r="B91" s="87"/>
      <c r="C91" s="87"/>
      <c r="D91" s="87"/>
      <c r="E91" s="87"/>
      <c r="F91" s="88"/>
      <c r="G91" s="87"/>
      <c r="H91" s="87"/>
      <c r="I91" s="87"/>
      <c r="J91" s="87"/>
      <c r="K91" s="87"/>
      <c r="L91" s="87"/>
      <c r="M91" s="87"/>
      <c r="N91" s="87"/>
      <c r="O91" s="87"/>
      <c r="P91" s="87"/>
      <c r="Q91" s="87"/>
      <c r="R91" s="87"/>
      <c r="S91" s="87"/>
    </row>
    <row r="92" spans="2:19" x14ac:dyDescent="0.25">
      <c r="B92" s="87"/>
      <c r="C92" s="87"/>
      <c r="D92" s="87"/>
      <c r="E92" s="87"/>
      <c r="F92" s="88"/>
      <c r="G92" s="87"/>
      <c r="H92" s="87"/>
      <c r="I92" s="87"/>
      <c r="J92" s="87"/>
      <c r="K92" s="87"/>
      <c r="L92" s="87"/>
      <c r="M92" s="87"/>
      <c r="N92" s="87"/>
      <c r="O92" s="87"/>
      <c r="P92" s="87"/>
      <c r="Q92" s="87"/>
      <c r="R92" s="87"/>
      <c r="S92" s="87"/>
    </row>
    <row r="93" spans="2:19" x14ac:dyDescent="0.25">
      <c r="B93" s="87"/>
      <c r="C93" s="87"/>
      <c r="D93" s="87"/>
      <c r="E93" s="87"/>
      <c r="F93" s="88"/>
      <c r="G93" s="87"/>
      <c r="H93" s="87"/>
      <c r="I93" s="87"/>
      <c r="J93" s="87"/>
      <c r="K93" s="87"/>
      <c r="L93" s="87"/>
      <c r="M93" s="87"/>
      <c r="N93" s="87"/>
      <c r="O93" s="87"/>
      <c r="P93" s="87"/>
      <c r="Q93" s="87"/>
      <c r="R93" s="87"/>
      <c r="S93" s="87"/>
    </row>
    <row r="94" spans="2:19" x14ac:dyDescent="0.25">
      <c r="B94" s="87"/>
      <c r="C94" s="87"/>
      <c r="D94" s="87"/>
      <c r="E94" s="87"/>
      <c r="F94" s="88"/>
      <c r="G94" s="87"/>
      <c r="H94" s="87"/>
      <c r="I94" s="87"/>
      <c r="J94" s="87"/>
      <c r="K94" s="87"/>
      <c r="L94" s="87"/>
      <c r="M94" s="87"/>
      <c r="N94" s="87"/>
      <c r="O94" s="87"/>
      <c r="P94" s="87"/>
      <c r="Q94" s="87"/>
      <c r="R94" s="87"/>
      <c r="S94" s="87"/>
    </row>
    <row r="95" spans="2:19" x14ac:dyDescent="0.25">
      <c r="B95" s="87"/>
      <c r="C95" s="87"/>
      <c r="D95" s="87"/>
      <c r="E95" s="87"/>
      <c r="F95" s="88"/>
      <c r="G95" s="87"/>
      <c r="H95" s="87"/>
      <c r="I95" s="87"/>
      <c r="J95" s="87"/>
      <c r="K95" s="87"/>
      <c r="L95" s="87"/>
      <c r="M95" s="87"/>
      <c r="N95" s="87"/>
      <c r="O95" s="87"/>
      <c r="P95" s="87"/>
      <c r="Q95" s="87"/>
      <c r="R95" s="87"/>
      <c r="S95" s="87"/>
    </row>
    <row r="96" spans="2:19" x14ac:dyDescent="0.25">
      <c r="B96" s="87"/>
      <c r="C96" s="87"/>
      <c r="D96" s="87"/>
      <c r="E96" s="87"/>
      <c r="F96" s="88"/>
      <c r="G96" s="87"/>
      <c r="H96" s="87"/>
      <c r="I96" s="87"/>
      <c r="J96" s="87"/>
      <c r="K96" s="87"/>
      <c r="L96" s="87"/>
      <c r="M96" s="87"/>
      <c r="N96" s="87"/>
      <c r="O96" s="87"/>
      <c r="P96" s="87"/>
      <c r="Q96" s="87"/>
      <c r="R96" s="87"/>
      <c r="S96" s="87"/>
    </row>
    <row r="97" spans="2:19" x14ac:dyDescent="0.25">
      <c r="B97" s="87"/>
      <c r="C97" s="87"/>
      <c r="D97" s="87"/>
      <c r="E97" s="87"/>
      <c r="F97" s="88"/>
      <c r="G97" s="87"/>
      <c r="H97" s="87"/>
      <c r="I97" s="87"/>
      <c r="J97" s="87"/>
      <c r="K97" s="87"/>
      <c r="L97" s="87"/>
      <c r="M97" s="87"/>
      <c r="N97" s="87"/>
      <c r="O97" s="87"/>
      <c r="P97" s="87"/>
      <c r="Q97" s="87"/>
      <c r="R97" s="87"/>
      <c r="S97" s="87"/>
    </row>
    <row r="98" spans="2:19" x14ac:dyDescent="0.25">
      <c r="B98" s="87"/>
      <c r="C98" s="87"/>
      <c r="D98" s="87"/>
      <c r="E98" s="87"/>
      <c r="F98" s="88"/>
      <c r="G98" s="87"/>
      <c r="H98" s="87"/>
      <c r="I98" s="87"/>
      <c r="J98" s="87"/>
      <c r="K98" s="87"/>
      <c r="L98" s="87"/>
      <c r="M98" s="87"/>
      <c r="N98" s="87"/>
      <c r="O98" s="87"/>
      <c r="P98" s="87"/>
      <c r="Q98" s="87"/>
      <c r="R98" s="87"/>
      <c r="S98" s="87"/>
    </row>
    <row r="99" spans="2:19" x14ac:dyDescent="0.25">
      <c r="B99" s="87"/>
      <c r="C99" s="87"/>
      <c r="D99" s="87"/>
      <c r="E99" s="87"/>
      <c r="F99" s="88"/>
      <c r="G99" s="87"/>
      <c r="H99" s="87"/>
      <c r="I99" s="87"/>
      <c r="J99" s="87"/>
      <c r="K99" s="87"/>
      <c r="L99" s="87"/>
      <c r="M99" s="87"/>
      <c r="N99" s="87"/>
      <c r="O99" s="87"/>
      <c r="P99" s="87"/>
      <c r="Q99" s="87"/>
      <c r="R99" s="87"/>
      <c r="S99" s="87"/>
    </row>
    <row r="100" spans="2:19" x14ac:dyDescent="0.25">
      <c r="B100" s="87"/>
      <c r="C100" s="87"/>
      <c r="D100" s="87"/>
      <c r="E100" s="87"/>
      <c r="F100" s="88"/>
      <c r="G100" s="87"/>
      <c r="H100" s="87"/>
      <c r="I100" s="87"/>
      <c r="J100" s="87"/>
      <c r="K100" s="87"/>
      <c r="L100" s="87"/>
      <c r="M100" s="87"/>
      <c r="N100" s="87"/>
      <c r="O100" s="87"/>
      <c r="P100" s="87"/>
      <c r="Q100" s="87"/>
      <c r="R100" s="87"/>
      <c r="S100" s="87"/>
    </row>
    <row r="101" spans="2:19" x14ac:dyDescent="0.25">
      <c r="B101" s="87"/>
      <c r="C101" s="87"/>
      <c r="D101" s="87"/>
      <c r="E101" s="87"/>
      <c r="F101" s="88"/>
      <c r="G101" s="87"/>
      <c r="H101" s="87"/>
      <c r="I101" s="87"/>
      <c r="J101" s="87"/>
      <c r="K101" s="87"/>
      <c r="L101" s="87"/>
      <c r="M101" s="87"/>
      <c r="N101" s="87"/>
      <c r="O101" s="87"/>
      <c r="P101" s="87"/>
      <c r="Q101" s="87"/>
      <c r="R101" s="87"/>
      <c r="S101" s="87"/>
    </row>
    <row r="102" spans="2:19" x14ac:dyDescent="0.25">
      <c r="B102" s="87"/>
      <c r="C102" s="87"/>
      <c r="D102" s="87"/>
      <c r="E102" s="87"/>
      <c r="F102" s="88"/>
      <c r="G102" s="87"/>
      <c r="H102" s="87"/>
      <c r="I102" s="87"/>
      <c r="J102" s="87"/>
      <c r="K102" s="87"/>
      <c r="L102" s="87"/>
      <c r="M102" s="87"/>
      <c r="N102" s="87"/>
      <c r="O102" s="87"/>
      <c r="P102" s="87"/>
      <c r="Q102" s="87"/>
      <c r="R102" s="87"/>
      <c r="S102" s="87"/>
    </row>
    <row r="103" spans="2:19" x14ac:dyDescent="0.25">
      <c r="B103" s="87"/>
      <c r="C103" s="87"/>
      <c r="D103" s="87"/>
      <c r="E103" s="87"/>
      <c r="F103" s="88"/>
      <c r="G103" s="87"/>
      <c r="H103" s="87"/>
      <c r="I103" s="87"/>
      <c r="J103" s="87"/>
      <c r="K103" s="87"/>
      <c r="L103" s="87"/>
      <c r="M103" s="87"/>
      <c r="N103" s="87"/>
      <c r="O103" s="87"/>
      <c r="P103" s="87"/>
      <c r="Q103" s="87"/>
      <c r="R103" s="87"/>
      <c r="S103" s="87"/>
    </row>
    <row r="104" spans="2:19" x14ac:dyDescent="0.25">
      <c r="B104" s="87"/>
      <c r="C104" s="87"/>
      <c r="D104" s="87"/>
      <c r="E104" s="87"/>
      <c r="F104" s="88"/>
      <c r="G104" s="87"/>
      <c r="H104" s="87"/>
      <c r="I104" s="87"/>
      <c r="J104" s="87"/>
      <c r="K104" s="87"/>
      <c r="L104" s="87"/>
      <c r="M104" s="87"/>
      <c r="N104" s="87"/>
      <c r="O104" s="87"/>
      <c r="P104" s="87"/>
      <c r="Q104" s="87"/>
      <c r="R104" s="87"/>
      <c r="S104" s="87"/>
    </row>
    <row r="105" spans="2:19" x14ac:dyDescent="0.25">
      <c r="B105" s="87"/>
      <c r="C105" s="87"/>
      <c r="D105" s="87"/>
      <c r="E105" s="87"/>
      <c r="F105" s="88"/>
      <c r="G105" s="87"/>
      <c r="H105" s="87"/>
      <c r="I105" s="87"/>
      <c r="J105" s="87"/>
      <c r="K105" s="87"/>
      <c r="L105" s="87"/>
      <c r="M105" s="87"/>
      <c r="N105" s="87"/>
      <c r="O105" s="87"/>
      <c r="P105" s="87"/>
      <c r="Q105" s="87"/>
      <c r="R105" s="87"/>
      <c r="S105" s="87"/>
    </row>
    <row r="106" spans="2:19" x14ac:dyDescent="0.25">
      <c r="B106" s="87"/>
      <c r="C106" s="87"/>
      <c r="D106" s="87"/>
      <c r="E106" s="87"/>
      <c r="F106" s="88"/>
      <c r="G106" s="87"/>
      <c r="H106" s="87"/>
      <c r="I106" s="87"/>
      <c r="J106" s="87"/>
      <c r="K106" s="87"/>
      <c r="L106" s="87"/>
      <c r="M106" s="87"/>
      <c r="N106" s="87"/>
      <c r="O106" s="87"/>
      <c r="P106" s="87"/>
      <c r="Q106" s="87"/>
      <c r="R106" s="87"/>
      <c r="S106" s="87"/>
    </row>
    <row r="107" spans="2:19" x14ac:dyDescent="0.25">
      <c r="B107" s="87"/>
      <c r="C107" s="87"/>
      <c r="D107" s="87"/>
      <c r="E107" s="87"/>
      <c r="F107" s="88"/>
      <c r="G107" s="87"/>
      <c r="H107" s="87"/>
      <c r="I107" s="87"/>
      <c r="J107" s="87"/>
      <c r="K107" s="87"/>
      <c r="L107" s="87"/>
      <c r="M107" s="87"/>
      <c r="N107" s="87"/>
      <c r="O107" s="87"/>
      <c r="P107" s="87"/>
      <c r="Q107" s="87"/>
      <c r="R107" s="87"/>
      <c r="S107" s="87"/>
    </row>
    <row r="108" spans="2:19" x14ac:dyDescent="0.25">
      <c r="B108" s="87"/>
      <c r="C108" s="87"/>
      <c r="D108" s="87"/>
      <c r="E108" s="87"/>
      <c r="F108" s="88"/>
      <c r="G108" s="87"/>
      <c r="H108" s="87"/>
      <c r="I108" s="87"/>
      <c r="J108" s="87"/>
      <c r="K108" s="87"/>
      <c r="L108" s="87"/>
      <c r="M108" s="87"/>
      <c r="N108" s="87"/>
      <c r="O108" s="87"/>
      <c r="P108" s="87"/>
      <c r="Q108" s="87"/>
      <c r="R108" s="87"/>
      <c r="S108" s="87"/>
    </row>
    <row r="109" spans="2:19" x14ac:dyDescent="0.25">
      <c r="B109" s="87"/>
      <c r="C109" s="87"/>
      <c r="D109" s="87"/>
      <c r="E109" s="87"/>
      <c r="F109" s="88"/>
      <c r="G109" s="87"/>
      <c r="H109" s="87"/>
      <c r="I109" s="87"/>
      <c r="J109" s="87"/>
      <c r="K109" s="87"/>
      <c r="L109" s="87"/>
      <c r="M109" s="87"/>
      <c r="N109" s="87"/>
      <c r="O109" s="87"/>
      <c r="P109" s="87"/>
      <c r="Q109" s="87"/>
      <c r="R109" s="87"/>
      <c r="S109" s="87"/>
    </row>
    <row r="110" spans="2:19" x14ac:dyDescent="0.25">
      <c r="B110" s="87"/>
      <c r="C110" s="87"/>
      <c r="D110" s="87"/>
      <c r="E110" s="87"/>
      <c r="F110" s="88"/>
      <c r="G110" s="87"/>
      <c r="H110" s="87"/>
      <c r="I110" s="87"/>
      <c r="J110" s="87"/>
      <c r="K110" s="87"/>
      <c r="L110" s="87"/>
      <c r="M110" s="87"/>
      <c r="N110" s="87"/>
      <c r="O110" s="87"/>
      <c r="P110" s="87"/>
      <c r="Q110" s="87"/>
      <c r="R110" s="87"/>
      <c r="S110" s="87"/>
    </row>
    <row r="111" spans="2:19" x14ac:dyDescent="0.25">
      <c r="B111" s="87"/>
      <c r="C111" s="87"/>
      <c r="D111" s="87"/>
      <c r="E111" s="87"/>
      <c r="F111" s="88"/>
      <c r="G111" s="87"/>
      <c r="H111" s="87"/>
      <c r="I111" s="87"/>
      <c r="J111" s="87"/>
      <c r="K111" s="87"/>
      <c r="L111" s="87"/>
      <c r="M111" s="87"/>
      <c r="N111" s="87"/>
      <c r="O111" s="87"/>
      <c r="P111" s="87"/>
      <c r="Q111" s="87"/>
      <c r="R111" s="87"/>
      <c r="S111" s="87"/>
    </row>
    <row r="112" spans="2:19" x14ac:dyDescent="0.25">
      <c r="B112" s="87"/>
      <c r="C112" s="87"/>
      <c r="D112" s="87"/>
      <c r="E112" s="87"/>
      <c r="F112" s="88"/>
      <c r="G112" s="87"/>
      <c r="H112" s="87"/>
      <c r="I112" s="87"/>
      <c r="J112" s="87"/>
      <c r="K112" s="87"/>
      <c r="L112" s="87"/>
      <c r="M112" s="87"/>
      <c r="N112" s="87"/>
      <c r="O112" s="87"/>
      <c r="P112" s="87"/>
      <c r="Q112" s="87"/>
      <c r="R112" s="87"/>
      <c r="S112" s="87"/>
    </row>
    <row r="113" spans="2:19" x14ac:dyDescent="0.25">
      <c r="B113" s="87"/>
      <c r="C113" s="87"/>
      <c r="D113" s="87"/>
      <c r="E113" s="87"/>
      <c r="F113" s="88"/>
      <c r="G113" s="87"/>
      <c r="H113" s="87"/>
      <c r="I113" s="87"/>
      <c r="J113" s="87"/>
      <c r="K113" s="87"/>
      <c r="L113" s="87"/>
      <c r="M113" s="87"/>
      <c r="N113" s="87"/>
      <c r="O113" s="87"/>
      <c r="P113" s="87"/>
      <c r="Q113" s="87"/>
      <c r="R113" s="87"/>
      <c r="S113" s="87"/>
    </row>
    <row r="114" spans="2:19" x14ac:dyDescent="0.25">
      <c r="B114" s="87"/>
      <c r="C114" s="87"/>
      <c r="D114" s="87"/>
      <c r="E114" s="87"/>
      <c r="F114" s="88"/>
      <c r="G114" s="87"/>
      <c r="H114" s="87"/>
      <c r="I114" s="87"/>
      <c r="J114" s="87"/>
      <c r="K114" s="87"/>
      <c r="L114" s="87"/>
      <c r="M114" s="87"/>
      <c r="N114" s="87"/>
      <c r="O114" s="87"/>
      <c r="P114" s="87"/>
      <c r="Q114" s="87"/>
      <c r="R114" s="87"/>
      <c r="S114" s="87"/>
    </row>
    <row r="115" spans="2:19" x14ac:dyDescent="0.25">
      <c r="B115" s="87"/>
      <c r="C115" s="87"/>
      <c r="D115" s="87"/>
      <c r="E115" s="87"/>
      <c r="F115" s="88"/>
      <c r="G115" s="87"/>
      <c r="H115" s="87"/>
      <c r="I115" s="87"/>
      <c r="J115" s="87"/>
      <c r="K115" s="87"/>
      <c r="L115" s="87"/>
      <c r="M115" s="87"/>
      <c r="N115" s="87"/>
      <c r="O115" s="87"/>
      <c r="P115" s="87"/>
      <c r="Q115" s="87"/>
      <c r="R115" s="87"/>
      <c r="S115" s="87"/>
    </row>
    <row r="116" spans="2:19" x14ac:dyDescent="0.25">
      <c r="B116" s="87"/>
      <c r="C116" s="87"/>
      <c r="D116" s="87"/>
      <c r="E116" s="87"/>
      <c r="F116" s="88"/>
      <c r="G116" s="87"/>
      <c r="H116" s="87"/>
      <c r="I116" s="87"/>
      <c r="J116" s="87"/>
      <c r="K116" s="87"/>
      <c r="L116" s="87"/>
      <c r="M116" s="87"/>
      <c r="N116" s="87"/>
      <c r="O116" s="87"/>
      <c r="P116" s="87"/>
      <c r="Q116" s="87"/>
      <c r="R116" s="87"/>
      <c r="S116" s="87"/>
    </row>
    <row r="117" spans="2:19" x14ac:dyDescent="0.25">
      <c r="B117" s="87"/>
      <c r="C117" s="87"/>
      <c r="D117" s="87"/>
      <c r="E117" s="87"/>
      <c r="F117" s="88"/>
      <c r="G117" s="87"/>
      <c r="H117" s="87"/>
      <c r="I117" s="87"/>
      <c r="J117" s="87"/>
      <c r="K117" s="87"/>
      <c r="L117" s="87"/>
      <c r="M117" s="87"/>
      <c r="N117" s="87"/>
      <c r="O117" s="87"/>
      <c r="P117" s="87"/>
      <c r="Q117" s="87"/>
      <c r="R117" s="87"/>
      <c r="S117" s="87"/>
    </row>
    <row r="118" spans="2:19" x14ac:dyDescent="0.25">
      <c r="B118" s="87"/>
      <c r="C118" s="87"/>
      <c r="D118" s="87"/>
      <c r="E118" s="87"/>
      <c r="F118" s="88"/>
      <c r="G118" s="87"/>
      <c r="H118" s="87"/>
      <c r="I118" s="87"/>
      <c r="J118" s="87"/>
      <c r="K118" s="87"/>
      <c r="L118" s="87"/>
      <c r="M118" s="87"/>
      <c r="N118" s="87"/>
      <c r="O118" s="87"/>
      <c r="P118" s="87"/>
      <c r="Q118" s="87"/>
      <c r="R118" s="87"/>
      <c r="S118" s="87"/>
    </row>
    <row r="119" spans="2:19" x14ac:dyDescent="0.25">
      <c r="B119" s="87"/>
      <c r="C119" s="87"/>
      <c r="D119" s="87"/>
      <c r="E119" s="87"/>
      <c r="F119" s="88"/>
      <c r="G119" s="87"/>
      <c r="H119" s="87"/>
      <c r="I119" s="87"/>
      <c r="J119" s="87"/>
      <c r="K119" s="87"/>
      <c r="L119" s="87"/>
      <c r="M119" s="87"/>
      <c r="N119" s="87"/>
      <c r="O119" s="87"/>
      <c r="P119" s="87"/>
      <c r="Q119" s="87"/>
      <c r="R119" s="87"/>
      <c r="S119" s="87"/>
    </row>
    <row r="120" spans="2:19" x14ac:dyDescent="0.25">
      <c r="B120" s="87"/>
      <c r="C120" s="87"/>
      <c r="D120" s="87"/>
      <c r="E120" s="87"/>
      <c r="F120" s="88"/>
      <c r="G120" s="87"/>
      <c r="H120" s="87"/>
      <c r="I120" s="87"/>
      <c r="J120" s="87"/>
      <c r="K120" s="87"/>
      <c r="L120" s="87"/>
      <c r="M120" s="87"/>
      <c r="N120" s="87"/>
      <c r="O120" s="87"/>
      <c r="P120" s="87"/>
      <c r="Q120" s="87"/>
      <c r="R120" s="87"/>
      <c r="S120" s="87"/>
    </row>
    <row r="121" spans="2:19" x14ac:dyDescent="0.25">
      <c r="B121" s="87"/>
      <c r="C121" s="87"/>
      <c r="D121" s="87"/>
      <c r="E121" s="87"/>
      <c r="F121" s="88"/>
      <c r="G121" s="87"/>
      <c r="H121" s="87"/>
      <c r="I121" s="87"/>
      <c r="J121" s="87"/>
      <c r="K121" s="87"/>
      <c r="L121" s="87"/>
      <c r="M121" s="87"/>
      <c r="N121" s="87"/>
      <c r="O121" s="87"/>
      <c r="P121" s="87"/>
      <c r="Q121" s="87"/>
      <c r="R121" s="87"/>
      <c r="S121" s="87"/>
    </row>
    <row r="122" spans="2:19" x14ac:dyDescent="0.25">
      <c r="B122" s="84"/>
      <c r="C122" s="84"/>
      <c r="D122" s="84"/>
      <c r="E122" s="84"/>
      <c r="F122" s="91"/>
      <c r="G122" s="84"/>
      <c r="H122" s="84"/>
      <c r="I122" s="84"/>
      <c r="J122" s="84"/>
      <c r="K122" s="84"/>
      <c r="L122" s="84"/>
      <c r="M122" s="84"/>
      <c r="N122" s="84"/>
      <c r="O122" s="84"/>
      <c r="P122" s="84"/>
      <c r="Q122" s="84"/>
      <c r="R122" s="84"/>
      <c r="S122" s="84"/>
    </row>
    <row r="123" spans="2:19" x14ac:dyDescent="0.25">
      <c r="B123" s="84"/>
      <c r="C123" s="84"/>
      <c r="D123" s="84"/>
      <c r="E123" s="84"/>
      <c r="F123" s="91"/>
      <c r="G123" s="84"/>
      <c r="H123" s="84"/>
      <c r="I123" s="84"/>
      <c r="J123" s="84"/>
      <c r="K123" s="84"/>
      <c r="L123" s="84"/>
      <c r="M123" s="84"/>
      <c r="N123" s="84"/>
      <c r="O123" s="84"/>
      <c r="P123" s="84"/>
      <c r="Q123" s="84"/>
      <c r="R123" s="84"/>
      <c r="S123" s="84"/>
    </row>
    <row r="124" spans="2:19" x14ac:dyDescent="0.25">
      <c r="B124" s="84"/>
      <c r="C124" s="84"/>
      <c r="D124" s="84"/>
      <c r="E124" s="84"/>
      <c r="F124" s="91"/>
      <c r="G124" s="84"/>
      <c r="H124" s="84"/>
      <c r="I124" s="84"/>
      <c r="J124" s="84"/>
      <c r="K124" s="84"/>
      <c r="L124" s="84"/>
      <c r="M124" s="84"/>
      <c r="N124" s="84"/>
      <c r="O124" s="84"/>
      <c r="P124" s="84"/>
      <c r="Q124" s="84"/>
      <c r="R124" s="84"/>
      <c r="S124" s="84"/>
    </row>
    <row r="125" spans="2:19" x14ac:dyDescent="0.25">
      <c r="B125" s="84"/>
      <c r="C125" s="84"/>
      <c r="D125" s="84"/>
      <c r="E125" s="84"/>
      <c r="F125" s="91"/>
      <c r="G125" s="84"/>
      <c r="H125" s="84"/>
      <c r="I125" s="84"/>
      <c r="J125" s="84"/>
      <c r="K125" s="84"/>
      <c r="L125" s="84"/>
      <c r="M125" s="84"/>
      <c r="N125" s="84"/>
      <c r="O125" s="84"/>
      <c r="P125" s="84"/>
      <c r="Q125" s="84"/>
      <c r="R125" s="84"/>
      <c r="S125" s="84"/>
    </row>
  </sheetData>
  <sheetProtection algorithmName="SHA-512" hashValue="aZOJ/vd+u7EdRL1vBC6Nt26nqHKF7HFpauzLqKlATSeDgwSvY4cZF5AuowgJojU/0kOc7mq0Nk27OJChfDraew==" saltValue="2+AV82d2fjdsw4hFlWhtVw==" spinCount="100000" sheet="1" objects="1" scenarios="1"/>
  <customSheetViews>
    <customSheetView guid="{C8C7977F-B6BF-432B-A1A7-559450D521AF}" scale="90">
      <selection activeCell="A2" sqref="A2"/>
      <pageMargins left="0.7" right="0.7" top="0.75" bottom="0.75" header="0.3" footer="0.3"/>
    </customSheetView>
  </customSheetViews>
  <mergeCells count="33">
    <mergeCell ref="C58:E59"/>
    <mergeCell ref="F58:F59"/>
    <mergeCell ref="B66:E67"/>
    <mergeCell ref="F66:F67"/>
    <mergeCell ref="F50:F51"/>
    <mergeCell ref="C50:E51"/>
    <mergeCell ref="C52:E54"/>
    <mergeCell ref="C55:E56"/>
    <mergeCell ref="F52:F54"/>
    <mergeCell ref="F55:F56"/>
    <mergeCell ref="B39:E40"/>
    <mergeCell ref="F39:F40"/>
    <mergeCell ref="B1:M1"/>
    <mergeCell ref="B6:E7"/>
    <mergeCell ref="F6:F7"/>
    <mergeCell ref="G6:K7"/>
    <mergeCell ref="L6:P7"/>
    <mergeCell ref="F15:F17"/>
    <mergeCell ref="C15:E17"/>
    <mergeCell ref="B29:E30"/>
    <mergeCell ref="B26:E27"/>
    <mergeCell ref="F26:F27"/>
    <mergeCell ref="F29:F30"/>
    <mergeCell ref="G41:J41"/>
    <mergeCell ref="L41:O41"/>
    <mergeCell ref="R39:R40"/>
    <mergeCell ref="Q6:Q7"/>
    <mergeCell ref="R6:R7"/>
    <mergeCell ref="G39:K40"/>
    <mergeCell ref="L39:P40"/>
    <mergeCell ref="G8:J8"/>
    <mergeCell ref="L8:O8"/>
    <mergeCell ref="Q39:Q40"/>
  </mergeCells>
  <conditionalFormatting sqref="G77:R79 G12:R35 G45:R74">
    <cfRule type="expression" dxfId="70" priority="1" stopIfTrue="1">
      <formula>$Q$2="ex-ante"</formula>
    </cfRule>
  </conditionalFormatting>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ignoredErrors>
    <ignoredError sqref="R47:R49 R14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H911"/>
  <sheetViews>
    <sheetView tabSelected="1" zoomScale="90" zoomScaleNormal="90" workbookViewId="0">
      <selection activeCell="E31" sqref="E31"/>
    </sheetView>
  </sheetViews>
  <sheetFormatPr defaultColWidth="9.1796875" defaultRowHeight="12.5" x14ac:dyDescent="0.25"/>
  <cols>
    <col min="1" max="1" width="48" style="663" customWidth="1"/>
    <col min="2" max="3" width="25.7265625" style="663" customWidth="1"/>
    <col min="4" max="5" width="28.26953125" style="663" customWidth="1"/>
    <col min="6" max="27" width="9.1796875" style="663"/>
    <col min="28" max="28" width="13.7265625" style="663" customWidth="1"/>
    <col min="29" max="16384" width="9.1796875" style="663"/>
  </cols>
  <sheetData>
    <row r="1" spans="1:8" s="296" customFormat="1" ht="21.65" customHeight="1" thickBot="1" x14ac:dyDescent="0.3">
      <c r="A1" s="1007" t="s">
        <v>318</v>
      </c>
      <c r="B1" s="1008"/>
      <c r="C1" s="1008"/>
      <c r="D1" s="1008"/>
      <c r="E1" s="1009"/>
      <c r="F1" s="289"/>
      <c r="G1" s="289"/>
      <c r="H1" s="289"/>
    </row>
    <row r="2" spans="1:8" s="166" customFormat="1" ht="13" thickBot="1" x14ac:dyDescent="0.3"/>
    <row r="3" spans="1:8" s="166" customFormat="1" ht="13" thickBot="1" x14ac:dyDescent="0.3">
      <c r="A3" s="292" t="s">
        <v>12</v>
      </c>
      <c r="C3" s="292" t="s">
        <v>13</v>
      </c>
      <c r="D3" s="662">
        <f>TITELBLAD!E13</f>
        <v>2021</v>
      </c>
    </row>
    <row r="4" spans="1:8" s="166" customFormat="1" ht="13" thickBot="1" x14ac:dyDescent="0.3">
      <c r="C4" s="292" t="s">
        <v>14</v>
      </c>
      <c r="D4" s="662">
        <f>TITELBLAD!E14</f>
        <v>2024</v>
      </c>
    </row>
    <row r="5" spans="1:8" s="166" customFormat="1" ht="13" thickBot="1" x14ac:dyDescent="0.3"/>
    <row r="6" spans="1:8" s="166" customFormat="1" ht="13" thickBot="1" x14ac:dyDescent="0.3">
      <c r="A6" s="206" t="s">
        <v>87</v>
      </c>
      <c r="D6" s="662">
        <f>TITELBLAD!E16</f>
        <v>2022</v>
      </c>
      <c r="E6" s="662" t="str">
        <f>+TITELBLAD!F16</f>
        <v>ex-post</v>
      </c>
      <c r="F6" s="296"/>
      <c r="G6" s="296"/>
    </row>
    <row r="7" spans="1:8" s="166" customFormat="1" x14ac:dyDescent="0.25"/>
    <row r="8" spans="1:8" s="166" customFormat="1" ht="13" thickBot="1" x14ac:dyDescent="0.3">
      <c r="A8" s="292" t="s">
        <v>15</v>
      </c>
    </row>
    <row r="9" spans="1:8" s="166" customFormat="1" ht="13.5" thickBot="1" x14ac:dyDescent="0.3">
      <c r="A9" s="1025" t="str">
        <f>TITELBLAD!C7</f>
        <v>NAAM DNB</v>
      </c>
      <c r="B9" s="1026"/>
      <c r="C9" s="1026"/>
      <c r="D9" s="1027"/>
    </row>
    <row r="10" spans="1:8" s="166" customFormat="1" x14ac:dyDescent="0.25"/>
    <row r="11" spans="1:8" s="166" customFormat="1" ht="13" thickBot="1" x14ac:dyDescent="0.3">
      <c r="A11" s="292" t="s">
        <v>158</v>
      </c>
    </row>
    <row r="12" spans="1:8" s="166" customFormat="1" ht="13.5" thickBot="1" x14ac:dyDescent="0.3">
      <c r="A12" s="1028" t="str">
        <f>TITELBLAD!C10</f>
        <v>elektriciteit</v>
      </c>
      <c r="B12" s="1029"/>
      <c r="C12" s="1029"/>
      <c r="D12" s="1030"/>
    </row>
    <row r="13" spans="1:8" s="166" customFormat="1" x14ac:dyDescent="0.25"/>
    <row r="14" spans="1:8" s="166" customFormat="1" ht="13" x14ac:dyDescent="0.25">
      <c r="A14" s="353" t="s">
        <v>116</v>
      </c>
    </row>
    <row r="15" spans="1:8" s="166" customFormat="1" ht="13.5" thickBot="1" x14ac:dyDescent="0.3">
      <c r="A15" s="353"/>
    </row>
    <row r="16" spans="1:8" s="166" customFormat="1" ht="61" customHeight="1" thickBot="1" x14ac:dyDescent="0.3">
      <c r="A16" s="1033"/>
      <c r="B16" s="1028" t="s">
        <v>163</v>
      </c>
      <c r="C16" s="1030"/>
      <c r="D16" s="729" t="str">
        <f>+'T3'!B226</f>
        <v>Totale werkelijke ontvangsten uit periodieke distributienettarieven voor exogene kosten</v>
      </c>
      <c r="E16" s="729" t="s">
        <v>380</v>
      </c>
    </row>
    <row r="17" spans="1:8" s="166" customFormat="1" ht="13.5" thickBot="1" x14ac:dyDescent="0.3">
      <c r="A17" s="1034"/>
      <c r="B17" s="730" t="s">
        <v>0</v>
      </c>
      <c r="C17" s="731" t="s">
        <v>1</v>
      </c>
      <c r="D17" s="1031">
        <f>+D6</f>
        <v>2022</v>
      </c>
      <c r="E17" s="1031">
        <f>+D6</f>
        <v>2022</v>
      </c>
    </row>
    <row r="18" spans="1:8" s="166" customFormat="1" ht="13.5" thickBot="1" x14ac:dyDescent="0.3">
      <c r="A18" s="751" t="s">
        <v>17</v>
      </c>
      <c r="B18" s="743">
        <f>D6</f>
        <v>2022</v>
      </c>
      <c r="C18" s="744">
        <f>D6</f>
        <v>2022</v>
      </c>
      <c r="D18" s="1032"/>
      <c r="E18" s="1032"/>
    </row>
    <row r="19" spans="1:8" s="166" customFormat="1" ht="29.15" customHeight="1" x14ac:dyDescent="0.25">
      <c r="A19" s="750" t="s">
        <v>341</v>
      </c>
      <c r="B19" s="740">
        <f>+'T3'!D215</f>
        <v>0</v>
      </c>
      <c r="C19" s="741">
        <f>+'T3'!E215</f>
        <v>0</v>
      </c>
      <c r="D19" s="742">
        <f>+'T3'!E227</f>
        <v>0</v>
      </c>
      <c r="E19" s="742">
        <f>+'T3'!E236</f>
        <v>0</v>
      </c>
    </row>
    <row r="20" spans="1:8" s="166" customFormat="1" ht="29.15" customHeight="1" x14ac:dyDescent="0.25">
      <c r="A20" s="745" t="s">
        <v>338</v>
      </c>
      <c r="B20" s="732">
        <f>+'T3'!D216</f>
        <v>0</v>
      </c>
      <c r="C20" s="733">
        <f>+'T3'!E216</f>
        <v>0</v>
      </c>
      <c r="D20" s="737">
        <f>+'T3'!E228</f>
        <v>0</v>
      </c>
      <c r="E20" s="737">
        <f>+'T3'!E237</f>
        <v>0</v>
      </c>
    </row>
    <row r="21" spans="1:8" s="166" customFormat="1" ht="29.15" customHeight="1" x14ac:dyDescent="0.25">
      <c r="A21" s="745" t="s">
        <v>323</v>
      </c>
      <c r="B21" s="732">
        <f>+'T3'!D217</f>
        <v>0</v>
      </c>
      <c r="C21" s="733">
        <f>+'T3'!E217</f>
        <v>0</v>
      </c>
      <c r="D21" s="737">
        <f>+'T3'!E229</f>
        <v>0</v>
      </c>
      <c r="E21" s="737">
        <f>+'T3'!E238</f>
        <v>0</v>
      </c>
    </row>
    <row r="22" spans="1:8" s="166" customFormat="1" ht="29.15" customHeight="1" x14ac:dyDescent="0.25">
      <c r="A22" s="745" t="s">
        <v>324</v>
      </c>
      <c r="B22" s="732">
        <f>+'T3'!D218</f>
        <v>0</v>
      </c>
      <c r="C22" s="733">
        <f>+'T3'!E218</f>
        <v>0</v>
      </c>
      <c r="D22" s="737">
        <f>+'T3'!E230</f>
        <v>0</v>
      </c>
      <c r="E22" s="737">
        <f>+'T3'!E239</f>
        <v>0</v>
      </c>
    </row>
    <row r="23" spans="1:8" s="166" customFormat="1" ht="29.15" customHeight="1" x14ac:dyDescent="0.25">
      <c r="A23" s="746" t="s">
        <v>325</v>
      </c>
      <c r="B23" s="732">
        <f>+'T3'!D219</f>
        <v>0</v>
      </c>
      <c r="C23" s="733">
        <f>+'T3'!E219</f>
        <v>0</v>
      </c>
      <c r="D23" s="737">
        <f>+'T3'!E231</f>
        <v>0</v>
      </c>
      <c r="E23" s="737">
        <f>+'T3'!E240</f>
        <v>0</v>
      </c>
    </row>
    <row r="24" spans="1:8" s="166" customFormat="1" ht="29.15" customHeight="1" x14ac:dyDescent="0.25">
      <c r="A24" s="747" t="s">
        <v>326</v>
      </c>
      <c r="B24" s="732">
        <f>+'T3'!D220</f>
        <v>0</v>
      </c>
      <c r="C24" s="733">
        <f>+'T3'!E220</f>
        <v>0</v>
      </c>
      <c r="D24" s="737">
        <f>+'T3'!E232</f>
        <v>0</v>
      </c>
      <c r="E24" s="737">
        <f>+'T3'!E241</f>
        <v>0</v>
      </c>
    </row>
    <row r="25" spans="1:8" s="166" customFormat="1" ht="29.15" customHeight="1" x14ac:dyDescent="0.25">
      <c r="A25" s="746" t="s">
        <v>327</v>
      </c>
      <c r="B25" s="732">
        <f>+'T3'!D221</f>
        <v>0</v>
      </c>
      <c r="C25" s="733">
        <f>+'T3'!E221</f>
        <v>0</v>
      </c>
      <c r="D25" s="737">
        <f>+'T3'!E233</f>
        <v>0</v>
      </c>
      <c r="E25" s="737">
        <f>+'T3'!E242</f>
        <v>0</v>
      </c>
    </row>
    <row r="26" spans="1:8" s="166" customFormat="1" ht="13" x14ac:dyDescent="0.25">
      <c r="A26" s="748"/>
      <c r="B26" s="734"/>
      <c r="C26" s="733"/>
      <c r="D26" s="738"/>
      <c r="E26" s="737"/>
    </row>
    <row r="27" spans="1:8" s="166" customFormat="1" ht="29.15" customHeight="1" thickBot="1" x14ac:dyDescent="0.3">
      <c r="A27" s="749" t="s">
        <v>20</v>
      </c>
      <c r="B27" s="735">
        <f>+SUM(B19:B25)</f>
        <v>0</v>
      </c>
      <c r="C27" s="736">
        <f>+SUM(C19:C25)</f>
        <v>0</v>
      </c>
      <c r="D27" s="739">
        <f>+SUM(D19:D25)</f>
        <v>0</v>
      </c>
      <c r="E27" s="739">
        <f>+SUM(E19:E25)</f>
        <v>0</v>
      </c>
      <c r="F27" s="519"/>
    </row>
    <row r="28" spans="1:8" s="166" customFormat="1" ht="13" x14ac:dyDescent="0.25">
      <c r="A28" s="216"/>
      <c r="B28" s="591"/>
      <c r="C28" s="591"/>
      <c r="D28" s="591"/>
      <c r="E28" s="591"/>
    </row>
    <row r="29" spans="1:8" s="166" customFormat="1" x14ac:dyDescent="0.25"/>
    <row r="30" spans="1:8" s="166" customFormat="1" ht="13" x14ac:dyDescent="0.25">
      <c r="A30" s="956" t="s">
        <v>464</v>
      </c>
      <c r="B30" s="957"/>
      <c r="E30" s="974" t="s">
        <v>465</v>
      </c>
      <c r="F30" s="771"/>
      <c r="G30" s="771"/>
      <c r="H30" s="771"/>
    </row>
    <row r="31" spans="1:8" s="166" customFormat="1" x14ac:dyDescent="0.25">
      <c r="A31" s="957"/>
      <c r="B31" s="957"/>
    </row>
    <row r="32" spans="1:8" s="166" customFormat="1" ht="13" thickBot="1" x14ac:dyDescent="0.3">
      <c r="A32" s="957"/>
      <c r="B32" s="957"/>
    </row>
    <row r="33" spans="1:3" s="166" customFormat="1" ht="43" customHeight="1" thickBot="1" x14ac:dyDescent="0.3">
      <c r="A33" s="1023"/>
      <c r="B33" s="958" t="s">
        <v>163</v>
      </c>
    </row>
    <row r="34" spans="1:3" s="166" customFormat="1" ht="13.5" thickBot="1" x14ac:dyDescent="0.3">
      <c r="A34" s="1024"/>
      <c r="B34" s="959" t="s">
        <v>0</v>
      </c>
    </row>
    <row r="35" spans="1:3" s="166" customFormat="1" ht="13.5" thickBot="1" x14ac:dyDescent="0.3">
      <c r="A35" s="960" t="s">
        <v>17</v>
      </c>
      <c r="B35" s="961">
        <f>D6</f>
        <v>2022</v>
      </c>
    </row>
    <row r="36" spans="1:3" s="166" customFormat="1" ht="36" customHeight="1" x14ac:dyDescent="0.25">
      <c r="A36" s="962" t="s">
        <v>454</v>
      </c>
      <c r="B36" s="963">
        <f>+IF($A$12="elektriciteit",-T4B!C371-T4B!C528-T4B!C595-T5B!C324-T5B!C481-T6B!C278-T6B!C413-T6B!C461-'T7'!B110+'T3'!D51+'T3'!D61+'T3'!D65+'T3'!D71+'T3'!D77+'T3'!D83,0)</f>
        <v>0</v>
      </c>
      <c r="C36" s="291"/>
    </row>
    <row r="37" spans="1:3" s="166" customFormat="1" ht="36" customHeight="1" x14ac:dyDescent="0.25">
      <c r="A37" s="962" t="s">
        <v>455</v>
      </c>
      <c r="B37" s="963">
        <f>+IF($A$12="elektriciteit",-T4B!C462-T5B!C415-T6B!C365,0)</f>
        <v>0</v>
      </c>
    </row>
    <row r="38" spans="1:3" s="166" customFormat="1" ht="36" customHeight="1" x14ac:dyDescent="0.25">
      <c r="A38" s="962" t="s">
        <v>456</v>
      </c>
      <c r="B38" s="963">
        <v>0</v>
      </c>
    </row>
    <row r="39" spans="1:3" s="166" customFormat="1" ht="36" customHeight="1" x14ac:dyDescent="0.25">
      <c r="A39" s="964" t="s">
        <v>457</v>
      </c>
      <c r="B39" s="963">
        <f>+IF($A$12="elektriciteit",-T4B!C670-T5B!C567-T6B!C524+'T3'!D127-'T3'!D131+'T3'!D137+'T3'!D138-'T3'!D140-'T3'!D143+'T3'!D147+'T3'!D149+'T3'!D152+'T3'!D153-'T3'!D156-'T3'!D157+'T3'!D160+'T3'!D161+'T3'!D163,0)</f>
        <v>0</v>
      </c>
    </row>
    <row r="40" spans="1:3" s="166" customFormat="1" ht="36" customHeight="1" x14ac:dyDescent="0.25">
      <c r="A40" s="965" t="s">
        <v>458</v>
      </c>
      <c r="B40" s="963">
        <f>+SUM(B41:B51)</f>
        <v>0</v>
      </c>
    </row>
    <row r="41" spans="1:3" s="166" customFormat="1" ht="29.5" customHeight="1" x14ac:dyDescent="0.25">
      <c r="A41" s="966" t="s">
        <v>176</v>
      </c>
      <c r="B41" s="967">
        <f>IF($A$12="elektriciteit",-T4B!C893+'T3'!D38+'T3'!D46-'T3'!D49+'T3'!D107-'T3'!D110+'T3'!D201+'T3'!D202+'T3'!D203-'T3'!D205-'T3'!D206-'T3'!D207,0)</f>
        <v>0</v>
      </c>
      <c r="C41" s="291"/>
    </row>
    <row r="42" spans="1:3" s="166" customFormat="1" ht="29.5" customHeight="1" x14ac:dyDescent="0.25">
      <c r="A42" s="966" t="s">
        <v>337</v>
      </c>
      <c r="B42" s="967">
        <f>+IF($A$12="elektriciteit",'T3'!D104,0)</f>
        <v>0</v>
      </c>
    </row>
    <row r="43" spans="1:3" s="166" customFormat="1" ht="29.5" customHeight="1" x14ac:dyDescent="0.25">
      <c r="A43" s="966" t="s">
        <v>177</v>
      </c>
      <c r="B43" s="967">
        <f>+IF($A$12="elektriciteit",'T3'!D189,0)</f>
        <v>0</v>
      </c>
    </row>
    <row r="44" spans="1:3" s="166" customFormat="1" ht="29.5" customHeight="1" x14ac:dyDescent="0.25">
      <c r="A44" s="966" t="s">
        <v>178</v>
      </c>
      <c r="B44" s="967">
        <f>+IF($A$12="elektriciteit",'T3'!D190,0)</f>
        <v>0</v>
      </c>
    </row>
    <row r="45" spans="1:3" s="166" customFormat="1" ht="29.5" customHeight="1" x14ac:dyDescent="0.25">
      <c r="A45" s="966" t="s">
        <v>179</v>
      </c>
      <c r="B45" s="967">
        <f>+IF($A$12="elektriciteit",'T3'!D191,0)</f>
        <v>0</v>
      </c>
    </row>
    <row r="46" spans="1:3" s="166" customFormat="1" ht="29.5" customHeight="1" x14ac:dyDescent="0.25">
      <c r="A46" s="966" t="s">
        <v>180</v>
      </c>
      <c r="B46" s="967">
        <f>+IF($A$12="elektriciteit",'T3'!D192,0)</f>
        <v>0</v>
      </c>
    </row>
    <row r="47" spans="1:3" s="166" customFormat="1" ht="29.5" customHeight="1" x14ac:dyDescent="0.25">
      <c r="A47" s="966" t="s">
        <v>181</v>
      </c>
      <c r="B47" s="967">
        <f>+IF($A$12="elektriciteit",'T3'!D193,0)</f>
        <v>0</v>
      </c>
    </row>
    <row r="48" spans="1:3" s="166" customFormat="1" ht="29.5" customHeight="1" x14ac:dyDescent="0.25">
      <c r="A48" s="966" t="s">
        <v>182</v>
      </c>
      <c r="B48" s="967">
        <f>+IF($A$12="elektriciteit",'T3'!D194,0)</f>
        <v>0</v>
      </c>
    </row>
    <row r="49" spans="1:2" s="166" customFormat="1" ht="29.5" customHeight="1" x14ac:dyDescent="0.25">
      <c r="A49" s="966" t="s">
        <v>183</v>
      </c>
      <c r="B49" s="967">
        <f>+IF($A$12="elektriciteit",'T3'!D195,0)</f>
        <v>0</v>
      </c>
    </row>
    <row r="50" spans="1:2" s="166" customFormat="1" ht="29.5" customHeight="1" x14ac:dyDescent="0.25">
      <c r="A50" s="966" t="s">
        <v>184</v>
      </c>
      <c r="B50" s="967">
        <f>+IF($A$12="elektriciteit",'T3'!D196,0)</f>
        <v>0</v>
      </c>
    </row>
    <row r="51" spans="1:2" s="166" customFormat="1" ht="29.5" customHeight="1" x14ac:dyDescent="0.25">
      <c r="A51" s="966" t="s">
        <v>185</v>
      </c>
      <c r="B51" s="967">
        <f>+IF($A$12="elektriciteit",'T3'!D197,0)</f>
        <v>0</v>
      </c>
    </row>
    <row r="52" spans="1:2" s="166" customFormat="1" ht="36" customHeight="1" x14ac:dyDescent="0.25">
      <c r="A52" s="964" t="s">
        <v>459</v>
      </c>
      <c r="B52" s="963">
        <v>0</v>
      </c>
    </row>
    <row r="53" spans="1:2" s="166" customFormat="1" ht="36" customHeight="1" x14ac:dyDescent="0.25">
      <c r="A53" s="964" t="s">
        <v>460</v>
      </c>
      <c r="B53" s="963">
        <f>+IF($A$12="elektriciteit",-T4B!C744-T5B!C641-T6B!C580,0)</f>
        <v>0</v>
      </c>
    </row>
    <row r="54" spans="1:2" s="166" customFormat="1" ht="36" customHeight="1" x14ac:dyDescent="0.25">
      <c r="A54" s="964" t="s">
        <v>461</v>
      </c>
      <c r="B54" s="963">
        <f>+IF($A$12="elektriciteit",-T4B!C819-T5B!C716-T6B!C643+'T3'!D177,0)</f>
        <v>0</v>
      </c>
    </row>
    <row r="55" spans="1:2" s="166" customFormat="1" x14ac:dyDescent="0.25">
      <c r="A55" s="968"/>
      <c r="B55" s="969"/>
    </row>
    <row r="56" spans="1:2" s="166" customFormat="1" ht="13" x14ac:dyDescent="0.25">
      <c r="A56" s="970" t="s">
        <v>462</v>
      </c>
      <c r="B56" s="971">
        <f>SUM(B52:B54,B36:B39)</f>
        <v>0</v>
      </c>
    </row>
    <row r="57" spans="1:2" s="166" customFormat="1" ht="13" x14ac:dyDescent="0.25">
      <c r="A57" s="970" t="s">
        <v>463</v>
      </c>
      <c r="B57" s="971">
        <f>SUM(B40)</f>
        <v>0</v>
      </c>
    </row>
    <row r="58" spans="1:2" s="166" customFormat="1" ht="13.5" thickBot="1" x14ac:dyDescent="0.3">
      <c r="A58" s="972" t="s">
        <v>20</v>
      </c>
      <c r="B58" s="973">
        <f>SUM(B56:B57)</f>
        <v>0</v>
      </c>
    </row>
    <row r="59" spans="1:2" s="166" customFormat="1" x14ac:dyDescent="0.25"/>
    <row r="60" spans="1:2" s="166" customFormat="1" x14ac:dyDescent="0.25"/>
    <row r="61" spans="1:2" s="166" customFormat="1" x14ac:dyDescent="0.25"/>
    <row r="62" spans="1:2" s="166" customFormat="1" x14ac:dyDescent="0.25"/>
    <row r="63" spans="1:2" s="166" customFormat="1" x14ac:dyDescent="0.25"/>
    <row r="64" spans="1:2" s="166" customFormat="1" x14ac:dyDescent="0.25"/>
    <row r="65" s="166" customFormat="1" x14ac:dyDescent="0.25"/>
    <row r="66" s="166" customFormat="1" x14ac:dyDescent="0.25"/>
    <row r="67" s="166" customFormat="1" x14ac:dyDescent="0.25"/>
    <row r="68" s="166" customFormat="1" x14ac:dyDescent="0.25"/>
    <row r="69" s="166" customFormat="1" x14ac:dyDescent="0.25"/>
    <row r="70" s="166" customFormat="1" x14ac:dyDescent="0.25"/>
    <row r="71" s="166" customFormat="1" x14ac:dyDescent="0.25"/>
    <row r="72" s="166" customFormat="1" x14ac:dyDescent="0.25"/>
    <row r="73" s="166" customFormat="1" x14ac:dyDescent="0.25"/>
    <row r="74" s="166" customFormat="1" x14ac:dyDescent="0.25"/>
    <row r="75" s="166" customFormat="1" x14ac:dyDescent="0.25"/>
    <row r="76" s="166" customFormat="1" x14ac:dyDescent="0.25"/>
    <row r="77" s="166" customFormat="1" x14ac:dyDescent="0.25"/>
    <row r="78" s="166" customFormat="1" x14ac:dyDescent="0.25"/>
    <row r="79" s="166" customFormat="1" x14ac:dyDescent="0.25"/>
    <row r="80" s="166" customFormat="1" x14ac:dyDescent="0.25"/>
    <row r="81" s="166" customFormat="1" x14ac:dyDescent="0.25"/>
    <row r="82" s="166" customFormat="1" x14ac:dyDescent="0.25"/>
    <row r="83" s="166" customFormat="1" x14ac:dyDescent="0.25"/>
    <row r="84" s="166" customFormat="1" x14ac:dyDescent="0.25"/>
    <row r="85" s="166" customFormat="1" x14ac:dyDescent="0.25"/>
    <row r="86" s="166" customFormat="1" x14ac:dyDescent="0.25"/>
    <row r="87" s="166" customFormat="1" x14ac:dyDescent="0.25"/>
    <row r="88" s="166" customFormat="1" x14ac:dyDescent="0.25"/>
    <row r="89" s="166" customFormat="1" x14ac:dyDescent="0.25"/>
    <row r="90" s="166" customFormat="1" x14ac:dyDescent="0.25"/>
    <row r="91" s="166" customFormat="1" x14ac:dyDescent="0.25"/>
    <row r="92" s="166" customFormat="1" x14ac:dyDescent="0.25"/>
    <row r="93" s="166" customFormat="1" x14ac:dyDescent="0.25"/>
    <row r="94" s="166" customFormat="1" x14ac:dyDescent="0.25"/>
    <row r="95" s="166" customFormat="1" x14ac:dyDescent="0.25"/>
    <row r="96" s="166" customFormat="1" x14ac:dyDescent="0.25"/>
    <row r="97" s="166" customFormat="1" x14ac:dyDescent="0.25"/>
    <row r="98" s="166" customFormat="1" x14ac:dyDescent="0.25"/>
    <row r="99" s="166" customFormat="1" x14ac:dyDescent="0.25"/>
    <row r="100" s="166" customFormat="1" x14ac:dyDescent="0.25"/>
    <row r="101" s="166" customFormat="1" x14ac:dyDescent="0.25"/>
    <row r="102" s="166" customFormat="1" x14ac:dyDescent="0.25"/>
    <row r="103" s="166" customFormat="1" x14ac:dyDescent="0.25"/>
    <row r="104" s="166" customFormat="1" x14ac:dyDescent="0.25"/>
    <row r="105" s="166" customFormat="1" x14ac:dyDescent="0.25"/>
    <row r="106" s="166" customFormat="1" x14ac:dyDescent="0.25"/>
    <row r="107" s="166" customFormat="1" x14ac:dyDescent="0.25"/>
    <row r="108" s="166" customFormat="1" x14ac:dyDescent="0.25"/>
    <row r="109" s="166" customFormat="1" x14ac:dyDescent="0.25"/>
    <row r="110" s="166" customFormat="1" x14ac:dyDescent="0.25"/>
    <row r="111" s="166" customFormat="1" x14ac:dyDescent="0.25"/>
    <row r="112" s="166" customFormat="1" x14ac:dyDescent="0.25"/>
    <row r="113" s="166" customFormat="1" x14ac:dyDescent="0.25"/>
    <row r="114" s="166" customFormat="1" x14ac:dyDescent="0.25"/>
    <row r="115" s="166" customFormat="1" x14ac:dyDescent="0.25"/>
    <row r="116" s="166" customFormat="1" x14ac:dyDescent="0.25"/>
    <row r="117" s="166" customFormat="1" x14ac:dyDescent="0.25"/>
    <row r="118" s="166" customFormat="1" x14ac:dyDescent="0.25"/>
    <row r="119" s="166" customFormat="1" x14ac:dyDescent="0.25"/>
    <row r="120" s="166" customFormat="1" x14ac:dyDescent="0.25"/>
    <row r="121" s="166" customFormat="1" x14ac:dyDescent="0.25"/>
    <row r="122" s="166" customFormat="1" x14ac:dyDescent="0.25"/>
    <row r="123" s="166" customFormat="1" x14ac:dyDescent="0.25"/>
    <row r="124" s="166" customFormat="1" x14ac:dyDescent="0.25"/>
    <row r="125" s="166" customFormat="1" x14ac:dyDescent="0.25"/>
    <row r="126" s="166" customFormat="1" x14ac:dyDescent="0.25"/>
    <row r="127" s="166" customFormat="1" x14ac:dyDescent="0.25"/>
    <row r="128" s="166" customFormat="1" x14ac:dyDescent="0.25"/>
    <row r="129" s="166" customFormat="1" x14ac:dyDescent="0.25"/>
    <row r="130" s="166" customFormat="1" x14ac:dyDescent="0.25"/>
    <row r="131" s="166" customFormat="1" x14ac:dyDescent="0.25"/>
    <row r="132" s="166" customFormat="1" x14ac:dyDescent="0.25"/>
    <row r="133" s="166" customFormat="1" x14ac:dyDescent="0.25"/>
    <row r="134" s="166" customFormat="1" x14ac:dyDescent="0.25"/>
    <row r="135" s="166" customFormat="1" x14ac:dyDescent="0.25"/>
    <row r="136" s="166" customFormat="1" x14ac:dyDescent="0.25"/>
    <row r="137" s="166" customFormat="1" x14ac:dyDescent="0.25"/>
    <row r="138" s="166" customFormat="1" x14ac:dyDescent="0.25"/>
    <row r="139" s="166" customFormat="1" x14ac:dyDescent="0.25"/>
    <row r="140" s="166" customFormat="1" x14ac:dyDescent="0.25"/>
    <row r="141" s="166" customFormat="1" x14ac:dyDescent="0.25"/>
    <row r="142" s="166" customFormat="1" x14ac:dyDescent="0.25"/>
    <row r="143" s="166" customFormat="1" x14ac:dyDescent="0.25"/>
    <row r="144" s="166" customFormat="1" x14ac:dyDescent="0.25"/>
    <row r="145" s="166" customFormat="1" x14ac:dyDescent="0.25"/>
    <row r="146" s="166" customFormat="1" x14ac:dyDescent="0.25"/>
    <row r="147" s="166" customFormat="1" x14ac:dyDescent="0.25"/>
    <row r="148" s="166" customFormat="1" x14ac:dyDescent="0.25"/>
    <row r="149" s="166" customFormat="1" x14ac:dyDescent="0.25"/>
    <row r="150" s="166" customFormat="1" x14ac:dyDescent="0.25"/>
    <row r="151" s="166" customFormat="1" x14ac:dyDescent="0.25"/>
    <row r="152" s="166" customFormat="1" x14ac:dyDescent="0.25"/>
    <row r="153" s="166" customFormat="1" x14ac:dyDescent="0.25"/>
    <row r="154" s="166" customFormat="1" x14ac:dyDescent="0.25"/>
    <row r="155" s="166" customFormat="1" x14ac:dyDescent="0.25"/>
    <row r="156" s="166" customFormat="1" x14ac:dyDescent="0.25"/>
    <row r="157" s="166" customFormat="1" x14ac:dyDescent="0.25"/>
    <row r="158" s="166" customFormat="1" x14ac:dyDescent="0.25"/>
    <row r="159" s="166" customFormat="1" x14ac:dyDescent="0.25"/>
    <row r="160" s="166" customFormat="1" x14ac:dyDescent="0.25"/>
    <row r="161" s="166" customFormat="1" x14ac:dyDescent="0.25"/>
    <row r="162" s="166" customFormat="1" x14ac:dyDescent="0.25"/>
    <row r="163" s="166" customFormat="1" x14ac:dyDescent="0.25"/>
    <row r="164" s="166" customFormat="1" x14ac:dyDescent="0.25"/>
    <row r="165" s="166" customFormat="1" x14ac:dyDescent="0.25"/>
    <row r="166" s="166" customFormat="1" x14ac:dyDescent="0.25"/>
    <row r="167" s="166" customFormat="1" x14ac:dyDescent="0.25"/>
    <row r="168" s="166" customFormat="1" x14ac:dyDescent="0.25"/>
    <row r="169" s="166" customFormat="1" x14ac:dyDescent="0.25"/>
    <row r="170" s="166" customFormat="1" x14ac:dyDescent="0.25"/>
    <row r="171" s="166" customFormat="1" x14ac:dyDescent="0.25"/>
    <row r="172" s="166" customFormat="1" x14ac:dyDescent="0.25"/>
    <row r="173" s="166" customFormat="1" x14ac:dyDescent="0.25"/>
    <row r="174" s="166" customFormat="1" x14ac:dyDescent="0.25"/>
    <row r="175" s="166" customFormat="1" x14ac:dyDescent="0.25"/>
    <row r="176" s="166" customFormat="1" x14ac:dyDescent="0.25"/>
    <row r="177" s="166" customFormat="1" x14ac:dyDescent="0.25"/>
    <row r="178" s="166" customFormat="1" x14ac:dyDescent="0.25"/>
    <row r="179" s="166" customFormat="1" x14ac:dyDescent="0.25"/>
    <row r="180" s="166" customFormat="1" x14ac:dyDescent="0.25"/>
    <row r="181" s="166" customFormat="1" x14ac:dyDescent="0.25"/>
    <row r="182" s="166" customFormat="1" x14ac:dyDescent="0.25"/>
    <row r="183" s="166" customFormat="1" x14ac:dyDescent="0.25"/>
    <row r="184" s="166" customFormat="1" x14ac:dyDescent="0.25"/>
    <row r="185" s="166" customFormat="1" x14ac:dyDescent="0.25"/>
    <row r="186" s="166" customFormat="1" x14ac:dyDescent="0.25"/>
    <row r="187" s="166" customFormat="1" x14ac:dyDescent="0.25"/>
    <row r="188" s="166" customFormat="1" x14ac:dyDescent="0.25"/>
    <row r="189" s="166" customFormat="1" x14ac:dyDescent="0.25"/>
    <row r="190" s="166" customFormat="1" x14ac:dyDescent="0.25"/>
    <row r="191" s="166" customFormat="1" x14ac:dyDescent="0.25"/>
    <row r="192" s="166" customFormat="1" x14ac:dyDescent="0.25"/>
    <row r="193" s="166" customFormat="1" x14ac:dyDescent="0.25"/>
    <row r="194" s="166" customFormat="1" x14ac:dyDescent="0.25"/>
    <row r="195" s="166" customFormat="1" x14ac:dyDescent="0.25"/>
    <row r="196" s="166" customFormat="1" x14ac:dyDescent="0.25"/>
    <row r="197" s="166" customFormat="1" x14ac:dyDescent="0.25"/>
    <row r="198" s="166" customFormat="1" x14ac:dyDescent="0.25"/>
    <row r="199" s="166" customFormat="1" x14ac:dyDescent="0.25"/>
    <row r="200" s="166" customFormat="1" x14ac:dyDescent="0.25"/>
    <row r="201" s="166" customFormat="1" x14ac:dyDescent="0.25"/>
    <row r="202" s="166" customFormat="1" x14ac:dyDescent="0.25"/>
    <row r="203" s="166" customFormat="1" x14ac:dyDescent="0.25"/>
    <row r="204" s="166" customFormat="1" x14ac:dyDescent="0.25"/>
    <row r="205" s="166" customFormat="1" x14ac:dyDescent="0.25"/>
    <row r="206" s="166" customFormat="1" x14ac:dyDescent="0.25"/>
    <row r="207" s="166" customFormat="1" x14ac:dyDescent="0.25"/>
    <row r="208" s="166" customFormat="1" x14ac:dyDescent="0.25"/>
    <row r="209" s="166" customFormat="1" x14ac:dyDescent="0.25"/>
    <row r="210" s="166" customFormat="1" x14ac:dyDescent="0.25"/>
    <row r="211" s="166" customFormat="1" x14ac:dyDescent="0.25"/>
    <row r="212" s="166" customFormat="1" x14ac:dyDescent="0.25"/>
    <row r="213" s="166" customFormat="1" x14ac:dyDescent="0.25"/>
    <row r="214" s="166" customFormat="1" x14ac:dyDescent="0.25"/>
    <row r="215" s="166" customFormat="1" x14ac:dyDescent="0.25"/>
    <row r="216" s="166" customFormat="1" x14ac:dyDescent="0.25"/>
    <row r="217" s="166" customFormat="1" x14ac:dyDescent="0.25"/>
    <row r="218" s="166" customFormat="1" x14ac:dyDescent="0.25"/>
    <row r="219" s="166" customFormat="1" x14ac:dyDescent="0.25"/>
    <row r="220" s="166" customFormat="1" x14ac:dyDescent="0.25"/>
    <row r="221" s="166" customFormat="1" x14ac:dyDescent="0.25"/>
    <row r="222" s="166" customFormat="1" x14ac:dyDescent="0.25"/>
    <row r="223" s="166" customFormat="1" x14ac:dyDescent="0.25"/>
    <row r="224" s="166" customFormat="1" x14ac:dyDescent="0.25"/>
    <row r="225" s="166" customFormat="1" x14ac:dyDescent="0.25"/>
    <row r="226" s="166" customFormat="1" x14ac:dyDescent="0.25"/>
    <row r="227" s="166" customFormat="1" x14ac:dyDescent="0.25"/>
    <row r="228" s="166" customFormat="1" x14ac:dyDescent="0.25"/>
    <row r="229" s="166" customFormat="1" x14ac:dyDescent="0.25"/>
    <row r="230" s="166" customFormat="1" x14ac:dyDescent="0.25"/>
    <row r="231" s="166" customFormat="1" x14ac:dyDescent="0.25"/>
    <row r="232" s="166" customFormat="1" x14ac:dyDescent="0.25"/>
    <row r="233" s="166" customFormat="1" x14ac:dyDescent="0.25"/>
    <row r="234" s="166" customFormat="1" x14ac:dyDescent="0.25"/>
    <row r="235" s="166" customFormat="1" x14ac:dyDescent="0.25"/>
    <row r="236" s="166" customFormat="1" x14ac:dyDescent="0.25"/>
    <row r="237" s="166" customFormat="1" x14ac:dyDescent="0.25"/>
    <row r="238" s="166" customFormat="1" x14ac:dyDescent="0.25"/>
    <row r="239" s="166" customFormat="1" x14ac:dyDescent="0.25"/>
    <row r="240" s="166" customFormat="1" x14ac:dyDescent="0.25"/>
    <row r="241" s="166" customFormat="1" x14ac:dyDescent="0.25"/>
    <row r="242" s="166" customFormat="1" x14ac:dyDescent="0.25"/>
    <row r="243" s="166" customFormat="1" x14ac:dyDescent="0.25"/>
    <row r="244" s="166" customFormat="1" x14ac:dyDescent="0.25"/>
    <row r="245" s="166" customFormat="1" x14ac:dyDescent="0.25"/>
    <row r="246" s="166" customFormat="1" x14ac:dyDescent="0.25"/>
    <row r="247" s="166" customFormat="1" x14ac:dyDescent="0.25"/>
    <row r="248" s="166" customFormat="1" x14ac:dyDescent="0.25"/>
    <row r="249" s="166" customFormat="1" x14ac:dyDescent="0.25"/>
    <row r="250" s="166" customFormat="1" x14ac:dyDescent="0.25"/>
    <row r="251" s="166" customFormat="1" x14ac:dyDescent="0.25"/>
    <row r="252" s="166" customFormat="1" x14ac:dyDescent="0.25"/>
    <row r="253" s="166" customFormat="1" x14ac:dyDescent="0.25"/>
    <row r="254" s="166" customFormat="1" x14ac:dyDescent="0.25"/>
    <row r="255" s="166" customFormat="1" x14ac:dyDescent="0.25"/>
    <row r="256" s="166" customFormat="1" x14ac:dyDescent="0.25"/>
    <row r="257" s="166" customFormat="1" x14ac:dyDescent="0.25"/>
    <row r="258" s="166" customFormat="1" x14ac:dyDescent="0.25"/>
    <row r="259" s="166" customFormat="1" x14ac:dyDescent="0.25"/>
    <row r="260" s="166" customFormat="1" x14ac:dyDescent="0.25"/>
    <row r="261" s="166" customFormat="1" x14ac:dyDescent="0.25"/>
    <row r="262" s="166" customFormat="1" x14ac:dyDescent="0.25"/>
    <row r="263" s="166" customFormat="1" x14ac:dyDescent="0.25"/>
    <row r="264" s="166" customFormat="1" x14ac:dyDescent="0.25"/>
    <row r="265" s="166" customFormat="1" x14ac:dyDescent="0.25"/>
    <row r="266" s="166" customFormat="1" x14ac:dyDescent="0.25"/>
    <row r="267" s="166" customFormat="1" x14ac:dyDescent="0.25"/>
    <row r="268" s="166" customFormat="1" x14ac:dyDescent="0.25"/>
    <row r="269" s="166" customFormat="1" x14ac:dyDescent="0.25"/>
    <row r="270" s="166" customFormat="1" x14ac:dyDescent="0.25"/>
    <row r="271" s="166" customFormat="1" x14ac:dyDescent="0.25"/>
    <row r="272" s="166" customFormat="1" x14ac:dyDescent="0.25"/>
    <row r="273" s="166" customFormat="1" x14ac:dyDescent="0.25"/>
    <row r="274" s="166" customFormat="1" x14ac:dyDescent="0.25"/>
    <row r="275" s="166" customFormat="1" x14ac:dyDescent="0.25"/>
    <row r="276" s="166" customFormat="1" x14ac:dyDescent="0.25"/>
    <row r="277" s="166" customFormat="1" x14ac:dyDescent="0.25"/>
    <row r="278" s="166" customFormat="1" x14ac:dyDescent="0.25"/>
    <row r="279" s="166" customFormat="1" x14ac:dyDescent="0.25"/>
    <row r="280" s="166" customFormat="1" x14ac:dyDescent="0.25"/>
    <row r="281" s="166" customFormat="1" x14ac:dyDescent="0.25"/>
    <row r="282" s="166" customFormat="1" x14ac:dyDescent="0.25"/>
    <row r="283" s="166" customFormat="1" x14ac:dyDescent="0.25"/>
    <row r="284" s="166" customFormat="1" x14ac:dyDescent="0.25"/>
    <row r="285" s="166" customFormat="1" x14ac:dyDescent="0.25"/>
    <row r="286" s="166" customFormat="1" x14ac:dyDescent="0.25"/>
    <row r="287" s="166" customFormat="1" x14ac:dyDescent="0.25"/>
    <row r="288" s="166" customFormat="1" x14ac:dyDescent="0.25"/>
    <row r="289" s="166" customFormat="1" x14ac:dyDescent="0.25"/>
    <row r="290" s="166" customFormat="1" x14ac:dyDescent="0.25"/>
    <row r="291" s="166" customFormat="1" x14ac:dyDescent="0.25"/>
    <row r="292" s="166" customFormat="1" x14ac:dyDescent="0.25"/>
    <row r="293" s="166" customFormat="1" x14ac:dyDescent="0.25"/>
    <row r="294" s="166" customFormat="1" x14ac:dyDescent="0.25"/>
    <row r="295" s="166" customFormat="1" x14ac:dyDescent="0.25"/>
    <row r="296" s="166" customFormat="1" x14ac:dyDescent="0.25"/>
    <row r="297" s="166" customFormat="1" x14ac:dyDescent="0.25"/>
    <row r="298" s="166" customFormat="1" x14ac:dyDescent="0.25"/>
    <row r="299" s="166" customFormat="1" x14ac:dyDescent="0.25"/>
    <row r="300" s="166" customFormat="1" x14ac:dyDescent="0.25"/>
    <row r="301" s="166" customFormat="1" x14ac:dyDescent="0.25"/>
    <row r="302" s="166" customFormat="1" x14ac:dyDescent="0.25"/>
    <row r="303" s="166" customFormat="1" x14ac:dyDescent="0.25"/>
    <row r="304" s="166" customFormat="1" x14ac:dyDescent="0.25"/>
    <row r="305" s="166" customFormat="1" x14ac:dyDescent="0.25"/>
    <row r="306" s="166" customFormat="1" x14ac:dyDescent="0.25"/>
    <row r="307" s="166" customFormat="1" x14ac:dyDescent="0.25"/>
    <row r="308" s="166" customFormat="1" x14ac:dyDescent="0.25"/>
    <row r="309" s="166" customFormat="1" x14ac:dyDescent="0.25"/>
    <row r="310" s="166" customFormat="1" x14ac:dyDescent="0.25"/>
    <row r="311" s="166" customFormat="1" x14ac:dyDescent="0.25"/>
    <row r="312" s="166" customFormat="1" x14ac:dyDescent="0.25"/>
    <row r="313" s="166" customFormat="1" x14ac:dyDescent="0.25"/>
    <row r="314" s="166" customFormat="1" x14ac:dyDescent="0.25"/>
    <row r="315" s="166" customFormat="1" x14ac:dyDescent="0.25"/>
    <row r="316" s="166" customFormat="1" x14ac:dyDescent="0.25"/>
    <row r="317" s="166" customFormat="1" x14ac:dyDescent="0.25"/>
    <row r="318" s="166" customFormat="1" x14ac:dyDescent="0.25"/>
    <row r="319" s="166" customFormat="1" x14ac:dyDescent="0.25"/>
    <row r="320" s="166" customFormat="1" x14ac:dyDescent="0.25"/>
    <row r="321" s="166" customFormat="1" x14ac:dyDescent="0.25"/>
    <row r="322" s="166" customFormat="1" x14ac:dyDescent="0.25"/>
    <row r="323" s="166" customFormat="1" x14ac:dyDescent="0.25"/>
    <row r="324" s="166" customFormat="1" x14ac:dyDescent="0.25"/>
    <row r="325" s="166" customFormat="1" x14ac:dyDescent="0.25"/>
    <row r="326" s="166" customFormat="1" x14ac:dyDescent="0.25"/>
    <row r="327" s="166" customFormat="1" x14ac:dyDescent="0.25"/>
    <row r="328" s="166" customFormat="1" x14ac:dyDescent="0.25"/>
    <row r="329" s="166" customFormat="1" x14ac:dyDescent="0.25"/>
    <row r="330" s="166" customFormat="1" x14ac:dyDescent="0.25"/>
    <row r="331" s="166" customFormat="1" x14ac:dyDescent="0.25"/>
    <row r="332" s="166" customFormat="1" x14ac:dyDescent="0.25"/>
    <row r="333" s="166" customFormat="1" x14ac:dyDescent="0.25"/>
    <row r="334" s="166" customFormat="1" x14ac:dyDescent="0.25"/>
    <row r="335" s="166" customFormat="1" x14ac:dyDescent="0.25"/>
    <row r="336" s="166" customFormat="1" x14ac:dyDescent="0.25"/>
    <row r="337" s="166" customFormat="1" x14ac:dyDescent="0.25"/>
    <row r="338" s="166" customFormat="1" x14ac:dyDescent="0.25"/>
    <row r="339" s="166" customFormat="1" x14ac:dyDescent="0.25"/>
    <row r="340" s="166" customFormat="1" x14ac:dyDescent="0.25"/>
    <row r="341" s="166" customFormat="1" x14ac:dyDescent="0.25"/>
    <row r="342" s="166" customFormat="1" x14ac:dyDescent="0.25"/>
    <row r="343" s="166" customFormat="1" x14ac:dyDescent="0.25"/>
    <row r="344" s="166" customFormat="1" x14ac:dyDescent="0.25"/>
    <row r="345" s="166" customFormat="1" x14ac:dyDescent="0.25"/>
    <row r="346" s="166" customFormat="1" x14ac:dyDescent="0.25"/>
    <row r="347" s="166" customFormat="1" x14ac:dyDescent="0.25"/>
    <row r="348" s="166" customFormat="1" x14ac:dyDescent="0.25"/>
    <row r="349" s="166" customFormat="1" x14ac:dyDescent="0.25"/>
    <row r="350" s="166" customFormat="1" x14ac:dyDescent="0.25"/>
    <row r="351" s="166" customFormat="1" x14ac:dyDescent="0.25"/>
    <row r="352" s="166" customFormat="1" x14ac:dyDescent="0.25"/>
    <row r="353" s="166" customFormat="1" x14ac:dyDescent="0.25"/>
    <row r="354" s="166" customFormat="1" x14ac:dyDescent="0.25"/>
    <row r="355" s="166" customFormat="1" x14ac:dyDescent="0.25"/>
    <row r="356" s="166" customFormat="1" x14ac:dyDescent="0.25"/>
    <row r="357" s="166" customFormat="1" x14ac:dyDescent="0.25"/>
    <row r="358" s="166" customFormat="1" x14ac:dyDescent="0.25"/>
    <row r="359" s="166" customFormat="1" x14ac:dyDescent="0.25"/>
    <row r="360" s="166" customFormat="1" x14ac:dyDescent="0.25"/>
    <row r="361" s="166" customFormat="1" x14ac:dyDescent="0.25"/>
    <row r="362" s="166" customFormat="1" x14ac:dyDescent="0.25"/>
    <row r="363" s="166" customFormat="1" x14ac:dyDescent="0.25"/>
    <row r="364" s="166" customFormat="1" x14ac:dyDescent="0.25"/>
    <row r="365" s="166" customFormat="1" x14ac:dyDescent="0.25"/>
    <row r="366" s="166" customFormat="1" x14ac:dyDescent="0.25"/>
    <row r="367" s="166" customFormat="1" x14ac:dyDescent="0.25"/>
    <row r="368" s="166" customFormat="1" x14ac:dyDescent="0.25"/>
    <row r="369" s="166" customFormat="1" x14ac:dyDescent="0.25"/>
    <row r="370" s="166" customFormat="1" x14ac:dyDescent="0.25"/>
    <row r="371" s="166" customFormat="1" x14ac:dyDescent="0.25"/>
    <row r="372" s="166" customFormat="1" x14ac:dyDescent="0.25"/>
    <row r="373" s="166" customFormat="1" x14ac:dyDescent="0.25"/>
    <row r="374" s="166" customFormat="1" x14ac:dyDescent="0.25"/>
    <row r="375" s="166" customFormat="1" x14ac:dyDescent="0.25"/>
    <row r="376" s="166" customFormat="1" x14ac:dyDescent="0.25"/>
    <row r="377" s="166" customFormat="1" x14ac:dyDescent="0.25"/>
    <row r="378" s="166" customFormat="1" x14ac:dyDescent="0.25"/>
    <row r="379" s="166" customFormat="1" x14ac:dyDescent="0.25"/>
    <row r="380" s="166" customFormat="1" x14ac:dyDescent="0.25"/>
    <row r="381" s="166" customFormat="1" x14ac:dyDescent="0.25"/>
    <row r="382" s="166" customFormat="1" x14ac:dyDescent="0.25"/>
    <row r="383" s="166" customFormat="1" x14ac:dyDescent="0.25"/>
    <row r="384" s="166" customFormat="1" x14ac:dyDescent="0.25"/>
    <row r="385" s="166" customFormat="1" x14ac:dyDescent="0.25"/>
    <row r="386" s="166" customFormat="1" x14ac:dyDescent="0.25"/>
    <row r="387" s="166" customFormat="1" x14ac:dyDescent="0.25"/>
    <row r="388" s="166" customFormat="1" x14ac:dyDescent="0.25"/>
    <row r="389" s="166" customFormat="1" x14ac:dyDescent="0.25"/>
    <row r="390" s="166" customFormat="1" x14ac:dyDescent="0.25"/>
    <row r="391" s="166" customFormat="1" x14ac:dyDescent="0.25"/>
    <row r="392" s="166" customFormat="1" x14ac:dyDescent="0.25"/>
    <row r="393" s="166" customFormat="1" x14ac:dyDescent="0.25"/>
    <row r="394" s="166" customFormat="1" x14ac:dyDescent="0.25"/>
    <row r="395" s="166" customFormat="1" x14ac:dyDescent="0.25"/>
    <row r="396" s="166" customFormat="1" x14ac:dyDescent="0.25"/>
    <row r="397" s="166" customFormat="1" x14ac:dyDescent="0.25"/>
    <row r="398" s="166" customFormat="1" x14ac:dyDescent="0.25"/>
    <row r="399" s="166" customFormat="1" x14ac:dyDescent="0.25"/>
    <row r="400" s="166" customFormat="1" x14ac:dyDescent="0.25"/>
    <row r="401" s="166" customFormat="1" x14ac:dyDescent="0.25"/>
    <row r="402" s="166" customFormat="1" x14ac:dyDescent="0.25"/>
    <row r="403" s="166" customFormat="1" x14ac:dyDescent="0.25"/>
    <row r="404" s="166" customFormat="1" x14ac:dyDescent="0.25"/>
    <row r="405" s="166" customFormat="1" x14ac:dyDescent="0.25"/>
    <row r="406" s="166" customFormat="1" x14ac:dyDescent="0.25"/>
    <row r="407" s="166" customFormat="1" x14ac:dyDescent="0.25"/>
    <row r="408" s="166" customFormat="1" x14ac:dyDescent="0.25"/>
    <row r="409" s="166" customFormat="1" x14ac:dyDescent="0.25"/>
    <row r="410" s="166" customFormat="1" x14ac:dyDescent="0.25"/>
    <row r="411" s="166" customFormat="1" x14ac:dyDescent="0.25"/>
    <row r="412" s="166" customFormat="1" x14ac:dyDescent="0.25"/>
    <row r="413" s="166" customFormat="1" x14ac:dyDescent="0.25"/>
    <row r="414" s="166" customFormat="1" x14ac:dyDescent="0.25"/>
    <row r="415" s="166" customFormat="1" x14ac:dyDescent="0.25"/>
    <row r="416" s="166" customFormat="1" x14ac:dyDescent="0.25"/>
    <row r="417" s="166" customFormat="1" x14ac:dyDescent="0.25"/>
    <row r="418" s="166" customFormat="1" x14ac:dyDescent="0.25"/>
    <row r="419" s="166" customFormat="1" x14ac:dyDescent="0.25"/>
    <row r="420" s="166" customFormat="1" x14ac:dyDescent="0.25"/>
    <row r="421" s="166" customFormat="1" x14ac:dyDescent="0.25"/>
    <row r="422" s="166" customFormat="1" x14ac:dyDescent="0.25"/>
    <row r="423" s="166" customFormat="1" x14ac:dyDescent="0.25"/>
    <row r="424" s="166" customFormat="1" x14ac:dyDescent="0.25"/>
    <row r="425" s="166" customFormat="1" x14ac:dyDescent="0.25"/>
    <row r="426" s="166" customFormat="1" x14ac:dyDescent="0.25"/>
    <row r="427" s="166" customFormat="1" x14ac:dyDescent="0.25"/>
    <row r="428" s="166" customFormat="1" x14ac:dyDescent="0.25"/>
    <row r="429" s="166" customFormat="1" x14ac:dyDescent="0.25"/>
    <row r="430" s="166" customFormat="1" x14ac:dyDescent="0.25"/>
    <row r="431" s="166" customFormat="1" x14ac:dyDescent="0.25"/>
    <row r="432" s="166" customFormat="1" x14ac:dyDescent="0.25"/>
    <row r="433" s="166" customFormat="1" x14ac:dyDescent="0.25"/>
    <row r="434" s="166" customFormat="1" x14ac:dyDescent="0.25"/>
    <row r="435" s="166" customFormat="1" x14ac:dyDescent="0.25"/>
    <row r="436" s="166" customFormat="1" x14ac:dyDescent="0.25"/>
    <row r="437" s="166" customFormat="1" x14ac:dyDescent="0.25"/>
    <row r="438" s="166" customFormat="1" x14ac:dyDescent="0.25"/>
    <row r="439" s="166" customFormat="1" x14ac:dyDescent="0.25"/>
    <row r="440" s="166" customFormat="1" x14ac:dyDescent="0.25"/>
    <row r="441" s="166" customFormat="1" x14ac:dyDescent="0.25"/>
    <row r="442" s="166" customFormat="1" x14ac:dyDescent="0.25"/>
    <row r="443" s="166" customFormat="1" x14ac:dyDescent="0.25"/>
    <row r="444" s="166" customFormat="1" x14ac:dyDescent="0.25"/>
    <row r="445" s="166" customFormat="1" x14ac:dyDescent="0.25"/>
    <row r="446" s="166" customFormat="1" x14ac:dyDescent="0.25"/>
    <row r="447" s="166" customFormat="1" x14ac:dyDescent="0.25"/>
    <row r="448" s="166" customFormat="1" x14ac:dyDescent="0.25"/>
    <row r="449" s="166" customFormat="1" x14ac:dyDescent="0.25"/>
    <row r="450" s="166" customFormat="1" x14ac:dyDescent="0.25"/>
    <row r="451" s="166" customFormat="1" x14ac:dyDescent="0.25"/>
    <row r="452" s="166" customFormat="1" x14ac:dyDescent="0.25"/>
    <row r="453" s="166" customFormat="1" x14ac:dyDescent="0.25"/>
    <row r="454" s="166" customFormat="1" x14ac:dyDescent="0.25"/>
    <row r="455" s="166" customFormat="1" x14ac:dyDescent="0.25"/>
    <row r="456" s="166" customFormat="1" x14ac:dyDescent="0.25"/>
    <row r="457" s="166" customFormat="1" x14ac:dyDescent="0.25"/>
    <row r="458" s="166" customFormat="1" x14ac:dyDescent="0.25"/>
    <row r="459" s="166" customFormat="1" x14ac:dyDescent="0.25"/>
    <row r="460" s="166" customFormat="1" x14ac:dyDescent="0.25"/>
    <row r="461" s="166" customFormat="1" x14ac:dyDescent="0.25"/>
    <row r="462" s="166" customFormat="1" x14ac:dyDescent="0.25"/>
    <row r="463" s="166" customFormat="1" x14ac:dyDescent="0.25"/>
    <row r="464" s="166" customFormat="1" x14ac:dyDescent="0.25"/>
    <row r="465" s="166" customFormat="1" x14ac:dyDescent="0.25"/>
    <row r="466" s="166" customFormat="1" x14ac:dyDescent="0.25"/>
    <row r="467" s="166" customFormat="1" x14ac:dyDescent="0.25"/>
    <row r="468" s="166" customFormat="1" x14ac:dyDescent="0.25"/>
    <row r="469" s="166" customFormat="1" x14ac:dyDescent="0.25"/>
    <row r="470" s="166" customFormat="1" x14ac:dyDescent="0.25"/>
    <row r="471" s="166" customFormat="1" x14ac:dyDescent="0.25"/>
    <row r="472" s="166" customFormat="1" x14ac:dyDescent="0.25"/>
    <row r="473" s="166" customFormat="1" x14ac:dyDescent="0.25"/>
    <row r="474" s="166" customFormat="1" x14ac:dyDescent="0.25"/>
    <row r="475" s="166" customFormat="1" x14ac:dyDescent="0.25"/>
    <row r="476" s="166" customFormat="1" x14ac:dyDescent="0.25"/>
    <row r="477" s="166" customFormat="1" x14ac:dyDescent="0.25"/>
    <row r="478" s="166" customFormat="1" x14ac:dyDescent="0.25"/>
    <row r="479" s="166" customFormat="1" x14ac:dyDescent="0.25"/>
    <row r="480" s="166" customFormat="1" x14ac:dyDescent="0.25"/>
    <row r="481" s="166" customFormat="1" x14ac:dyDescent="0.25"/>
    <row r="482" s="166" customFormat="1" x14ac:dyDescent="0.25"/>
    <row r="483" s="166" customFormat="1" x14ac:dyDescent="0.25"/>
    <row r="484" s="166" customFormat="1" x14ac:dyDescent="0.25"/>
    <row r="485" s="166" customFormat="1" x14ac:dyDescent="0.25"/>
    <row r="486" s="166" customFormat="1" x14ac:dyDescent="0.25"/>
    <row r="487" s="166" customFormat="1" x14ac:dyDescent="0.25"/>
    <row r="488" s="166" customFormat="1" x14ac:dyDescent="0.25"/>
    <row r="489" s="166" customFormat="1" x14ac:dyDescent="0.25"/>
    <row r="490" s="166" customFormat="1" x14ac:dyDescent="0.25"/>
    <row r="491" s="166" customFormat="1" x14ac:dyDescent="0.25"/>
    <row r="492" s="166" customFormat="1" x14ac:dyDescent="0.25"/>
    <row r="493" s="166" customFormat="1" x14ac:dyDescent="0.25"/>
    <row r="494" s="166" customFormat="1" x14ac:dyDescent="0.25"/>
    <row r="495" s="166" customFormat="1" x14ac:dyDescent="0.25"/>
    <row r="496" s="166" customFormat="1" x14ac:dyDescent="0.25"/>
    <row r="497" s="166" customFormat="1" x14ac:dyDescent="0.25"/>
    <row r="498" s="166" customFormat="1" x14ac:dyDescent="0.25"/>
    <row r="499" s="166" customFormat="1" x14ac:dyDescent="0.25"/>
    <row r="500" s="166" customFormat="1" x14ac:dyDescent="0.25"/>
    <row r="501" s="166" customFormat="1" x14ac:dyDescent="0.25"/>
    <row r="502" s="166" customFormat="1" x14ac:dyDescent="0.25"/>
    <row r="503" s="166" customFormat="1" x14ac:dyDescent="0.25"/>
    <row r="504" s="166" customFormat="1" x14ac:dyDescent="0.25"/>
    <row r="505" s="166" customFormat="1" x14ac:dyDescent="0.25"/>
    <row r="506" s="166" customFormat="1" x14ac:dyDescent="0.25"/>
    <row r="507" s="166" customFormat="1" x14ac:dyDescent="0.25"/>
    <row r="508" s="166" customFormat="1" x14ac:dyDescent="0.25"/>
    <row r="509" s="166" customFormat="1" x14ac:dyDescent="0.25"/>
    <row r="510" s="166" customFormat="1" x14ac:dyDescent="0.25"/>
    <row r="511" s="166" customFormat="1" x14ac:dyDescent="0.25"/>
    <row r="512" s="166" customFormat="1" x14ac:dyDescent="0.25"/>
    <row r="513" s="166" customFormat="1" x14ac:dyDescent="0.25"/>
    <row r="514" s="166" customFormat="1" x14ac:dyDescent="0.25"/>
    <row r="515" s="166" customFormat="1" x14ac:dyDescent="0.25"/>
    <row r="516" s="166" customFormat="1" x14ac:dyDescent="0.25"/>
    <row r="517" s="166" customFormat="1" x14ac:dyDescent="0.25"/>
    <row r="518" s="166" customFormat="1" x14ac:dyDescent="0.25"/>
    <row r="519" s="166" customFormat="1" x14ac:dyDescent="0.25"/>
    <row r="520" s="166" customFormat="1" x14ac:dyDescent="0.25"/>
    <row r="521" s="166" customFormat="1" x14ac:dyDescent="0.25"/>
    <row r="522" s="166" customFormat="1" x14ac:dyDescent="0.25"/>
    <row r="523" s="166" customFormat="1" x14ac:dyDescent="0.25"/>
    <row r="524" s="166" customFormat="1" x14ac:dyDescent="0.25"/>
    <row r="525" s="166" customFormat="1" x14ac:dyDescent="0.25"/>
    <row r="526" s="166" customFormat="1" x14ac:dyDescent="0.25"/>
    <row r="527" s="166" customFormat="1" x14ac:dyDescent="0.25"/>
    <row r="528" s="166" customFormat="1" x14ac:dyDescent="0.25"/>
    <row r="529" s="166" customFormat="1" x14ac:dyDescent="0.25"/>
    <row r="530" s="166" customFormat="1" x14ac:dyDescent="0.25"/>
    <row r="531" s="166" customFormat="1" x14ac:dyDescent="0.25"/>
    <row r="532" s="166" customFormat="1" x14ac:dyDescent="0.25"/>
    <row r="533" s="166" customFormat="1" x14ac:dyDescent="0.25"/>
    <row r="534" s="166" customFormat="1" x14ac:dyDescent="0.25"/>
    <row r="535" s="166" customFormat="1" x14ac:dyDescent="0.25"/>
    <row r="536" s="166" customFormat="1" x14ac:dyDescent="0.25"/>
    <row r="537" s="166" customFormat="1" x14ac:dyDescent="0.25"/>
    <row r="538" s="166" customFormat="1" x14ac:dyDescent="0.25"/>
    <row r="539" s="166" customFormat="1" x14ac:dyDescent="0.25"/>
    <row r="540" s="166" customFormat="1" x14ac:dyDescent="0.25"/>
    <row r="541" s="166" customFormat="1" x14ac:dyDescent="0.25"/>
    <row r="542" s="166" customFormat="1" x14ac:dyDescent="0.25"/>
    <row r="543" s="166" customFormat="1" x14ac:dyDescent="0.25"/>
    <row r="544" s="166" customFormat="1" x14ac:dyDescent="0.25"/>
    <row r="545" s="166" customFormat="1" x14ac:dyDescent="0.25"/>
    <row r="546" s="166" customFormat="1" x14ac:dyDescent="0.25"/>
    <row r="547" s="166" customFormat="1" x14ac:dyDescent="0.25"/>
    <row r="548" s="166" customFormat="1" x14ac:dyDescent="0.25"/>
    <row r="549" s="166" customFormat="1" x14ac:dyDescent="0.25"/>
    <row r="550" s="166" customFormat="1" x14ac:dyDescent="0.25"/>
    <row r="551" s="166" customFormat="1" x14ac:dyDescent="0.25"/>
    <row r="552" s="166" customFormat="1" x14ac:dyDescent="0.25"/>
    <row r="553" s="166" customFormat="1" x14ac:dyDescent="0.25"/>
    <row r="554" s="166" customFormat="1" x14ac:dyDescent="0.25"/>
    <row r="555" s="166" customFormat="1" x14ac:dyDescent="0.25"/>
    <row r="556" s="166" customFormat="1" x14ac:dyDescent="0.25"/>
    <row r="557" s="166" customFormat="1" x14ac:dyDescent="0.25"/>
    <row r="558" s="166" customFormat="1" x14ac:dyDescent="0.25"/>
    <row r="559" s="166" customFormat="1" x14ac:dyDescent="0.25"/>
    <row r="560" s="166" customFormat="1" x14ac:dyDescent="0.25"/>
    <row r="561" s="166" customFormat="1" x14ac:dyDescent="0.25"/>
    <row r="562" s="166" customFormat="1" x14ac:dyDescent="0.25"/>
    <row r="563" s="166" customFormat="1" x14ac:dyDescent="0.25"/>
    <row r="564" s="166" customFormat="1" x14ac:dyDescent="0.25"/>
    <row r="565" s="166" customFormat="1" x14ac:dyDescent="0.25"/>
    <row r="566" s="166" customFormat="1" x14ac:dyDescent="0.25"/>
    <row r="567" s="166" customFormat="1" x14ac:dyDescent="0.25"/>
    <row r="568" s="166" customFormat="1" x14ac:dyDescent="0.25"/>
    <row r="569" s="166" customFormat="1" x14ac:dyDescent="0.25"/>
    <row r="570" s="166" customFormat="1" x14ac:dyDescent="0.25"/>
    <row r="571" s="166" customFormat="1" x14ac:dyDescent="0.25"/>
    <row r="572" s="166" customFormat="1" x14ac:dyDescent="0.25"/>
    <row r="573" s="166" customFormat="1" x14ac:dyDescent="0.25"/>
    <row r="574" s="166" customFormat="1" x14ac:dyDescent="0.25"/>
    <row r="575" s="166" customFormat="1" x14ac:dyDescent="0.25"/>
    <row r="576" s="166" customFormat="1" x14ac:dyDescent="0.25"/>
    <row r="577" s="166" customFormat="1" x14ac:dyDescent="0.25"/>
    <row r="578" s="166" customFormat="1" x14ac:dyDescent="0.25"/>
    <row r="579" s="166" customFormat="1" x14ac:dyDescent="0.25"/>
    <row r="580" s="166" customFormat="1" x14ac:dyDescent="0.25"/>
    <row r="581" s="166" customFormat="1" x14ac:dyDescent="0.25"/>
    <row r="582" s="166" customFormat="1" x14ac:dyDescent="0.25"/>
    <row r="583" s="166" customFormat="1" x14ac:dyDescent="0.25"/>
    <row r="584" s="166" customFormat="1" x14ac:dyDescent="0.25"/>
    <row r="585" s="166" customFormat="1" x14ac:dyDescent="0.25"/>
    <row r="586" s="166" customFormat="1" x14ac:dyDescent="0.25"/>
    <row r="587" s="166" customFormat="1" x14ac:dyDescent="0.25"/>
    <row r="588" s="166" customFormat="1" x14ac:dyDescent="0.25"/>
    <row r="589" s="166" customFormat="1" x14ac:dyDescent="0.25"/>
    <row r="590" s="166" customFormat="1" x14ac:dyDescent="0.25"/>
    <row r="591" s="166" customFormat="1" x14ac:dyDescent="0.25"/>
    <row r="592" s="166" customFormat="1" x14ac:dyDescent="0.25"/>
    <row r="593" s="166" customFormat="1" x14ac:dyDescent="0.25"/>
    <row r="594" s="166" customFormat="1" x14ac:dyDescent="0.25"/>
    <row r="595" s="166" customFormat="1" x14ac:dyDescent="0.25"/>
    <row r="596" s="166" customFormat="1" x14ac:dyDescent="0.25"/>
    <row r="597" s="166" customFormat="1" x14ac:dyDescent="0.25"/>
    <row r="598" s="166" customFormat="1" x14ac:dyDescent="0.25"/>
    <row r="599" s="166" customFormat="1" x14ac:dyDescent="0.25"/>
    <row r="600" s="166" customFormat="1" x14ac:dyDescent="0.25"/>
    <row r="601" s="166" customFormat="1" x14ac:dyDescent="0.25"/>
    <row r="602" s="166" customFormat="1" x14ac:dyDescent="0.25"/>
    <row r="603" s="166" customFormat="1" x14ac:dyDescent="0.25"/>
    <row r="604" s="166" customFormat="1" x14ac:dyDescent="0.25"/>
    <row r="605" s="166" customFormat="1" x14ac:dyDescent="0.25"/>
    <row r="606" s="166" customFormat="1" x14ac:dyDescent="0.25"/>
    <row r="607" s="166" customFormat="1" x14ac:dyDescent="0.25"/>
    <row r="608" s="166" customFormat="1" x14ac:dyDescent="0.25"/>
    <row r="609" s="166" customFormat="1" x14ac:dyDescent="0.25"/>
    <row r="610" s="166" customFormat="1" x14ac:dyDescent="0.25"/>
    <row r="611" s="166" customFormat="1" x14ac:dyDescent="0.25"/>
    <row r="612" s="166" customFormat="1" x14ac:dyDescent="0.25"/>
    <row r="613" s="166" customFormat="1" x14ac:dyDescent="0.25"/>
    <row r="614" s="166" customFormat="1" x14ac:dyDescent="0.25"/>
    <row r="615" s="166" customFormat="1" x14ac:dyDescent="0.25"/>
    <row r="616" s="166" customFormat="1" x14ac:dyDescent="0.25"/>
    <row r="617" s="166" customFormat="1" x14ac:dyDescent="0.25"/>
    <row r="618" s="166" customFormat="1" x14ac:dyDescent="0.25"/>
    <row r="619" s="166" customFormat="1" x14ac:dyDescent="0.25"/>
    <row r="620" s="166" customFormat="1" x14ac:dyDescent="0.25"/>
    <row r="621" s="166" customFormat="1" x14ac:dyDescent="0.25"/>
    <row r="622" s="166" customFormat="1" x14ac:dyDescent="0.25"/>
    <row r="623" s="166" customFormat="1" x14ac:dyDescent="0.25"/>
    <row r="624" s="166" customFormat="1" x14ac:dyDescent="0.25"/>
    <row r="625" s="166" customFormat="1" x14ac:dyDescent="0.25"/>
    <row r="626" s="166" customFormat="1" x14ac:dyDescent="0.25"/>
    <row r="627" s="166" customFormat="1" x14ac:dyDescent="0.25"/>
    <row r="628" s="166" customFormat="1" x14ac:dyDescent="0.25"/>
    <row r="629" s="166" customFormat="1" x14ac:dyDescent="0.25"/>
    <row r="630" s="166" customFormat="1" x14ac:dyDescent="0.25"/>
    <row r="631" s="166" customFormat="1" x14ac:dyDescent="0.25"/>
    <row r="632" s="166" customFormat="1" x14ac:dyDescent="0.25"/>
    <row r="633" s="166" customFormat="1" x14ac:dyDescent="0.25"/>
    <row r="634" s="166" customFormat="1" x14ac:dyDescent="0.25"/>
    <row r="635" s="166" customFormat="1" x14ac:dyDescent="0.25"/>
    <row r="636" s="166" customFormat="1" x14ac:dyDescent="0.25"/>
    <row r="637" s="166" customFormat="1" x14ac:dyDescent="0.25"/>
    <row r="638" s="166" customFormat="1" x14ac:dyDescent="0.25"/>
    <row r="639" s="166" customFormat="1" x14ac:dyDescent="0.25"/>
    <row r="640" s="166" customFormat="1" x14ac:dyDescent="0.25"/>
    <row r="641" s="166" customFormat="1" x14ac:dyDescent="0.25"/>
    <row r="642" s="166" customFormat="1" x14ac:dyDescent="0.25"/>
    <row r="643" s="166" customFormat="1" x14ac:dyDescent="0.25"/>
    <row r="644" s="166" customFormat="1" x14ac:dyDescent="0.25"/>
    <row r="645" s="166" customFormat="1" x14ac:dyDescent="0.25"/>
    <row r="646" s="166" customFormat="1" x14ac:dyDescent="0.25"/>
    <row r="647" s="166" customFormat="1" x14ac:dyDescent="0.25"/>
    <row r="648" s="166" customFormat="1" x14ac:dyDescent="0.25"/>
    <row r="649" s="166" customFormat="1" x14ac:dyDescent="0.25"/>
    <row r="650" s="166" customFormat="1" x14ac:dyDescent="0.25"/>
    <row r="651" s="166" customFormat="1" x14ac:dyDescent="0.25"/>
    <row r="652" s="166" customFormat="1" x14ac:dyDescent="0.25"/>
    <row r="653" s="166" customFormat="1" x14ac:dyDescent="0.25"/>
    <row r="654" s="166" customFormat="1" x14ac:dyDescent="0.25"/>
    <row r="655" s="166" customFormat="1" x14ac:dyDescent="0.25"/>
    <row r="656" s="166" customFormat="1" x14ac:dyDescent="0.25"/>
    <row r="657" s="166" customFormat="1" x14ac:dyDescent="0.25"/>
    <row r="658" s="166" customFormat="1" x14ac:dyDescent="0.25"/>
    <row r="659" s="166" customFormat="1" x14ac:dyDescent="0.25"/>
    <row r="660" s="166" customFormat="1" x14ac:dyDescent="0.25"/>
    <row r="661" s="166" customFormat="1" x14ac:dyDescent="0.25"/>
    <row r="662" s="166" customFormat="1" x14ac:dyDescent="0.25"/>
    <row r="663" s="166" customFormat="1" x14ac:dyDescent="0.25"/>
    <row r="664" s="166" customFormat="1" x14ac:dyDescent="0.25"/>
    <row r="665" s="166" customFormat="1" x14ac:dyDescent="0.25"/>
    <row r="666" s="166" customFormat="1" x14ac:dyDescent="0.25"/>
    <row r="667" s="166" customFormat="1" x14ac:dyDescent="0.25"/>
    <row r="668" s="166" customFormat="1" x14ac:dyDescent="0.25"/>
    <row r="669" s="166" customFormat="1" x14ac:dyDescent="0.25"/>
    <row r="670" s="166" customFormat="1" x14ac:dyDescent="0.25"/>
    <row r="671" s="166" customFormat="1" x14ac:dyDescent="0.25"/>
    <row r="672" s="166" customFormat="1" x14ac:dyDescent="0.25"/>
    <row r="673" s="166" customFormat="1" x14ac:dyDescent="0.25"/>
    <row r="674" s="166" customFormat="1" x14ac:dyDescent="0.25"/>
    <row r="675" s="166" customFormat="1" x14ac:dyDescent="0.25"/>
    <row r="676" s="166" customFormat="1" x14ac:dyDescent="0.25"/>
    <row r="677" s="166" customFormat="1" x14ac:dyDescent="0.25"/>
    <row r="678" s="166" customFormat="1" x14ac:dyDescent="0.25"/>
    <row r="679" s="166" customFormat="1" x14ac:dyDescent="0.25"/>
    <row r="680" s="166" customFormat="1" x14ac:dyDescent="0.25"/>
    <row r="681" s="166" customFormat="1" x14ac:dyDescent="0.25"/>
    <row r="682" s="166" customFormat="1" x14ac:dyDescent="0.25"/>
    <row r="683" s="166" customFormat="1" x14ac:dyDescent="0.25"/>
    <row r="684" s="166" customFormat="1" x14ac:dyDescent="0.25"/>
    <row r="685" s="166" customFormat="1" x14ac:dyDescent="0.25"/>
    <row r="686" s="166" customFormat="1" x14ac:dyDescent="0.25"/>
    <row r="687" s="166" customFormat="1" x14ac:dyDescent="0.25"/>
    <row r="688" s="166" customFormat="1" x14ac:dyDescent="0.25"/>
    <row r="689" s="166" customFormat="1" x14ac:dyDescent="0.25"/>
    <row r="690" s="166" customFormat="1" x14ac:dyDescent="0.25"/>
    <row r="691" s="166" customFormat="1" x14ac:dyDescent="0.25"/>
    <row r="692" s="166" customFormat="1" x14ac:dyDescent="0.25"/>
    <row r="693" s="166" customFormat="1" x14ac:dyDescent="0.25"/>
    <row r="694" s="166" customFormat="1" x14ac:dyDescent="0.25"/>
    <row r="695" s="166" customFormat="1" x14ac:dyDescent="0.25"/>
    <row r="696" s="166" customFormat="1" x14ac:dyDescent="0.25"/>
    <row r="697" s="166" customFormat="1" x14ac:dyDescent="0.25"/>
    <row r="698" s="166" customFormat="1" x14ac:dyDescent="0.25"/>
    <row r="699" s="166" customFormat="1" x14ac:dyDescent="0.25"/>
    <row r="700" s="166" customFormat="1" x14ac:dyDescent="0.25"/>
    <row r="701" s="166" customFormat="1" x14ac:dyDescent="0.25"/>
    <row r="702" s="166" customFormat="1" x14ac:dyDescent="0.25"/>
    <row r="703" s="166" customFormat="1" x14ac:dyDescent="0.25"/>
    <row r="704" s="166" customFormat="1" x14ac:dyDescent="0.25"/>
    <row r="705" s="166" customFormat="1" x14ac:dyDescent="0.25"/>
    <row r="706" s="166" customFormat="1" x14ac:dyDescent="0.25"/>
    <row r="707" s="166" customFormat="1" x14ac:dyDescent="0.25"/>
    <row r="708" s="166" customFormat="1" x14ac:dyDescent="0.25"/>
    <row r="709" s="166" customFormat="1" x14ac:dyDescent="0.25"/>
    <row r="710" s="166" customFormat="1" x14ac:dyDescent="0.25"/>
    <row r="711" s="166" customFormat="1" x14ac:dyDescent="0.25"/>
    <row r="712" s="166" customFormat="1" x14ac:dyDescent="0.25"/>
    <row r="713" s="166" customFormat="1" x14ac:dyDescent="0.25"/>
    <row r="714" s="166" customFormat="1" x14ac:dyDescent="0.25"/>
    <row r="715" s="166" customFormat="1" x14ac:dyDescent="0.25"/>
    <row r="716" s="166" customFormat="1" x14ac:dyDescent="0.25"/>
    <row r="717" s="166" customFormat="1" x14ac:dyDescent="0.25"/>
    <row r="718" s="166" customFormat="1" x14ac:dyDescent="0.25"/>
    <row r="719" s="166" customFormat="1" x14ac:dyDescent="0.25"/>
    <row r="720" s="166" customFormat="1" x14ac:dyDescent="0.25"/>
    <row r="721" s="166" customFormat="1" x14ac:dyDescent="0.25"/>
    <row r="722" s="166" customFormat="1" x14ac:dyDescent="0.25"/>
    <row r="723" s="166" customFormat="1" x14ac:dyDescent="0.25"/>
    <row r="724" s="166" customFormat="1" x14ac:dyDescent="0.25"/>
    <row r="725" s="166" customFormat="1" x14ac:dyDescent="0.25"/>
    <row r="726" s="166" customFormat="1" x14ac:dyDescent="0.25"/>
    <row r="727" s="166" customFormat="1" x14ac:dyDescent="0.25"/>
    <row r="728" s="166" customFormat="1" x14ac:dyDescent="0.25"/>
    <row r="729" s="166" customFormat="1" x14ac:dyDescent="0.25"/>
    <row r="730" s="166" customFormat="1" x14ac:dyDescent="0.25"/>
    <row r="731" s="166" customFormat="1" x14ac:dyDescent="0.25"/>
    <row r="732" s="166" customFormat="1" x14ac:dyDescent="0.25"/>
    <row r="733" s="166" customFormat="1" x14ac:dyDescent="0.25"/>
    <row r="734" s="166" customFormat="1" x14ac:dyDescent="0.25"/>
    <row r="735" s="166" customFormat="1" x14ac:dyDescent="0.25"/>
    <row r="736" s="166" customFormat="1" x14ac:dyDescent="0.25"/>
    <row r="737" s="166" customFormat="1" x14ac:dyDescent="0.25"/>
    <row r="738" s="166" customFormat="1" x14ac:dyDescent="0.25"/>
    <row r="739" s="166" customFormat="1" x14ac:dyDescent="0.25"/>
    <row r="740" s="166" customFormat="1" x14ac:dyDescent="0.25"/>
    <row r="741" s="166" customFormat="1" x14ac:dyDescent="0.25"/>
    <row r="742" s="166" customFormat="1" x14ac:dyDescent="0.25"/>
    <row r="743" s="166" customFormat="1" x14ac:dyDescent="0.25"/>
    <row r="744" s="166" customFormat="1" x14ac:dyDescent="0.25"/>
    <row r="745" s="166" customFormat="1" x14ac:dyDescent="0.25"/>
    <row r="746" s="166" customFormat="1" x14ac:dyDescent="0.25"/>
    <row r="747" s="166" customFormat="1" x14ac:dyDescent="0.25"/>
    <row r="748" s="166" customFormat="1" x14ac:dyDescent="0.25"/>
    <row r="749" s="166" customFormat="1" x14ac:dyDescent="0.25"/>
    <row r="750" s="166" customFormat="1" x14ac:dyDescent="0.25"/>
    <row r="751" s="166" customFormat="1" x14ac:dyDescent="0.25"/>
    <row r="752" s="166" customFormat="1" x14ac:dyDescent="0.25"/>
    <row r="753" s="166" customFormat="1" x14ac:dyDescent="0.25"/>
    <row r="754" s="166" customFormat="1" x14ac:dyDescent="0.25"/>
    <row r="755" s="166" customFormat="1" x14ac:dyDescent="0.25"/>
    <row r="756" s="166" customFormat="1" x14ac:dyDescent="0.25"/>
    <row r="757" s="166" customFormat="1" x14ac:dyDescent="0.25"/>
    <row r="758" s="166" customFormat="1" x14ac:dyDescent="0.25"/>
    <row r="759" s="166" customFormat="1" x14ac:dyDescent="0.25"/>
    <row r="760" s="166" customFormat="1" x14ac:dyDescent="0.25"/>
    <row r="761" s="166" customFormat="1" x14ac:dyDescent="0.25"/>
    <row r="762" s="166" customFormat="1" x14ac:dyDescent="0.25"/>
    <row r="763" s="166" customFormat="1" x14ac:dyDescent="0.25"/>
    <row r="764" s="166" customFormat="1" x14ac:dyDescent="0.25"/>
    <row r="765" s="166" customFormat="1" x14ac:dyDescent="0.25"/>
    <row r="766" s="166" customFormat="1" x14ac:dyDescent="0.25"/>
    <row r="767" s="166" customFormat="1" x14ac:dyDescent="0.25"/>
    <row r="768" s="166" customFormat="1" x14ac:dyDescent="0.25"/>
    <row r="769" s="166" customFormat="1" x14ac:dyDescent="0.25"/>
    <row r="770" s="166" customFormat="1" x14ac:dyDescent="0.25"/>
    <row r="771" s="166" customFormat="1" x14ac:dyDescent="0.25"/>
    <row r="772" s="166" customFormat="1" x14ac:dyDescent="0.25"/>
    <row r="773" s="166" customFormat="1" x14ac:dyDescent="0.25"/>
    <row r="774" s="166" customFormat="1" x14ac:dyDescent="0.25"/>
    <row r="775" s="166" customFormat="1" x14ac:dyDescent="0.25"/>
    <row r="776" s="166" customFormat="1" x14ac:dyDescent="0.25"/>
    <row r="777" s="166" customFormat="1" x14ac:dyDescent="0.25"/>
    <row r="778" s="166" customFormat="1" x14ac:dyDescent="0.25"/>
    <row r="779" s="166" customFormat="1" x14ac:dyDescent="0.25"/>
    <row r="780" s="166" customFormat="1" x14ac:dyDescent="0.25"/>
    <row r="781" s="166" customFormat="1" x14ac:dyDescent="0.25"/>
    <row r="782" s="166" customFormat="1" x14ac:dyDescent="0.25"/>
    <row r="783" s="166" customFormat="1" x14ac:dyDescent="0.25"/>
    <row r="784" s="166" customFormat="1" x14ac:dyDescent="0.25"/>
    <row r="785" s="166" customFormat="1" x14ac:dyDescent="0.25"/>
    <row r="786" s="166" customFormat="1" x14ac:dyDescent="0.25"/>
    <row r="787" s="166" customFormat="1" x14ac:dyDescent="0.25"/>
    <row r="788" s="166" customFormat="1" x14ac:dyDescent="0.25"/>
    <row r="789" s="166" customFormat="1" x14ac:dyDescent="0.25"/>
    <row r="790" s="166" customFormat="1" x14ac:dyDescent="0.25"/>
    <row r="791" s="166" customFormat="1" x14ac:dyDescent="0.25"/>
    <row r="792" s="166" customFormat="1" x14ac:dyDescent="0.25"/>
    <row r="793" s="166" customFormat="1" x14ac:dyDescent="0.25"/>
    <row r="794" s="166" customFormat="1" x14ac:dyDescent="0.25"/>
    <row r="795" s="166" customFormat="1" x14ac:dyDescent="0.25"/>
    <row r="796" s="166" customFormat="1" x14ac:dyDescent="0.25"/>
    <row r="797" s="166" customFormat="1" x14ac:dyDescent="0.25"/>
    <row r="798" s="166" customFormat="1" x14ac:dyDescent="0.25"/>
    <row r="799" s="166" customFormat="1" x14ac:dyDescent="0.25"/>
    <row r="800" s="166" customFormat="1" x14ac:dyDescent="0.25"/>
    <row r="801" s="166" customFormat="1" x14ac:dyDescent="0.25"/>
    <row r="802" s="166" customFormat="1" x14ac:dyDescent="0.25"/>
    <row r="803" s="166" customFormat="1" x14ac:dyDescent="0.25"/>
    <row r="804" s="166" customFormat="1" x14ac:dyDescent="0.25"/>
    <row r="805" s="166" customFormat="1" x14ac:dyDescent="0.25"/>
    <row r="806" s="166" customFormat="1" x14ac:dyDescent="0.25"/>
    <row r="807" s="166" customFormat="1" x14ac:dyDescent="0.25"/>
    <row r="808" s="166" customFormat="1" x14ac:dyDescent="0.25"/>
    <row r="809" s="166" customFormat="1" x14ac:dyDescent="0.25"/>
    <row r="810" s="166" customFormat="1" x14ac:dyDescent="0.25"/>
    <row r="811" s="166" customFormat="1" x14ac:dyDescent="0.25"/>
    <row r="812" s="166" customFormat="1" x14ac:dyDescent="0.25"/>
    <row r="813" s="166" customFormat="1" x14ac:dyDescent="0.25"/>
    <row r="814" s="166" customFormat="1" x14ac:dyDescent="0.25"/>
    <row r="815" s="166" customFormat="1" x14ac:dyDescent="0.25"/>
    <row r="816" s="166" customFormat="1" x14ac:dyDescent="0.25"/>
    <row r="817" s="166" customFormat="1" x14ac:dyDescent="0.25"/>
    <row r="818" s="166" customFormat="1" x14ac:dyDescent="0.25"/>
    <row r="819" s="166" customFormat="1" x14ac:dyDescent="0.25"/>
    <row r="820" s="166" customFormat="1" x14ac:dyDescent="0.25"/>
    <row r="821" s="166" customFormat="1" x14ac:dyDescent="0.25"/>
    <row r="822" s="166" customFormat="1" x14ac:dyDescent="0.25"/>
    <row r="823" s="166" customFormat="1" x14ac:dyDescent="0.25"/>
    <row r="824" s="166" customFormat="1" x14ac:dyDescent="0.25"/>
    <row r="825" s="166" customFormat="1" x14ac:dyDescent="0.25"/>
    <row r="826" s="166" customFormat="1" x14ac:dyDescent="0.25"/>
    <row r="827" s="166" customFormat="1" x14ac:dyDescent="0.25"/>
    <row r="828" s="166" customFormat="1" x14ac:dyDescent="0.25"/>
    <row r="829" s="166" customFormat="1" x14ac:dyDescent="0.25"/>
    <row r="830" s="166" customFormat="1" x14ac:dyDescent="0.25"/>
    <row r="831" s="166" customFormat="1" x14ac:dyDescent="0.25"/>
    <row r="832" s="166" customFormat="1" x14ac:dyDescent="0.25"/>
    <row r="833" s="166" customFormat="1" x14ac:dyDescent="0.25"/>
    <row r="834" s="166" customFormat="1" x14ac:dyDescent="0.25"/>
    <row r="835" s="166" customFormat="1" x14ac:dyDescent="0.25"/>
    <row r="836" s="166" customFormat="1" x14ac:dyDescent="0.25"/>
    <row r="837" s="166" customFormat="1" x14ac:dyDescent="0.25"/>
    <row r="838" s="166" customFormat="1" x14ac:dyDescent="0.25"/>
    <row r="839" s="166" customFormat="1" x14ac:dyDescent="0.25"/>
    <row r="840" s="166" customFormat="1" x14ac:dyDescent="0.25"/>
    <row r="841" s="166" customFormat="1" x14ac:dyDescent="0.25"/>
    <row r="842" s="166" customFormat="1" x14ac:dyDescent="0.25"/>
    <row r="843" s="166" customFormat="1" x14ac:dyDescent="0.25"/>
    <row r="844" s="166" customFormat="1" x14ac:dyDescent="0.25"/>
    <row r="845" s="166" customFormat="1" x14ac:dyDescent="0.25"/>
    <row r="846" s="166" customFormat="1" x14ac:dyDescent="0.25"/>
    <row r="847" s="166" customFormat="1" x14ac:dyDescent="0.25"/>
    <row r="848" s="166" customFormat="1" x14ac:dyDescent="0.25"/>
    <row r="849" s="166" customFormat="1" x14ac:dyDescent="0.25"/>
    <row r="850" s="166" customFormat="1" x14ac:dyDescent="0.25"/>
    <row r="851" s="166" customFormat="1" x14ac:dyDescent="0.25"/>
    <row r="852" s="166" customFormat="1" x14ac:dyDescent="0.25"/>
    <row r="853" s="166" customFormat="1" x14ac:dyDescent="0.25"/>
    <row r="854" s="166" customFormat="1" x14ac:dyDescent="0.25"/>
    <row r="855" s="166" customFormat="1" x14ac:dyDescent="0.25"/>
    <row r="856" s="166" customFormat="1" x14ac:dyDescent="0.25"/>
    <row r="857" s="166" customFormat="1" x14ac:dyDescent="0.25"/>
    <row r="858" s="166" customFormat="1" x14ac:dyDescent="0.25"/>
    <row r="859" s="166" customFormat="1" x14ac:dyDescent="0.25"/>
    <row r="860" s="166" customFormat="1" x14ac:dyDescent="0.25"/>
    <row r="861" s="166" customFormat="1" x14ac:dyDescent="0.25"/>
    <row r="862" s="166" customFormat="1" x14ac:dyDescent="0.25"/>
    <row r="863" s="166" customFormat="1" x14ac:dyDescent="0.25"/>
    <row r="864" s="166" customFormat="1" x14ac:dyDescent="0.25"/>
    <row r="865" s="166" customFormat="1" x14ac:dyDescent="0.25"/>
    <row r="866" s="166" customFormat="1" x14ac:dyDescent="0.25"/>
    <row r="867" s="166" customFormat="1" x14ac:dyDescent="0.25"/>
    <row r="868" s="166" customFormat="1" x14ac:dyDescent="0.25"/>
    <row r="869" s="166" customFormat="1" x14ac:dyDescent="0.25"/>
    <row r="870" s="166" customFormat="1" x14ac:dyDescent="0.25"/>
    <row r="871" s="166" customFormat="1" x14ac:dyDescent="0.25"/>
    <row r="872" s="166" customFormat="1" x14ac:dyDescent="0.25"/>
    <row r="873" s="166" customFormat="1" x14ac:dyDescent="0.25"/>
    <row r="874" s="166" customFormat="1" x14ac:dyDescent="0.25"/>
    <row r="875" s="166" customFormat="1" x14ac:dyDescent="0.25"/>
    <row r="876" s="166" customFormat="1" x14ac:dyDescent="0.25"/>
    <row r="877" s="166" customFormat="1" x14ac:dyDescent="0.25"/>
    <row r="878" s="166" customFormat="1" x14ac:dyDescent="0.25"/>
    <row r="879" s="166" customFormat="1" x14ac:dyDescent="0.25"/>
    <row r="880" s="166" customFormat="1" x14ac:dyDescent="0.25"/>
    <row r="881" s="166" customFormat="1" x14ac:dyDescent="0.25"/>
    <row r="882" s="166" customFormat="1" x14ac:dyDescent="0.25"/>
    <row r="883" s="166" customFormat="1" x14ac:dyDescent="0.25"/>
    <row r="884" s="166" customFormat="1" x14ac:dyDescent="0.25"/>
    <row r="885" s="166" customFormat="1" x14ac:dyDescent="0.25"/>
    <row r="886" s="166" customFormat="1" x14ac:dyDescent="0.25"/>
    <row r="887" s="166" customFormat="1" x14ac:dyDescent="0.25"/>
    <row r="888" s="166" customFormat="1" x14ac:dyDescent="0.25"/>
    <row r="889" s="166" customFormat="1" x14ac:dyDescent="0.25"/>
    <row r="890" s="166" customFormat="1" x14ac:dyDescent="0.25"/>
    <row r="891" s="166" customFormat="1" x14ac:dyDescent="0.25"/>
    <row r="892" s="166" customFormat="1" x14ac:dyDescent="0.25"/>
    <row r="893" s="166" customFormat="1" x14ac:dyDescent="0.25"/>
    <row r="894" s="166" customFormat="1" x14ac:dyDescent="0.25"/>
    <row r="895" s="166" customFormat="1" x14ac:dyDescent="0.25"/>
    <row r="896" s="166" customFormat="1" x14ac:dyDescent="0.25"/>
    <row r="897" s="166" customFormat="1" x14ac:dyDescent="0.25"/>
    <row r="898" s="166" customFormat="1" x14ac:dyDescent="0.25"/>
    <row r="899" s="166" customFormat="1" x14ac:dyDescent="0.25"/>
    <row r="900" s="166" customFormat="1" x14ac:dyDescent="0.25"/>
    <row r="901" s="166" customFormat="1" x14ac:dyDescent="0.25"/>
    <row r="902" s="166" customFormat="1" x14ac:dyDescent="0.25"/>
    <row r="903" s="166" customFormat="1" x14ac:dyDescent="0.25"/>
    <row r="904" s="166" customFormat="1" x14ac:dyDescent="0.25"/>
    <row r="905" s="166" customFormat="1" x14ac:dyDescent="0.25"/>
    <row r="906" s="166" customFormat="1" x14ac:dyDescent="0.25"/>
    <row r="907" s="166" customFormat="1" x14ac:dyDescent="0.25"/>
    <row r="908" s="166" customFormat="1" x14ac:dyDescent="0.25"/>
    <row r="909" s="166" customFormat="1" x14ac:dyDescent="0.25"/>
    <row r="910" s="166" customFormat="1" x14ac:dyDescent="0.25"/>
    <row r="911" s="166" customFormat="1" x14ac:dyDescent="0.25"/>
  </sheetData>
  <customSheetViews>
    <customSheetView guid="{C8C7977F-B6BF-432B-A1A7-559450D521AF}" scale="83">
      <selection activeCell="B37" sqref="B37"/>
      <pageMargins left="0.75" right="0.75" top="1" bottom="1" header="0.5" footer="0.5"/>
      <pageSetup paperSize="9" orientation="portrait" r:id="rId1"/>
      <headerFooter alignWithMargins="0"/>
    </customSheetView>
  </customSheetViews>
  <mergeCells count="8">
    <mergeCell ref="A33:A34"/>
    <mergeCell ref="A9:D9"/>
    <mergeCell ref="A12:D12"/>
    <mergeCell ref="A1:E1"/>
    <mergeCell ref="B16:C16"/>
    <mergeCell ref="D17:D18"/>
    <mergeCell ref="E17:E18"/>
    <mergeCell ref="A16:A17"/>
  </mergeCells>
  <conditionalFormatting sqref="A20:E20">
    <cfRule type="expression" dxfId="69" priority="7">
      <formula>$A$12="elektriciteit"</formula>
    </cfRule>
  </conditionalFormatting>
  <conditionalFormatting sqref="A21:E21 A25:E25">
    <cfRule type="expression" dxfId="68" priority="6">
      <formula>$A$12="gas"</formula>
    </cfRule>
  </conditionalFormatting>
  <conditionalFormatting sqref="C17:C27 D16:E27">
    <cfRule type="expression" dxfId="67" priority="5">
      <formula>$E$6="ex-ante"</formula>
    </cfRule>
  </conditionalFormatting>
  <conditionalFormatting sqref="A30:C58">
    <cfRule type="expression" dxfId="66" priority="1">
      <formula>$D$6&gt;2022</formula>
    </cfRule>
    <cfRule type="expression" dxfId="65" priority="2">
      <formula>$A$12="gas"</formula>
    </cfRule>
  </conditionalFormatting>
  <pageMargins left="0.74803149606299213" right="0.74803149606299213" top="0.98425196850393704" bottom="0.98425196850393704" header="0.51181102362204722" footer="0.51181102362204722"/>
  <pageSetup paperSize="8" orientation="portrait" r:id="rId2"/>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V244"/>
  <sheetViews>
    <sheetView zoomScale="85" zoomScaleNormal="85" workbookViewId="0">
      <selection activeCell="D197" sqref="D197"/>
    </sheetView>
  </sheetViews>
  <sheetFormatPr defaultColWidth="8.81640625" defaultRowHeight="13" x14ac:dyDescent="0.25"/>
  <cols>
    <col min="1" max="1" width="3.453125" style="166" customWidth="1"/>
    <col min="2" max="2" width="60.453125" style="538" customWidth="1"/>
    <col min="3" max="3" width="18" style="212" customWidth="1"/>
    <col min="4" max="4" width="26.1796875" style="166" customWidth="1"/>
    <col min="5" max="5" width="26.1796875" style="206" customWidth="1"/>
    <col min="6" max="6" width="12.81640625" style="212" customWidth="1"/>
    <col min="7" max="7" width="2.54296875" style="166" customWidth="1"/>
    <col min="8" max="8" width="26.453125" style="212" customWidth="1"/>
    <col min="9" max="9" width="8.81640625" style="216"/>
    <col min="10" max="16384" width="8.81640625" style="166"/>
  </cols>
  <sheetData>
    <row r="1" spans="1:22" ht="23.15" customHeight="1" thickBot="1" x14ac:dyDescent="0.3">
      <c r="A1" s="1007" t="s">
        <v>165</v>
      </c>
      <c r="B1" s="1008"/>
      <c r="C1" s="1008"/>
      <c r="D1" s="1008"/>
      <c r="E1" s="1008"/>
      <c r="F1" s="1008"/>
      <c r="G1" s="1008"/>
      <c r="H1" s="1009"/>
      <c r="I1" s="537"/>
      <c r="J1" s="291"/>
      <c r="K1" s="291"/>
      <c r="L1" s="291"/>
      <c r="M1" s="291"/>
      <c r="N1" s="291"/>
      <c r="O1" s="203" t="str">
        <f>+TITELBLAD!B16</f>
        <v>Rapportering over boekjaar:</v>
      </c>
      <c r="P1" s="203"/>
      <c r="Q1" s="203"/>
      <c r="R1" s="203">
        <f>+TITELBLAD!E16</f>
        <v>2022</v>
      </c>
      <c r="S1" s="203" t="str">
        <f>+TITELBLAD!F16</f>
        <v>ex-post</v>
      </c>
      <c r="T1" s="203" t="str">
        <f>+R1&amp;S1</f>
        <v>2022ex-post</v>
      </c>
      <c r="U1" s="203"/>
      <c r="V1" s="203"/>
    </row>
    <row r="2" spans="1:22" x14ac:dyDescent="0.25">
      <c r="I2" s="537"/>
      <c r="J2" s="291"/>
      <c r="K2" s="291"/>
      <c r="L2" s="291"/>
      <c r="M2" s="291"/>
      <c r="N2" s="291"/>
      <c r="O2" s="203"/>
      <c r="P2" s="203"/>
      <c r="Q2" s="203"/>
      <c r="R2" s="203"/>
      <c r="S2" s="203"/>
      <c r="T2" s="203"/>
      <c r="U2" s="203"/>
      <c r="V2" s="203"/>
    </row>
    <row r="3" spans="1:22" x14ac:dyDescent="0.25">
      <c r="B3" s="539" t="s">
        <v>37</v>
      </c>
      <c r="F3" s="166"/>
      <c r="H3" s="166"/>
      <c r="I3" s="540"/>
      <c r="J3" s="291"/>
      <c r="K3" s="291"/>
      <c r="L3" s="291"/>
      <c r="M3" s="291"/>
      <c r="N3" s="291"/>
      <c r="O3" s="203"/>
      <c r="P3" s="203"/>
      <c r="Q3" s="203"/>
      <c r="R3" s="203"/>
      <c r="S3" s="203"/>
      <c r="T3" s="203"/>
      <c r="U3" s="203"/>
      <c r="V3" s="203"/>
    </row>
    <row r="4" spans="1:22" ht="14.5" customHeight="1" x14ac:dyDescent="0.25">
      <c r="B4" s="216" t="s">
        <v>81</v>
      </c>
      <c r="F4" s="166"/>
      <c r="H4" s="166"/>
      <c r="I4" s="540"/>
      <c r="J4" s="291"/>
      <c r="K4" s="291"/>
      <c r="L4" s="291"/>
      <c r="M4" s="291"/>
      <c r="N4" s="291"/>
      <c r="O4" s="203"/>
      <c r="P4" s="203"/>
      <c r="Q4" s="203"/>
      <c r="R4" s="203"/>
      <c r="S4" s="203"/>
      <c r="T4" s="203"/>
      <c r="U4" s="203"/>
      <c r="V4" s="203"/>
    </row>
    <row r="5" spans="1:22" x14ac:dyDescent="0.25">
      <c r="B5" s="456"/>
      <c r="F5" s="166"/>
      <c r="H5" s="166"/>
      <c r="I5" s="540"/>
      <c r="J5" s="291"/>
      <c r="K5" s="291"/>
      <c r="L5" s="291"/>
      <c r="M5" s="291"/>
      <c r="N5" s="291"/>
      <c r="O5" s="203"/>
      <c r="P5" s="203"/>
      <c r="Q5" s="203"/>
      <c r="R5" s="203"/>
      <c r="S5" s="203"/>
      <c r="T5" s="203"/>
      <c r="U5" s="203"/>
      <c r="V5" s="291"/>
    </row>
    <row r="6" spans="1:22" x14ac:dyDescent="0.25">
      <c r="B6" s="353" t="s">
        <v>166</v>
      </c>
      <c r="F6" s="166"/>
      <c r="H6" s="166"/>
      <c r="I6" s="540"/>
      <c r="J6" s="291"/>
      <c r="K6" s="291"/>
      <c r="L6" s="291"/>
      <c r="M6" s="291"/>
      <c r="N6" s="291"/>
      <c r="O6" s="203"/>
      <c r="P6" s="203"/>
      <c r="Q6" s="203"/>
      <c r="R6" s="203"/>
      <c r="S6" s="203"/>
      <c r="T6" s="203"/>
      <c r="U6" s="203"/>
      <c r="V6" s="291"/>
    </row>
    <row r="7" spans="1:22" x14ac:dyDescent="0.25">
      <c r="B7" s="216" t="s">
        <v>167</v>
      </c>
      <c r="E7" s="166"/>
      <c r="F7" s="166"/>
      <c r="H7" s="166"/>
      <c r="I7" s="540"/>
      <c r="J7" s="291"/>
      <c r="K7" s="291"/>
      <c r="L7" s="291"/>
      <c r="M7" s="291"/>
      <c r="N7" s="291"/>
      <c r="O7" s="291"/>
      <c r="P7" s="291"/>
      <c r="Q7" s="291"/>
      <c r="R7" s="291"/>
      <c r="S7" s="291"/>
      <c r="T7" s="291"/>
      <c r="U7" s="291"/>
      <c r="V7" s="291"/>
    </row>
    <row r="8" spans="1:22" x14ac:dyDescent="0.25">
      <c r="B8" s="456"/>
      <c r="E8" s="166"/>
      <c r="F8" s="166"/>
      <c r="H8" s="166"/>
      <c r="I8" s="540"/>
      <c r="J8" s="291"/>
      <c r="K8" s="291"/>
      <c r="L8" s="291"/>
      <c r="M8" s="291"/>
      <c r="N8" s="291"/>
      <c r="O8" s="291"/>
      <c r="P8" s="291"/>
      <c r="Q8" s="291"/>
      <c r="R8" s="291"/>
      <c r="S8" s="291"/>
      <c r="T8" s="291"/>
      <c r="U8" s="291"/>
      <c r="V8" s="291"/>
    </row>
    <row r="9" spans="1:22" x14ac:dyDescent="0.25">
      <c r="F9" s="166"/>
      <c r="H9" s="166"/>
      <c r="I9" s="540"/>
      <c r="J9" s="291"/>
      <c r="K9" s="291"/>
      <c r="L9" s="291"/>
      <c r="M9" s="291"/>
      <c r="N9" s="291"/>
      <c r="O9" s="291"/>
      <c r="P9" s="291"/>
      <c r="Q9" s="291"/>
      <c r="R9" s="291"/>
      <c r="S9" s="291"/>
      <c r="T9" s="291"/>
      <c r="U9" s="291"/>
      <c r="V9" s="291"/>
    </row>
    <row r="10" spans="1:22" x14ac:dyDescent="0.25">
      <c r="D10" s="165" t="s">
        <v>0</v>
      </c>
      <c r="E10" s="165" t="s">
        <v>1</v>
      </c>
      <c r="I10" s="537"/>
      <c r="J10" s="291"/>
      <c r="K10" s="291"/>
      <c r="L10" s="291"/>
      <c r="M10" s="291"/>
      <c r="N10" s="291"/>
      <c r="O10" s="291"/>
      <c r="P10" s="291"/>
      <c r="Q10" s="291"/>
      <c r="R10" s="291"/>
      <c r="S10" s="291"/>
      <c r="T10" s="291"/>
      <c r="U10" s="291"/>
      <c r="V10" s="291"/>
    </row>
    <row r="11" spans="1:22" x14ac:dyDescent="0.25">
      <c r="D11" s="604" t="s">
        <v>2</v>
      </c>
      <c r="E11" s="604" t="s">
        <v>2</v>
      </c>
      <c r="I11" s="537"/>
      <c r="J11" s="291"/>
      <c r="K11" s="291"/>
      <c r="L11" s="291"/>
      <c r="M11" s="291"/>
      <c r="N11" s="291"/>
      <c r="O11" s="291"/>
      <c r="P11" s="291"/>
      <c r="Q11" s="291"/>
      <c r="R11" s="291"/>
      <c r="S11" s="291"/>
      <c r="T11" s="291"/>
      <c r="U11" s="291"/>
      <c r="V11" s="291"/>
    </row>
    <row r="12" spans="1:22" x14ac:dyDescent="0.25">
      <c r="D12" s="604">
        <f>'T2 - Overzicht'!D6</f>
        <v>2022</v>
      </c>
      <c r="E12" s="604">
        <f>$D$12</f>
        <v>2022</v>
      </c>
      <c r="I12" s="537"/>
      <c r="J12" s="291"/>
      <c r="K12" s="291"/>
      <c r="L12" s="291"/>
      <c r="M12" s="291"/>
      <c r="N12" s="291"/>
      <c r="O12" s="291"/>
      <c r="P12" s="291"/>
      <c r="Q12" s="291"/>
      <c r="R12" s="291"/>
      <c r="S12" s="291"/>
      <c r="T12" s="291"/>
      <c r="U12" s="291"/>
      <c r="V12" s="291"/>
    </row>
    <row r="13" spans="1:22" x14ac:dyDescent="0.25">
      <c r="D13" s="604" t="str">
        <f>+TITELBLAD!$C$7</f>
        <v>NAAM DNB</v>
      </c>
      <c r="E13" s="604" t="str">
        <f>+TITELBLAD!$C$7</f>
        <v>NAAM DNB</v>
      </c>
      <c r="I13" s="537"/>
      <c r="J13" s="291"/>
      <c r="K13" s="291"/>
      <c r="L13" s="291"/>
      <c r="M13" s="291"/>
      <c r="N13" s="291"/>
      <c r="O13" s="291"/>
      <c r="P13" s="291"/>
      <c r="Q13" s="291"/>
      <c r="R13" s="291"/>
      <c r="S13" s="291"/>
      <c r="T13" s="291"/>
      <c r="U13" s="291"/>
      <c r="V13" s="291"/>
    </row>
    <row r="14" spans="1:22" x14ac:dyDescent="0.25">
      <c r="D14" s="604" t="str">
        <f>TITELBLAD!$C$10</f>
        <v>elektriciteit</v>
      </c>
      <c r="E14" s="604" t="str">
        <f>TITELBLAD!$C$10</f>
        <v>elektriciteit</v>
      </c>
      <c r="I14" s="537"/>
      <c r="J14" s="291"/>
      <c r="K14" s="291"/>
      <c r="L14" s="291"/>
      <c r="M14" s="291"/>
      <c r="N14" s="291"/>
      <c r="O14" s="291"/>
      <c r="P14" s="291"/>
      <c r="Q14" s="291"/>
      <c r="R14" s="291"/>
      <c r="S14" s="291"/>
      <c r="T14" s="291"/>
      <c r="U14" s="291"/>
      <c r="V14" s="291"/>
    </row>
    <row r="15" spans="1:22" x14ac:dyDescent="0.25">
      <c r="D15" s="605"/>
      <c r="E15" s="605"/>
      <c r="I15" s="537"/>
      <c r="J15" s="291"/>
      <c r="K15" s="291"/>
      <c r="L15" s="291"/>
      <c r="M15" s="291"/>
      <c r="N15" s="291"/>
      <c r="O15" s="291"/>
      <c r="P15" s="291"/>
      <c r="Q15" s="291"/>
      <c r="R15" s="291"/>
      <c r="S15" s="291"/>
      <c r="T15" s="291"/>
      <c r="U15" s="291"/>
      <c r="V15" s="291"/>
    </row>
    <row r="16" spans="1:22" x14ac:dyDescent="0.25">
      <c r="B16" s="1035" t="s">
        <v>85</v>
      </c>
      <c r="C16" s="1038" t="s">
        <v>399</v>
      </c>
      <c r="D16" s="1041"/>
      <c r="E16" s="1045"/>
      <c r="F16" s="1042" t="s">
        <v>86</v>
      </c>
      <c r="H16" s="1042" t="s">
        <v>114</v>
      </c>
      <c r="I16" s="537"/>
      <c r="J16" s="291"/>
      <c r="K16" s="291"/>
      <c r="L16" s="291"/>
      <c r="M16" s="291"/>
      <c r="N16" s="291"/>
      <c r="O16" s="291"/>
      <c r="P16" s="291"/>
      <c r="Q16" s="291"/>
      <c r="R16" s="291"/>
      <c r="S16" s="291"/>
      <c r="T16" s="291"/>
      <c r="U16" s="291"/>
      <c r="V16" s="291"/>
    </row>
    <row r="17" spans="1:22" x14ac:dyDescent="0.25">
      <c r="B17" s="1036"/>
      <c r="C17" s="1039"/>
      <c r="D17" s="1041"/>
      <c r="E17" s="1046"/>
      <c r="F17" s="1043"/>
      <c r="H17" s="1043"/>
      <c r="L17" s="291"/>
      <c r="M17" s="291"/>
      <c r="N17" s="291"/>
      <c r="O17" s="291"/>
      <c r="P17" s="291"/>
      <c r="Q17" s="291"/>
      <c r="R17" s="291"/>
      <c r="S17" s="291"/>
      <c r="T17" s="291"/>
      <c r="U17" s="291"/>
      <c r="V17" s="291"/>
    </row>
    <row r="18" spans="1:22" x14ac:dyDescent="0.25">
      <c r="B18" s="1037"/>
      <c r="C18" s="1040"/>
      <c r="D18" s="1041"/>
      <c r="E18" s="1047"/>
      <c r="F18" s="1044"/>
      <c r="H18" s="1044"/>
      <c r="L18" s="291"/>
      <c r="M18" s="291"/>
      <c r="N18" s="291"/>
      <c r="O18" s="291"/>
      <c r="P18" s="291"/>
      <c r="Q18" s="291"/>
      <c r="R18" s="291"/>
      <c r="S18" s="291"/>
      <c r="T18" s="291"/>
      <c r="U18" s="291"/>
      <c r="V18" s="291"/>
    </row>
    <row r="19" spans="1:22" x14ac:dyDescent="0.25">
      <c r="L19" s="291"/>
      <c r="M19" s="291"/>
      <c r="N19" s="291"/>
      <c r="O19" s="291"/>
      <c r="P19" s="291"/>
      <c r="Q19" s="291"/>
      <c r="R19" s="291"/>
      <c r="S19" s="291"/>
      <c r="T19" s="291"/>
      <c r="U19" s="291"/>
      <c r="V19" s="291"/>
    </row>
    <row r="20" spans="1:22" x14ac:dyDescent="0.25">
      <c r="L20" s="291"/>
      <c r="M20" s="291"/>
      <c r="N20" s="291"/>
      <c r="O20" s="291"/>
      <c r="P20" s="291"/>
      <c r="Q20" s="291"/>
      <c r="R20" s="291"/>
      <c r="S20" s="291"/>
      <c r="T20" s="291"/>
      <c r="U20" s="291"/>
      <c r="V20" s="291"/>
    </row>
    <row r="21" spans="1:22" ht="17.5" customHeight="1" x14ac:dyDescent="0.25">
      <c r="B21" s="772" t="s">
        <v>401</v>
      </c>
      <c r="C21" s="773"/>
      <c r="D21" s="774"/>
      <c r="E21" s="775"/>
      <c r="F21" s="773"/>
      <c r="G21" s="774"/>
      <c r="H21" s="776"/>
      <c r="L21" s="291"/>
      <c r="M21" s="291"/>
      <c r="N21" s="291"/>
      <c r="O21" s="291"/>
      <c r="P21" s="291"/>
      <c r="Q21" s="291"/>
      <c r="R21" s="291"/>
      <c r="S21" s="291"/>
      <c r="T21" s="291"/>
      <c r="U21" s="291"/>
      <c r="V21" s="291"/>
    </row>
    <row r="22" spans="1:22" x14ac:dyDescent="0.25">
      <c r="L22" s="291"/>
      <c r="M22" s="291"/>
      <c r="N22" s="291"/>
      <c r="O22" s="291"/>
      <c r="P22" s="291"/>
      <c r="Q22" s="291"/>
      <c r="R22" s="291"/>
      <c r="S22" s="291"/>
      <c r="T22" s="291"/>
      <c r="U22" s="291"/>
      <c r="V22" s="291"/>
    </row>
    <row r="23" spans="1:22" ht="55.5" customHeight="1" x14ac:dyDescent="0.25">
      <c r="A23" s="166">
        <v>1</v>
      </c>
      <c r="B23" s="179" t="s">
        <v>328</v>
      </c>
      <c r="C23" s="2" t="s">
        <v>84</v>
      </c>
      <c r="D23" s="193"/>
      <c r="E23" s="193"/>
      <c r="F23" s="189"/>
      <c r="H23" s="189"/>
      <c r="L23" s="291"/>
      <c r="M23" s="291"/>
      <c r="N23" s="291"/>
      <c r="O23" s="291"/>
      <c r="P23" s="291"/>
      <c r="Q23" s="291"/>
      <c r="R23" s="291"/>
      <c r="S23" s="291"/>
      <c r="T23" s="291"/>
      <c r="U23" s="291"/>
      <c r="V23" s="291"/>
    </row>
    <row r="24" spans="1:22" ht="18.649999999999999" customHeight="1" x14ac:dyDescent="0.25">
      <c r="B24" s="174" t="s">
        <v>340</v>
      </c>
      <c r="C24" s="202"/>
      <c r="D24" s="185">
        <f>-T4B!G293</f>
        <v>0</v>
      </c>
      <c r="E24" s="185">
        <f>+D24</f>
        <v>0</v>
      </c>
      <c r="F24" s="191" t="s">
        <v>4</v>
      </c>
      <c r="H24" s="191"/>
    </row>
    <row r="25" spans="1:22" x14ac:dyDescent="0.25">
      <c r="L25" s="291"/>
      <c r="M25" s="291"/>
      <c r="N25" s="291"/>
      <c r="O25" s="291"/>
      <c r="P25" s="291"/>
      <c r="Q25" s="291"/>
      <c r="R25" s="291"/>
      <c r="S25" s="291"/>
      <c r="T25" s="291"/>
      <c r="U25" s="291"/>
      <c r="V25" s="291"/>
    </row>
    <row r="26" spans="1:22" ht="48" customHeight="1" x14ac:dyDescent="0.25">
      <c r="A26" s="166">
        <f>+A23+1</f>
        <v>2</v>
      </c>
      <c r="B26" s="179" t="s">
        <v>329</v>
      </c>
      <c r="C26" s="2" t="s">
        <v>95</v>
      </c>
      <c r="D26" s="193"/>
      <c r="E26" s="193"/>
      <c r="F26" s="189"/>
      <c r="H26" s="189"/>
    </row>
    <row r="27" spans="1:22" ht="18.649999999999999" customHeight="1" x14ac:dyDescent="0.25">
      <c r="B27" s="174" t="s">
        <v>340</v>
      </c>
      <c r="C27" s="159"/>
      <c r="D27" s="185">
        <f>-T5B!G247</f>
        <v>0</v>
      </c>
      <c r="E27" s="185">
        <f>+D27</f>
        <v>0</v>
      </c>
      <c r="F27" s="191" t="s">
        <v>4</v>
      </c>
      <c r="H27" s="191"/>
    </row>
    <row r="28" spans="1:22" s="296" customFormat="1" x14ac:dyDescent="0.25">
      <c r="B28" s="543"/>
      <c r="C28" s="544"/>
      <c r="D28" s="544"/>
      <c r="E28" s="201"/>
      <c r="F28" s="201"/>
      <c r="G28" s="166"/>
      <c r="H28" s="201"/>
      <c r="I28" s="216"/>
      <c r="J28" s="166"/>
    </row>
    <row r="29" spans="1:22" ht="59.25" customHeight="1" x14ac:dyDescent="0.25">
      <c r="A29" s="166">
        <f>A26+1</f>
        <v>3</v>
      </c>
      <c r="B29" s="179" t="s">
        <v>100</v>
      </c>
      <c r="C29" s="160" t="s">
        <v>109</v>
      </c>
      <c r="D29" s="193"/>
      <c r="E29" s="189"/>
      <c r="F29" s="189"/>
      <c r="H29" s="189"/>
    </row>
    <row r="30" spans="1:22" ht="18.649999999999999" customHeight="1" x14ac:dyDescent="0.25">
      <c r="B30" s="174" t="s">
        <v>340</v>
      </c>
      <c r="C30" s="190"/>
      <c r="D30" s="570">
        <f>-T6B!G211</f>
        <v>0</v>
      </c>
      <c r="E30" s="185">
        <f>+D30</f>
        <v>0</v>
      </c>
      <c r="F30" s="189" t="s">
        <v>4</v>
      </c>
      <c r="H30" s="189"/>
    </row>
    <row r="31" spans="1:22" s="296" customFormat="1" x14ac:dyDescent="0.25">
      <c r="B31" s="543"/>
      <c r="C31" s="544"/>
      <c r="D31" s="544"/>
      <c r="E31" s="201"/>
      <c r="F31" s="201"/>
      <c r="G31" s="166"/>
      <c r="H31" s="201"/>
      <c r="I31" s="216"/>
      <c r="J31" s="166"/>
    </row>
    <row r="32" spans="1:22" ht="59.25" customHeight="1" x14ac:dyDescent="0.25">
      <c r="A32" s="166">
        <f>+A29+1</f>
        <v>4</v>
      </c>
      <c r="B32" s="179" t="s">
        <v>112</v>
      </c>
      <c r="C32" s="160" t="s">
        <v>63</v>
      </c>
      <c r="D32" s="193"/>
      <c r="E32" s="189"/>
      <c r="F32" s="189"/>
      <c r="H32" s="189"/>
    </row>
    <row r="33" spans="1:10" ht="18.649999999999999" customHeight="1" x14ac:dyDescent="0.25">
      <c r="B33" s="174" t="s">
        <v>340</v>
      </c>
      <c r="C33" s="188"/>
      <c r="D33" s="570">
        <f>-VLOOKUP(D12,'T7'!A109:B112,2,FALSE)</f>
        <v>0</v>
      </c>
      <c r="E33" s="185">
        <f>+D33</f>
        <v>0</v>
      </c>
      <c r="F33" s="189" t="s">
        <v>4</v>
      </c>
      <c r="G33" s="175"/>
      <c r="H33" s="189"/>
    </row>
    <row r="34" spans="1:10" s="296" customFormat="1" x14ac:dyDescent="0.25">
      <c r="B34" s="543"/>
      <c r="C34" s="544"/>
      <c r="D34" s="544"/>
      <c r="E34" s="544"/>
      <c r="F34" s="201"/>
      <c r="G34" s="166"/>
      <c r="H34" s="201"/>
      <c r="I34" s="216"/>
      <c r="J34" s="166"/>
    </row>
    <row r="35" spans="1:10" ht="31.5" customHeight="1" x14ac:dyDescent="0.25">
      <c r="A35" s="166">
        <f>+A32+1</f>
        <v>5</v>
      </c>
      <c r="B35" s="179" t="s">
        <v>170</v>
      </c>
      <c r="C35" s="536" t="s">
        <v>64</v>
      </c>
      <c r="D35" s="193"/>
      <c r="E35" s="193"/>
      <c r="F35" s="189"/>
      <c r="H35" s="189"/>
    </row>
    <row r="36" spans="1:10" ht="18.649999999999999" customHeight="1" x14ac:dyDescent="0.25">
      <c r="B36" s="174" t="s">
        <v>340</v>
      </c>
      <c r="C36" s="190"/>
      <c r="D36" s="185">
        <f>-VLOOKUP(D12,'T8'!A68:B71,2,FALSE)</f>
        <v>0</v>
      </c>
      <c r="E36" s="185">
        <f>+D36</f>
        <v>0</v>
      </c>
      <c r="F36" s="189" t="s">
        <v>4</v>
      </c>
      <c r="H36" s="189"/>
    </row>
    <row r="37" spans="1:10" ht="13.5" customHeight="1" x14ac:dyDescent="0.25">
      <c r="B37" s="166"/>
      <c r="C37" s="166"/>
      <c r="E37" s="166"/>
      <c r="F37" s="166"/>
      <c r="H37" s="166"/>
    </row>
    <row r="38" spans="1:10" ht="40.5" customHeight="1" x14ac:dyDescent="0.25">
      <c r="A38" s="166">
        <f>+A35+1</f>
        <v>6</v>
      </c>
      <c r="B38" s="552" t="s">
        <v>118</v>
      </c>
      <c r="C38" s="797"/>
      <c r="D38" s="193">
        <f>SUM(D39:D43)</f>
        <v>0</v>
      </c>
      <c r="E38" s="193">
        <f>SUM(E39:E43)</f>
        <v>0</v>
      </c>
      <c r="F38" s="189" t="s">
        <v>4</v>
      </c>
      <c r="H38" s="189"/>
    </row>
    <row r="39" spans="1:10" ht="31" customHeight="1" x14ac:dyDescent="0.25">
      <c r="B39" s="599" t="s">
        <v>405</v>
      </c>
      <c r="C39" s="547"/>
      <c r="D39" s="192">
        <v>0</v>
      </c>
      <c r="E39" s="192">
        <v>0</v>
      </c>
      <c r="F39" s="189"/>
      <c r="H39" s="189" t="s">
        <v>35</v>
      </c>
    </row>
    <row r="40" spans="1:10" ht="31" customHeight="1" x14ac:dyDescent="0.25">
      <c r="B40" s="599" t="s">
        <v>406</v>
      </c>
      <c r="C40" s="547"/>
      <c r="D40" s="192">
        <v>0</v>
      </c>
      <c r="E40" s="192">
        <v>0</v>
      </c>
      <c r="F40" s="189"/>
      <c r="H40" s="189" t="s">
        <v>35</v>
      </c>
    </row>
    <row r="41" spans="1:10" ht="31" customHeight="1" x14ac:dyDescent="0.25">
      <c r="B41" s="599" t="s">
        <v>407</v>
      </c>
      <c r="C41" s="547"/>
      <c r="D41" s="192">
        <v>0</v>
      </c>
      <c r="E41" s="192">
        <v>0</v>
      </c>
      <c r="F41" s="189"/>
      <c r="H41" s="189" t="s">
        <v>35</v>
      </c>
    </row>
    <row r="42" spans="1:10" ht="31" customHeight="1" x14ac:dyDescent="0.25">
      <c r="B42" s="599" t="s">
        <v>408</v>
      </c>
      <c r="C42" s="547"/>
      <c r="D42" s="192">
        <v>0</v>
      </c>
      <c r="E42" s="192">
        <v>0</v>
      </c>
      <c r="F42" s="189"/>
      <c r="H42" s="189" t="s">
        <v>35</v>
      </c>
    </row>
    <row r="43" spans="1:10" ht="31" customHeight="1" x14ac:dyDescent="0.25">
      <c r="B43" s="547"/>
      <c r="C43" s="547"/>
      <c r="D43" s="192">
        <v>0</v>
      </c>
      <c r="E43" s="192">
        <v>0</v>
      </c>
      <c r="F43" s="189"/>
      <c r="H43" s="189" t="s">
        <v>35</v>
      </c>
    </row>
    <row r="44" spans="1:10" ht="13.5" customHeight="1" x14ac:dyDescent="0.25">
      <c r="B44" s="166"/>
      <c r="C44" s="166"/>
      <c r="E44" s="166"/>
      <c r="F44" s="166"/>
      <c r="H44" s="166"/>
    </row>
    <row r="45" spans="1:10" ht="40.5" customHeight="1" x14ac:dyDescent="0.25">
      <c r="A45" s="166">
        <f>+A38+1</f>
        <v>7</v>
      </c>
      <c r="B45" s="179" t="s">
        <v>119</v>
      </c>
      <c r="C45" s="797"/>
      <c r="D45" s="193"/>
      <c r="E45" s="193"/>
      <c r="F45" s="189"/>
      <c r="H45" s="189"/>
    </row>
    <row r="46" spans="1:10" ht="17.149999999999999" customHeight="1" x14ac:dyDescent="0.25">
      <c r="B46" s="599" t="s">
        <v>176</v>
      </c>
      <c r="C46" s="547"/>
      <c r="D46" s="192">
        <v>0</v>
      </c>
      <c r="E46" s="192">
        <v>0</v>
      </c>
      <c r="F46" s="189"/>
      <c r="H46" s="189" t="s">
        <v>35</v>
      </c>
    </row>
    <row r="47" spans="1:10" ht="13.5" customHeight="1" x14ac:dyDescent="0.25">
      <c r="B47" s="166"/>
      <c r="C47" s="166"/>
      <c r="E47" s="166"/>
      <c r="F47" s="166"/>
      <c r="H47" s="166"/>
    </row>
    <row r="48" spans="1:10" ht="40.5" customHeight="1" x14ac:dyDescent="0.25">
      <c r="A48" s="166">
        <f>+A45+1</f>
        <v>8</v>
      </c>
      <c r="B48" s="179" t="s">
        <v>120</v>
      </c>
      <c r="C48" s="797"/>
      <c r="D48" s="193"/>
      <c r="E48" s="664"/>
      <c r="F48" s="189"/>
      <c r="H48" s="189"/>
    </row>
    <row r="49" spans="1:8" ht="17.149999999999999" customHeight="1" x14ac:dyDescent="0.25">
      <c r="B49" s="599" t="s">
        <v>176</v>
      </c>
      <c r="C49" s="547"/>
      <c r="D49" s="192">
        <v>0</v>
      </c>
      <c r="E49" s="798"/>
      <c r="F49" s="189" t="s">
        <v>8</v>
      </c>
      <c r="H49" s="189" t="s">
        <v>35</v>
      </c>
    </row>
    <row r="50" spans="1:8" x14ac:dyDescent="0.25">
      <c r="B50" s="122"/>
      <c r="C50" s="564"/>
      <c r="D50" s="545"/>
      <c r="E50" s="545"/>
      <c r="F50" s="215"/>
      <c r="H50" s="215"/>
    </row>
    <row r="51" spans="1:8" ht="28.5" customHeight="1" x14ac:dyDescent="0.25">
      <c r="A51" s="166">
        <f>+A48+1</f>
        <v>9</v>
      </c>
      <c r="B51" s="565" t="s">
        <v>409</v>
      </c>
      <c r="C51" s="566"/>
      <c r="D51" s="598">
        <f>D52*D59</f>
        <v>0</v>
      </c>
      <c r="E51" s="598">
        <f>E52*E59</f>
        <v>0</v>
      </c>
      <c r="F51" s="189" t="s">
        <v>4</v>
      </c>
      <c r="H51" s="567"/>
    </row>
    <row r="52" spans="1:8" ht="48" customHeight="1" x14ac:dyDescent="0.25">
      <c r="B52" s="568" t="s">
        <v>410</v>
      </c>
      <c r="C52" s="569"/>
      <c r="D52" s="570">
        <f>+AVERAGE(D53,D56)</f>
        <v>0</v>
      </c>
      <c r="E52" s="570">
        <f>+AVERAGE(E53,E56)</f>
        <v>0</v>
      </c>
      <c r="F52" s="166"/>
      <c r="H52" s="567"/>
    </row>
    <row r="53" spans="1:8" ht="36.75" customHeight="1" x14ac:dyDescent="0.25">
      <c r="B53" s="174" t="s">
        <v>411</v>
      </c>
      <c r="C53" s="797"/>
      <c r="D53" s="570">
        <f>+SUM(D54:D55)</f>
        <v>0</v>
      </c>
      <c r="E53" s="570">
        <f>+SUM(E54:E55)</f>
        <v>0</v>
      </c>
      <c r="F53" s="166"/>
      <c r="H53" s="567"/>
    </row>
    <row r="54" spans="1:8" ht="36.75" customHeight="1" x14ac:dyDescent="0.25">
      <c r="B54" s="661" t="s">
        <v>412</v>
      </c>
      <c r="C54" s="547"/>
      <c r="D54" s="192">
        <v>0</v>
      </c>
      <c r="E54" s="192">
        <v>0</v>
      </c>
      <c r="F54" s="166"/>
      <c r="H54" s="567" t="s">
        <v>35</v>
      </c>
    </row>
    <row r="55" spans="1:8" ht="36.75" customHeight="1" x14ac:dyDescent="0.25">
      <c r="B55" s="661" t="s">
        <v>413</v>
      </c>
      <c r="C55" s="547"/>
      <c r="D55" s="192">
        <v>0</v>
      </c>
      <c r="E55" s="192">
        <v>0</v>
      </c>
      <c r="F55" s="166"/>
      <c r="H55" s="567" t="s">
        <v>35</v>
      </c>
    </row>
    <row r="56" spans="1:8" ht="33.65" customHeight="1" x14ac:dyDescent="0.25">
      <c r="B56" s="174" t="s">
        <v>414</v>
      </c>
      <c r="C56" s="797"/>
      <c r="D56" s="570">
        <f>+SUM(D57:D58)</f>
        <v>0</v>
      </c>
      <c r="E56" s="570">
        <f>+SUM(E57:E58)</f>
        <v>0</v>
      </c>
      <c r="F56" s="166"/>
      <c r="H56" s="567"/>
    </row>
    <row r="57" spans="1:8" ht="36.75" customHeight="1" x14ac:dyDescent="0.25">
      <c r="B57" s="661" t="s">
        <v>415</v>
      </c>
      <c r="C57" s="547"/>
      <c r="D57" s="192">
        <v>0</v>
      </c>
      <c r="E57" s="192">
        <v>0</v>
      </c>
      <c r="F57" s="166"/>
      <c r="H57" s="567" t="s">
        <v>35</v>
      </c>
    </row>
    <row r="58" spans="1:8" ht="36.75" customHeight="1" x14ac:dyDescent="0.25">
      <c r="B58" s="661" t="s">
        <v>416</v>
      </c>
      <c r="C58" s="547"/>
      <c r="D58" s="192">
        <v>0</v>
      </c>
      <c r="E58" s="192">
        <v>0</v>
      </c>
      <c r="F58" s="166"/>
      <c r="H58" s="567" t="s">
        <v>35</v>
      </c>
    </row>
    <row r="59" spans="1:8" ht="29.25" customHeight="1" x14ac:dyDescent="0.25">
      <c r="B59" s="187" t="str">
        <f>"Kapitaalkostvergoeding voorraad steuncertificaten voor boekjaar "&amp;D12&amp;" volgens tariefmethodologie (in te vullen door de VREG)"</f>
        <v>Kapitaalkostvergoeding voorraad steuncertificaten voor boekjaar 2022 volgens tariefmethodologie (in te vullen door de VREG)</v>
      </c>
      <c r="C59" s="167"/>
      <c r="D59" s="799">
        <v>0</v>
      </c>
      <c r="E59" s="799">
        <v>0</v>
      </c>
      <c r="F59" s="166"/>
      <c r="H59" s="567"/>
    </row>
    <row r="60" spans="1:8" x14ac:dyDescent="0.25">
      <c r="B60" s="122"/>
      <c r="C60" s="564"/>
      <c r="D60" s="545"/>
      <c r="E60" s="545"/>
      <c r="F60" s="215"/>
      <c r="H60" s="166"/>
    </row>
    <row r="61" spans="1:8" ht="32.25" customHeight="1" x14ac:dyDescent="0.25">
      <c r="A61" s="166">
        <f>+A51+1</f>
        <v>10</v>
      </c>
      <c r="B61" s="179" t="s">
        <v>342</v>
      </c>
      <c r="C61" s="571"/>
      <c r="D61" s="598">
        <f>+D62*D63</f>
        <v>0</v>
      </c>
      <c r="E61" s="598">
        <f>+E62*E63</f>
        <v>0</v>
      </c>
      <c r="F61" s="189" t="s">
        <v>4</v>
      </c>
      <c r="H61" s="567"/>
    </row>
    <row r="62" spans="1:8" ht="48.75" customHeight="1" x14ac:dyDescent="0.25">
      <c r="B62" s="187" t="str">
        <f>"Gecumuleerd regulatoir saldo exogene kosten bij het begin van het boekjaar (01/01/"&amp;R1&amp;") (positieve waarde voor tekort, en omgekeerd)"</f>
        <v>Gecumuleerd regulatoir saldo exogene kosten bij het begin van het boekjaar (01/01/2022) (positieve waarde voor tekort, en omgekeerd)</v>
      </c>
      <c r="C62" s="2"/>
      <c r="D62" s="570">
        <f>+VLOOKUP($R$1-1,T4A!$B$63:$N$67,13,FALSE)-INDEX(T4A!$H$63:$L$67,MATCH('T3'!$R$1-1,T4A!$B$63:$B$67,0),MATCH('T3'!$R$1-1,T4A!$H$57:$L$57,0))</f>
        <v>0</v>
      </c>
      <c r="E62" s="570">
        <f>IF($S$1="ex-ante",0,IF($S$1="ex-post",VLOOKUP(R1-1,T4B!$A$281:$R$285,18,FALSE),0))</f>
        <v>0</v>
      </c>
      <c r="F62" s="166"/>
      <c r="H62" s="567"/>
    </row>
    <row r="63" spans="1:8" ht="33" customHeight="1" x14ac:dyDescent="0.25">
      <c r="B63" s="187" t="str">
        <f>"Kapitaalkostvergoeding regulatoire saldi voor boekjaar "&amp;R1&amp;" volgens tariefmethodologie (in te vullen door de VREG)"</f>
        <v>Kapitaalkostvergoeding regulatoire saldi voor boekjaar 2022 volgens tariefmethodologie (in te vullen door de VREG)</v>
      </c>
      <c r="C63" s="542"/>
      <c r="D63" s="799">
        <v>0</v>
      </c>
      <c r="E63" s="799">
        <v>0</v>
      </c>
      <c r="F63" s="166"/>
      <c r="H63" s="567"/>
    </row>
    <row r="64" spans="1:8" x14ac:dyDescent="0.25">
      <c r="B64" s="122"/>
      <c r="C64" s="563"/>
      <c r="D64" s="572"/>
      <c r="E64" s="572"/>
      <c r="F64" s="215"/>
      <c r="H64" s="166"/>
    </row>
    <row r="65" spans="1:8" ht="36.65" customHeight="1" x14ac:dyDescent="0.25">
      <c r="A65" s="166">
        <f>A61+1</f>
        <v>11</v>
      </c>
      <c r="B65" s="179" t="s">
        <v>330</v>
      </c>
      <c r="C65" s="566"/>
      <c r="D65" s="598">
        <f>D66*D69</f>
        <v>0</v>
      </c>
      <c r="E65" s="598">
        <f>+E66*E69</f>
        <v>0</v>
      </c>
      <c r="F65" s="189" t="s">
        <v>4</v>
      </c>
      <c r="H65" s="567"/>
    </row>
    <row r="66" spans="1:8" ht="51" customHeight="1" x14ac:dyDescent="0.25">
      <c r="B66" s="187" t="str">
        <f>"Gemiddeld regulatoir saldo volumerisico endogeen budget voor boekjaar "&amp;D12&amp;" (positieve waarde voor tekort, en omgekeerd)"</f>
        <v>Gemiddeld regulatoir saldo volumerisico endogeen budget voor boekjaar 2022 (positieve waarde voor tekort, en omgekeerd)</v>
      </c>
      <c r="C66" s="569"/>
      <c r="D66" s="570">
        <f>AVERAGE(D67:D68)</f>
        <v>0</v>
      </c>
      <c r="E66" s="570">
        <f>AVERAGE(E67:E68)</f>
        <v>0</v>
      </c>
      <c r="F66" s="166"/>
      <c r="H66" s="567"/>
    </row>
    <row r="67" spans="1:8" ht="46" customHeight="1" x14ac:dyDescent="0.25">
      <c r="B67" s="174" t="str">
        <f>"Regulatoir saldo volumerisico endogeen budget bij het begin van het boekjaar (01/01/"&amp;D12&amp;") (positieve waarde voor tekort, en omgekeerd)"</f>
        <v>Regulatoir saldo volumerisico endogeen budget bij het begin van het boekjaar (01/01/2022) (positieve waarde voor tekort, en omgekeerd)</v>
      </c>
      <c r="C67" s="2"/>
      <c r="D67" s="570">
        <f>+VLOOKUP($R$1-1,T5A!$B$98:$N$102,13,FALSE)-INDEX(T5A!$H$98:$L$102,MATCH('T3'!$R$1-1,T5A!$B$98:$B$102,0),MATCH('T3'!$R$1-1,T5A!$H$92:$L$92,0))</f>
        <v>0</v>
      </c>
      <c r="E67" s="570">
        <f>IF($S$1="ex-ante",0,IF($S$1="ex-post",VLOOKUP($R$1-1,T5B!$A$235:$R$239,18,FALSE),0))</f>
        <v>0</v>
      </c>
      <c r="F67" s="166"/>
      <c r="H67" s="567"/>
    </row>
    <row r="68" spans="1:8" ht="46" customHeight="1" x14ac:dyDescent="0.25">
      <c r="B68" s="174" t="str">
        <f>"Regulatoir saldo volumerisico endogeen budget op het einde van het boekjaar (31/12/"&amp;D12&amp;") (positieve waarde voor tekort, en omgekeerd)"</f>
        <v>Regulatoir saldo volumerisico endogeen budget op het einde van het boekjaar (31/12/2022) (positieve waarde voor tekort, en omgekeerd)</v>
      </c>
      <c r="C68" s="2"/>
      <c r="D68" s="570">
        <f>+VLOOKUP($R$1,T5A!$B$98:$N$102,13,FALSE)-INDEX(T5A!$H$98:$L$102,MATCH('T3'!$R$1,T5A!$B$98:$B$102,0),MATCH('T3'!$R$1,T5A!$H$92:$L$92,0))-INDEX(T5A!$H$98:$L$102,MATCH('T3'!$R$1,T5A!$B$98:$B$102,0),MATCH('T3'!$R$1-1,T5A!$H$92:$L$92,0))</f>
        <v>0</v>
      </c>
      <c r="E68" s="570">
        <f>IF($S$1="ex-ante",0,IF($S$1="ex-post",VLOOKUP($R$1,T5B!$A$235:$R$239,18,FALSE),0))</f>
        <v>0</v>
      </c>
      <c r="F68" s="166"/>
      <c r="H68" s="567"/>
    </row>
    <row r="69" spans="1:8" ht="32.25" customHeight="1" x14ac:dyDescent="0.25">
      <c r="B69" s="187" t="str">
        <f>+B63</f>
        <v>Kapitaalkostvergoeding regulatoire saldi voor boekjaar 2022 volgens tariefmethodologie (in te vullen door de VREG)</v>
      </c>
      <c r="C69" s="542"/>
      <c r="D69" s="180">
        <f>+$D$63</f>
        <v>0</v>
      </c>
      <c r="E69" s="180">
        <f>+$E$63</f>
        <v>0</v>
      </c>
      <c r="F69" s="166"/>
      <c r="H69" s="567"/>
    </row>
    <row r="70" spans="1:8" x14ac:dyDescent="0.25">
      <c r="B70" s="122"/>
      <c r="C70" s="563"/>
      <c r="D70" s="572"/>
      <c r="E70" s="572"/>
      <c r="F70" s="215"/>
      <c r="H70" s="166"/>
    </row>
    <row r="71" spans="1:8" ht="42" customHeight="1" x14ac:dyDescent="0.25">
      <c r="A71" s="166">
        <f>+A65+1</f>
        <v>12</v>
      </c>
      <c r="B71" s="179" t="s">
        <v>198</v>
      </c>
      <c r="C71" s="566"/>
      <c r="D71" s="598">
        <f>D72*D75</f>
        <v>0</v>
      </c>
      <c r="E71" s="598">
        <f>+E72*E75</f>
        <v>0</v>
      </c>
      <c r="F71" s="189" t="s">
        <v>4</v>
      </c>
      <c r="H71" s="567"/>
    </row>
    <row r="72" spans="1:8" ht="51" customHeight="1" x14ac:dyDescent="0.25">
      <c r="B72" s="187" t="str">
        <f>"Gemiddeld regulatoir saldo herindexering van het budget voor endogene kosten voor boekjaar "&amp;D12&amp;" (positieve waarde voor tekort, en omgekeerd)"</f>
        <v>Gemiddeld regulatoir saldo herindexering van het budget voor endogene kosten voor boekjaar 2022 (positieve waarde voor tekort, en omgekeerd)</v>
      </c>
      <c r="C72" s="569"/>
      <c r="D72" s="570">
        <f>AVERAGE(D73:D74)</f>
        <v>0</v>
      </c>
      <c r="E72" s="570">
        <f>AVERAGE(E73:E74)</f>
        <v>0</v>
      </c>
      <c r="F72" s="166"/>
      <c r="H72" s="567"/>
    </row>
    <row r="73" spans="1:8" ht="46.5" customHeight="1" x14ac:dyDescent="0.25">
      <c r="B73" s="174" t="str">
        <f>"Regulatoir saldo herindexering van het budget voor endogene kosten bij het begin van het boekjaar (01/01/"&amp;D12&amp;") (positieve waarde voor tekort, en omgekeerd)"</f>
        <v>Regulatoir saldo herindexering van het budget voor endogene kosten bij het begin van het boekjaar (01/01/2022) (positieve waarde voor tekort, en omgekeerd)</v>
      </c>
      <c r="C73" s="2"/>
      <c r="D73" s="570">
        <f>+VLOOKUP($R$1-1,T6A!$B$121:$L$125,11,FALSE)</f>
        <v>0</v>
      </c>
      <c r="E73" s="570">
        <f>IF($S$1="ex-ante",0,IF($S$1="ex-post",VLOOKUP($R$1-1,T6B!$A$199:$P$203,16,FALSE),0))</f>
        <v>0</v>
      </c>
      <c r="F73" s="166"/>
      <c r="H73" s="567"/>
    </row>
    <row r="74" spans="1:8" ht="45" customHeight="1" x14ac:dyDescent="0.25">
      <c r="B74" s="174" t="str">
        <f>"Regulatoir saldo herindexering van het budget voor endogene kosten op het einde van het boekjaar (31/12/"&amp;D12&amp;") (positieve waarde voor tekort, en omgekeerd)"</f>
        <v>Regulatoir saldo herindexering van het budget voor endogene kosten op het einde van het boekjaar (31/12/2022) (positieve waarde voor tekort, en omgekeerd)</v>
      </c>
      <c r="C74" s="2"/>
      <c r="D74" s="570">
        <f>+VLOOKUP($R$1,T6A!$B$121:$L$125,11,FALSE)-INDEX(T6A!$F$121:$J$125,MATCH('T3'!$R$1,T6A!$B$121:$B$125,0),MATCH('T3'!$R$1,T6A!$F$117:$J$117,0))</f>
        <v>0</v>
      </c>
      <c r="E74" s="570">
        <f>IF($S$1="ex-ante",0,IF($S$1="ex-post",VLOOKUP($R$1,T6B!$A$199:$P$203,16,FALSE),0))</f>
        <v>0</v>
      </c>
      <c r="F74" s="166"/>
      <c r="H74" s="567"/>
    </row>
    <row r="75" spans="1:8" ht="32.25" customHeight="1" x14ac:dyDescent="0.25">
      <c r="B75" s="187" t="str">
        <f>+B69</f>
        <v>Kapitaalkostvergoeding regulatoire saldi voor boekjaar 2022 volgens tariefmethodologie (in te vullen door de VREG)</v>
      </c>
      <c r="C75" s="542"/>
      <c r="D75" s="180">
        <f>+$D$63</f>
        <v>0</v>
      </c>
      <c r="E75" s="180">
        <f>+$E$63</f>
        <v>0</v>
      </c>
      <c r="F75" s="166"/>
      <c r="H75" s="567"/>
    </row>
    <row r="76" spans="1:8" x14ac:dyDescent="0.25">
      <c r="B76" s="122"/>
      <c r="C76" s="563"/>
      <c r="D76" s="572"/>
      <c r="E76" s="572"/>
      <c r="F76" s="215"/>
      <c r="H76" s="166"/>
    </row>
    <row r="77" spans="1:8" ht="36" customHeight="1" x14ac:dyDescent="0.25">
      <c r="A77" s="166">
        <f>+A71+1</f>
        <v>13</v>
      </c>
      <c r="B77" s="179" t="s">
        <v>199</v>
      </c>
      <c r="C77" s="566"/>
      <c r="D77" s="598">
        <f>D78*D81</f>
        <v>0</v>
      </c>
      <c r="E77" s="598">
        <f>+E78*E81</f>
        <v>0</v>
      </c>
      <c r="F77" s="189" t="s">
        <v>4</v>
      </c>
      <c r="H77" s="567"/>
    </row>
    <row r="78" spans="1:8" ht="44.25" customHeight="1" x14ac:dyDescent="0.25">
      <c r="B78" s="187" t="str">
        <f>"Gemiddeld regulatoir saldo vennootschapsbelasting voor boekjaar "&amp;D12&amp;" (positieve waarde voor tekort, en omgekeerd)"</f>
        <v>Gemiddeld regulatoir saldo vennootschapsbelasting voor boekjaar 2022 (positieve waarde voor tekort, en omgekeerd)</v>
      </c>
      <c r="C78" s="569"/>
      <c r="D78" s="570">
        <f>AVERAGE(D79:D80)</f>
        <v>0</v>
      </c>
      <c r="E78" s="570">
        <f>AVERAGE(E79:E80)</f>
        <v>0</v>
      </c>
      <c r="F78" s="166"/>
      <c r="H78" s="567"/>
    </row>
    <row r="79" spans="1:8" ht="46.5" customHeight="1" x14ac:dyDescent="0.25">
      <c r="B79" s="174" t="str">
        <f>"Regulatoir saldo vennootschapsbelasting bij het begin van het boekjaar (01/01/"&amp;D12&amp;") (positieve waarde voor tekort, en omgekeerd)"</f>
        <v>Regulatoir saldo vennootschapsbelasting bij het begin van het boekjaar (01/01/2022) (positieve waarde voor tekort, en omgekeerd)</v>
      </c>
      <c r="C79" s="2"/>
      <c r="D79" s="570">
        <f>+VLOOKUP($R$1-1,'T7'!$B$54:$L$58,11,FALSE)-INDEX('T7'!$F$54:$J$58,MATCH('T3'!$R$1-1,'T7'!$B$54:$B$58,0),MATCH('T3'!$R$1-1,'T7'!$F$50:$J$50,0))</f>
        <v>0</v>
      </c>
      <c r="E79" s="570">
        <f>IF($S$1="ex-ante",0,IF($S$1="ex-post",VLOOKUP($R$1-1,'T7'!$B$54:$L$58,11,FALSE),0))</f>
        <v>0</v>
      </c>
      <c r="F79" s="166"/>
      <c r="H79" s="567"/>
    </row>
    <row r="80" spans="1:8" ht="45" customHeight="1" x14ac:dyDescent="0.25">
      <c r="B80" s="174" t="str">
        <f>"Regulatoir saldo vennootschapsbelasting op het einde van het boekjaar (31/12/"&amp;D12&amp;") (positieve waarde voor tekort, en omgekeerd)"</f>
        <v>Regulatoir saldo vennootschapsbelasting op het einde van het boekjaar (31/12/2022) (positieve waarde voor tekort, en omgekeerd)</v>
      </c>
      <c r="C80" s="2"/>
      <c r="D80" s="570">
        <f>+VLOOKUP($R$1,'T7'!$B$54:$L$58,11,FALSE)-INDEX('T7'!$F$54:$J$58,MATCH('T3'!$R$1,'T7'!$B$54:$B$58,0),MATCH('T3'!$R$1,'T7'!$F$50:$J$50,0))-INDEX('T7'!$F$54:$J$58,MATCH('T3'!$R$1,'T7'!$B$54:$B$58,0),MATCH('T3'!$R$1-1,'T7'!$F$50:$J$50,0))</f>
        <v>0</v>
      </c>
      <c r="E80" s="570">
        <f>IF($S$1="ex-ante",0,IF($S$1="ex-post",VLOOKUP($R$1,'T7'!$B$54:$L$58,11,FALSE),0))</f>
        <v>0</v>
      </c>
      <c r="F80" s="166"/>
      <c r="H80" s="567"/>
    </row>
    <row r="81" spans="1:22" ht="32.25" customHeight="1" x14ac:dyDescent="0.25">
      <c r="B81" s="187" t="str">
        <f>+B75</f>
        <v>Kapitaalkostvergoeding regulatoire saldi voor boekjaar 2022 volgens tariefmethodologie (in te vullen door de VREG)</v>
      </c>
      <c r="C81" s="542"/>
      <c r="D81" s="180">
        <f>+$D$63</f>
        <v>0</v>
      </c>
      <c r="E81" s="180">
        <f>+$E$63</f>
        <v>0</v>
      </c>
      <c r="F81" s="166"/>
      <c r="H81" s="567"/>
    </row>
    <row r="82" spans="1:22" x14ac:dyDescent="0.25">
      <c r="B82" s="122"/>
      <c r="C82" s="563"/>
      <c r="D82" s="572"/>
      <c r="E82" s="572"/>
      <c r="F82" s="215"/>
      <c r="H82" s="166"/>
    </row>
    <row r="83" spans="1:22" ht="36" customHeight="1" x14ac:dyDescent="0.25">
      <c r="A83" s="166">
        <f>+A77+1</f>
        <v>14</v>
      </c>
      <c r="B83" s="179" t="s">
        <v>200</v>
      </c>
      <c r="C83" s="566"/>
      <c r="D83" s="598">
        <f>D84*D87</f>
        <v>0</v>
      </c>
      <c r="E83" s="598">
        <f>+E84*E87</f>
        <v>0</v>
      </c>
      <c r="F83" s="189" t="s">
        <v>4</v>
      </c>
      <c r="H83" s="567"/>
    </row>
    <row r="84" spans="1:22" ht="44.25" customHeight="1" x14ac:dyDescent="0.25">
      <c r="B84" s="187" t="str">
        <f>"Gemiddeld regulatoir saldo herwaarderingsmeerwaarden voor boekjaar "&amp;D12&amp;" (positieve waarde voor tekort, en omgekeerd)"</f>
        <v>Gemiddeld regulatoir saldo herwaarderingsmeerwaarden voor boekjaar 2022 (positieve waarde voor tekort, en omgekeerd)</v>
      </c>
      <c r="C84" s="569"/>
      <c r="D84" s="570">
        <f>AVERAGE(D85:D86)</f>
        <v>0</v>
      </c>
      <c r="E84" s="570">
        <f>AVERAGE(E85:E86)</f>
        <v>0</v>
      </c>
      <c r="F84" s="166"/>
      <c r="H84" s="567"/>
    </row>
    <row r="85" spans="1:22" ht="46.5" customHeight="1" x14ac:dyDescent="0.25">
      <c r="B85" s="174" t="str">
        <f>"Regulatoir saldo herwaarderingsmeerwaarden bij het begin van het boekjaar (01/01/"&amp;D12&amp;") (positieve waarde voor tekort, en omgekeerd)"</f>
        <v>Regulatoir saldo herwaarderingsmeerwaarden bij het begin van het boekjaar (01/01/2022) (positieve waarde voor tekort, en omgekeerd)</v>
      </c>
      <c r="C85" s="597"/>
      <c r="D85" s="570">
        <f>+IF($R$1=2021,0,VLOOKUP($R$1-1,'T8'!$B$43:$H$46,7,FALSE)-INDEX('T8'!$C$43:$F$46,MATCH('T3'!$R$1-1,'T8'!$B$43:$B$46,0),MATCH('T3'!$R$1-1,'T8'!$C$42:$F$42,0)))</f>
        <v>0</v>
      </c>
      <c r="E85" s="570">
        <f>IF($T$1="2021ex-post",0,IF($S$1="ex-ante",0,IF($S$1="ex-post",VLOOKUP($R$1-1,'T8'!$B$43:$H$46,7,FALSE),0)))</f>
        <v>0</v>
      </c>
      <c r="F85" s="166"/>
      <c r="H85" s="567"/>
    </row>
    <row r="86" spans="1:22" ht="45" customHeight="1" x14ac:dyDescent="0.25">
      <c r="B86" s="174" t="str">
        <f>"Regulatoir saldo herwaarderingsmeerwaarden op het einde van het boekjaar (31/12/"&amp;D12&amp;") (positieve waarde voor tekort, en omgekeerd)"</f>
        <v>Regulatoir saldo herwaarderingsmeerwaarden op het einde van het boekjaar (31/12/2022) (positieve waarde voor tekort, en omgekeerd)</v>
      </c>
      <c r="C86" s="597"/>
      <c r="D86" s="570">
        <f>+VLOOKUP($R$1,'T8'!$B$43:$H$46,7,FALSE)-INDEX('T8'!$C$43:$F$46,MATCH('T3'!$R$1,'T8'!$B$43:$B$46,0),MATCH('T3'!$R$1,'T8'!$C$42:$F$42,0))-IF($R$1=2021,0,INDEX('T8'!$C$43:$F$46,MATCH('T3'!$R$1,'T8'!$B$43:$B$46,0),MATCH('T3'!$R$1-1,'T8'!$C$42:$F$42,0)))</f>
        <v>0</v>
      </c>
      <c r="E86" s="570">
        <f>IF($S$1="ex-ante",0,IF($S$1="ex-post",VLOOKUP($R$1,'T8'!$B$43:$H$46,7,FALSE),0))</f>
        <v>0</v>
      </c>
      <c r="F86" s="166"/>
      <c r="H86" s="567"/>
    </row>
    <row r="87" spans="1:22" ht="32.25" customHeight="1" x14ac:dyDescent="0.25">
      <c r="B87" s="187" t="str">
        <f>+B81</f>
        <v>Kapitaalkostvergoeding regulatoire saldi voor boekjaar 2022 volgens tariefmethodologie (in te vullen door de VREG)</v>
      </c>
      <c r="C87" s="542"/>
      <c r="D87" s="180">
        <f>+$D$63</f>
        <v>0</v>
      </c>
      <c r="E87" s="180">
        <f>+$E$63</f>
        <v>0</v>
      </c>
      <c r="F87" s="166"/>
      <c r="H87" s="567"/>
    </row>
    <row r="88" spans="1:22" x14ac:dyDescent="0.25">
      <c r="L88" s="291"/>
      <c r="M88" s="291"/>
      <c r="N88" s="291"/>
      <c r="O88" s="291"/>
      <c r="P88" s="291"/>
      <c r="Q88" s="291"/>
      <c r="R88" s="291"/>
      <c r="S88" s="291"/>
      <c r="T88" s="291"/>
      <c r="U88" s="291"/>
      <c r="V88" s="291"/>
    </row>
    <row r="89" spans="1:22" ht="17.5" customHeight="1" x14ac:dyDescent="0.25">
      <c r="B89" s="772" t="s">
        <v>402</v>
      </c>
      <c r="C89" s="773"/>
      <c r="D89" s="774"/>
      <c r="E89" s="775"/>
      <c r="F89" s="773"/>
      <c r="G89" s="774"/>
      <c r="H89" s="776"/>
      <c r="L89" s="291"/>
      <c r="M89" s="291"/>
      <c r="N89" s="291"/>
      <c r="O89" s="291"/>
      <c r="P89" s="291"/>
      <c r="Q89" s="291"/>
      <c r="R89" s="291"/>
      <c r="S89" s="291"/>
      <c r="T89" s="291"/>
      <c r="U89" s="291"/>
      <c r="V89" s="291"/>
    </row>
    <row r="90" spans="1:22" x14ac:dyDescent="0.25">
      <c r="L90" s="291"/>
      <c r="M90" s="291"/>
      <c r="N90" s="291"/>
      <c r="O90" s="291"/>
      <c r="P90" s="291"/>
      <c r="Q90" s="291"/>
      <c r="R90" s="291"/>
      <c r="S90" s="291"/>
      <c r="T90" s="291"/>
      <c r="U90" s="291"/>
      <c r="V90" s="291"/>
    </row>
    <row r="91" spans="1:22" ht="55.5" customHeight="1" x14ac:dyDescent="0.25">
      <c r="A91" s="166">
        <f>+A83+1</f>
        <v>15</v>
      </c>
      <c r="B91" s="179" t="s">
        <v>328</v>
      </c>
      <c r="C91" s="2" t="s">
        <v>84</v>
      </c>
      <c r="D91" s="193"/>
      <c r="E91" s="193"/>
      <c r="F91" s="189"/>
      <c r="H91" s="189"/>
      <c r="L91" s="291"/>
      <c r="M91" s="291"/>
      <c r="N91" s="291"/>
      <c r="O91" s="291"/>
      <c r="P91" s="291"/>
      <c r="Q91" s="291"/>
      <c r="R91" s="291"/>
      <c r="S91" s="291"/>
      <c r="T91" s="291"/>
      <c r="U91" s="291"/>
      <c r="V91" s="291"/>
    </row>
    <row r="92" spans="1:22" ht="19.5" customHeight="1" x14ac:dyDescent="0.25">
      <c r="B92" s="174" t="s">
        <v>339</v>
      </c>
      <c r="C92" s="159"/>
      <c r="D92" s="185">
        <f>-T4B!G294</f>
        <v>0</v>
      </c>
      <c r="E92" s="185">
        <f>+D92</f>
        <v>0</v>
      </c>
      <c r="F92" s="191" t="s">
        <v>4</v>
      </c>
      <c r="H92" s="191"/>
      <c r="L92" s="291"/>
      <c r="M92" s="291"/>
      <c r="N92" s="291"/>
      <c r="O92" s="291"/>
      <c r="P92" s="291"/>
      <c r="Q92" s="291"/>
      <c r="R92" s="291"/>
      <c r="S92" s="291"/>
      <c r="T92" s="291"/>
      <c r="U92" s="291"/>
      <c r="V92" s="291"/>
    </row>
    <row r="93" spans="1:22" ht="19.5" customHeight="1" x14ac:dyDescent="0.25">
      <c r="B93" s="166"/>
      <c r="C93" s="166"/>
      <c r="E93" s="166"/>
      <c r="F93" s="166"/>
      <c r="H93" s="166"/>
    </row>
    <row r="94" spans="1:22" ht="48" customHeight="1" x14ac:dyDescent="0.25">
      <c r="A94" s="166">
        <f>+A91+1</f>
        <v>16</v>
      </c>
      <c r="B94" s="179" t="s">
        <v>329</v>
      </c>
      <c r="C94" s="2" t="s">
        <v>95</v>
      </c>
      <c r="D94" s="193"/>
      <c r="E94" s="193"/>
      <c r="F94" s="189"/>
      <c r="H94" s="189"/>
    </row>
    <row r="95" spans="1:22" ht="18.649999999999999" customHeight="1" x14ac:dyDescent="0.25">
      <c r="B95" s="174" t="s">
        <v>339</v>
      </c>
      <c r="C95" s="159"/>
      <c r="D95" s="185">
        <f>-T5B!G248</f>
        <v>0</v>
      </c>
      <c r="E95" s="185">
        <f>+D95</f>
        <v>0</v>
      </c>
      <c r="F95" s="191" t="s">
        <v>4</v>
      </c>
      <c r="H95" s="191"/>
    </row>
    <row r="96" spans="1:22" ht="19.5" customHeight="1" x14ac:dyDescent="0.25">
      <c r="B96" s="166"/>
      <c r="C96" s="166"/>
      <c r="E96" s="166"/>
      <c r="F96" s="166"/>
      <c r="H96" s="166"/>
    </row>
    <row r="97" spans="1:22" ht="59.25" customHeight="1" x14ac:dyDescent="0.25">
      <c r="A97" s="166">
        <f>A94+1</f>
        <v>17</v>
      </c>
      <c r="B97" s="179" t="s">
        <v>100</v>
      </c>
      <c r="C97" s="2" t="s">
        <v>109</v>
      </c>
      <c r="D97" s="193"/>
      <c r="E97" s="189"/>
      <c r="F97" s="189"/>
      <c r="H97" s="189"/>
    </row>
    <row r="98" spans="1:22" ht="18.649999999999999" customHeight="1" x14ac:dyDescent="0.25">
      <c r="B98" s="174" t="s">
        <v>339</v>
      </c>
      <c r="C98" s="190"/>
      <c r="D98" s="570">
        <f>-T6B!G212</f>
        <v>0</v>
      </c>
      <c r="E98" s="185">
        <f>+D98</f>
        <v>0</v>
      </c>
      <c r="F98" s="189" t="s">
        <v>4</v>
      </c>
      <c r="H98" s="189"/>
    </row>
    <row r="99" spans="1:22" x14ac:dyDescent="0.25">
      <c r="L99" s="291"/>
      <c r="M99" s="291"/>
      <c r="N99" s="291"/>
      <c r="O99" s="291"/>
      <c r="P99" s="291"/>
      <c r="Q99" s="291"/>
      <c r="R99" s="291"/>
      <c r="S99" s="291"/>
      <c r="T99" s="291"/>
      <c r="U99" s="291"/>
      <c r="V99" s="291"/>
    </row>
    <row r="100" spans="1:22" x14ac:dyDescent="0.25">
      <c r="L100" s="291"/>
      <c r="M100" s="291"/>
      <c r="N100" s="291"/>
      <c r="O100" s="291"/>
      <c r="P100" s="291"/>
      <c r="Q100" s="291"/>
      <c r="R100" s="291"/>
      <c r="S100" s="291"/>
      <c r="T100" s="291"/>
      <c r="U100" s="291"/>
      <c r="V100" s="291"/>
    </row>
    <row r="101" spans="1:22" ht="17.5" customHeight="1" x14ac:dyDescent="0.25">
      <c r="B101" s="772" t="s">
        <v>74</v>
      </c>
      <c r="C101" s="773"/>
      <c r="D101" s="774"/>
      <c r="E101" s="775"/>
      <c r="F101" s="773"/>
      <c r="G101" s="774"/>
      <c r="H101" s="776"/>
      <c r="L101" s="291"/>
      <c r="M101" s="291"/>
      <c r="N101" s="291"/>
      <c r="O101" s="291"/>
      <c r="P101" s="291"/>
      <c r="Q101" s="291"/>
      <c r="R101" s="291"/>
      <c r="S101" s="291"/>
      <c r="T101" s="291"/>
      <c r="U101" s="291"/>
      <c r="V101" s="291"/>
    </row>
    <row r="102" spans="1:22" ht="19.5" customHeight="1" x14ac:dyDescent="0.25">
      <c r="B102" s="166"/>
      <c r="C102" s="166"/>
      <c r="E102" s="166"/>
      <c r="F102" s="166"/>
      <c r="H102" s="166"/>
    </row>
    <row r="103" spans="1:22" ht="40.5" customHeight="1" x14ac:dyDescent="0.25">
      <c r="A103" s="166">
        <f>+A97+1</f>
        <v>18</v>
      </c>
      <c r="B103" s="552" t="s">
        <v>118</v>
      </c>
      <c r="C103" s="797"/>
      <c r="D103" s="193"/>
      <c r="E103" s="193"/>
      <c r="F103" s="189"/>
      <c r="H103" s="189"/>
    </row>
    <row r="104" spans="1:22" ht="20.5" customHeight="1" x14ac:dyDescent="0.25">
      <c r="B104" s="599" t="s">
        <v>337</v>
      </c>
      <c r="C104" s="547"/>
      <c r="D104" s="192">
        <v>0</v>
      </c>
      <c r="E104" s="192">
        <v>0</v>
      </c>
      <c r="F104" s="189" t="s">
        <v>4</v>
      </c>
      <c r="H104" s="189" t="s">
        <v>35</v>
      </c>
    </row>
    <row r="105" spans="1:22" ht="13.5" customHeight="1" x14ac:dyDescent="0.25">
      <c r="B105" s="166"/>
      <c r="C105" s="166"/>
      <c r="E105" s="166"/>
      <c r="F105" s="166"/>
      <c r="H105" s="166"/>
    </row>
    <row r="106" spans="1:22" ht="40.5" customHeight="1" x14ac:dyDescent="0.25">
      <c r="A106" s="166">
        <f>+A103+1</f>
        <v>19</v>
      </c>
      <c r="B106" s="179" t="s">
        <v>119</v>
      </c>
      <c r="C106" s="797"/>
      <c r="D106" s="193"/>
      <c r="E106" s="193"/>
      <c r="F106" s="189"/>
      <c r="H106" s="189"/>
    </row>
    <row r="107" spans="1:22" ht="17.149999999999999" customHeight="1" x14ac:dyDescent="0.25">
      <c r="B107" s="599" t="s">
        <v>337</v>
      </c>
      <c r="C107" s="547"/>
      <c r="D107" s="192">
        <v>0</v>
      </c>
      <c r="E107" s="192">
        <v>0</v>
      </c>
      <c r="F107" s="189" t="s">
        <v>4</v>
      </c>
      <c r="H107" s="189" t="s">
        <v>35</v>
      </c>
    </row>
    <row r="108" spans="1:22" ht="13.5" customHeight="1" x14ac:dyDescent="0.25">
      <c r="B108" s="166"/>
      <c r="C108" s="166"/>
      <c r="E108" s="166"/>
      <c r="F108" s="166"/>
      <c r="H108" s="166"/>
    </row>
    <row r="109" spans="1:22" ht="40.5" customHeight="1" x14ac:dyDescent="0.25">
      <c r="A109" s="166">
        <f>+A106+1</f>
        <v>20</v>
      </c>
      <c r="B109" s="179" t="s">
        <v>120</v>
      </c>
      <c r="C109" s="797"/>
      <c r="D109" s="193"/>
      <c r="E109" s="664"/>
      <c r="F109" s="189"/>
      <c r="H109" s="189"/>
    </row>
    <row r="110" spans="1:22" ht="17.149999999999999" customHeight="1" x14ac:dyDescent="0.25">
      <c r="B110" s="599" t="s">
        <v>337</v>
      </c>
      <c r="C110" s="547"/>
      <c r="D110" s="192">
        <v>0</v>
      </c>
      <c r="E110" s="798"/>
      <c r="F110" s="189" t="s">
        <v>8</v>
      </c>
      <c r="H110" s="189" t="s">
        <v>35</v>
      </c>
    </row>
    <row r="113" spans="1:22" ht="17.5" customHeight="1" x14ac:dyDescent="0.25">
      <c r="B113" s="772" t="s">
        <v>213</v>
      </c>
      <c r="C113" s="773"/>
      <c r="D113" s="774"/>
      <c r="E113" s="775"/>
      <c r="F113" s="773"/>
      <c r="G113" s="774"/>
      <c r="H113" s="776"/>
      <c r="L113" s="291"/>
      <c r="M113" s="291"/>
      <c r="N113" s="291"/>
      <c r="O113" s="291"/>
      <c r="P113" s="291"/>
      <c r="Q113" s="291"/>
      <c r="R113" s="291"/>
      <c r="S113" s="291"/>
      <c r="T113" s="291"/>
      <c r="U113" s="291"/>
      <c r="V113" s="291"/>
    </row>
    <row r="116" spans="1:22" ht="17.5" customHeight="1" x14ac:dyDescent="0.25">
      <c r="B116" s="772" t="s">
        <v>72</v>
      </c>
      <c r="C116" s="773"/>
      <c r="D116" s="774"/>
      <c r="E116" s="775"/>
      <c r="F116" s="773"/>
      <c r="G116" s="774"/>
      <c r="H116" s="776"/>
      <c r="L116" s="291"/>
      <c r="M116" s="291"/>
      <c r="N116" s="291"/>
      <c r="O116" s="291"/>
      <c r="P116" s="291"/>
      <c r="Q116" s="291"/>
      <c r="R116" s="291"/>
      <c r="S116" s="291"/>
      <c r="T116" s="291"/>
      <c r="U116" s="291"/>
      <c r="V116" s="291"/>
    </row>
    <row r="118" spans="1:22" ht="55.5" customHeight="1" x14ac:dyDescent="0.25">
      <c r="A118" s="166">
        <f>+A109+1</f>
        <v>21</v>
      </c>
      <c r="B118" s="179" t="s">
        <v>328</v>
      </c>
      <c r="C118" s="2" t="s">
        <v>84</v>
      </c>
      <c r="D118" s="193"/>
      <c r="E118" s="193"/>
      <c r="F118" s="189"/>
      <c r="H118" s="189"/>
      <c r="L118" s="291"/>
      <c r="M118" s="291"/>
      <c r="N118" s="291"/>
      <c r="O118" s="291"/>
      <c r="P118" s="291"/>
      <c r="Q118" s="291"/>
      <c r="R118" s="291"/>
      <c r="S118" s="291"/>
      <c r="T118" s="291"/>
      <c r="U118" s="291"/>
      <c r="V118" s="291"/>
    </row>
    <row r="119" spans="1:22" ht="18.649999999999999" customHeight="1" x14ac:dyDescent="0.25">
      <c r="B119" s="174" t="s">
        <v>334</v>
      </c>
      <c r="C119" s="159"/>
      <c r="D119" s="185">
        <f>-T4B!G295</f>
        <v>0</v>
      </c>
      <c r="E119" s="185">
        <f>+D119</f>
        <v>0</v>
      </c>
      <c r="F119" s="191" t="s">
        <v>4</v>
      </c>
      <c r="H119" s="191"/>
    </row>
    <row r="120" spans="1:22" ht="19.5" customHeight="1" x14ac:dyDescent="0.25">
      <c r="B120" s="166"/>
      <c r="C120" s="166"/>
      <c r="E120" s="166"/>
      <c r="F120" s="166"/>
      <c r="H120" s="166"/>
    </row>
    <row r="121" spans="1:22" ht="48" customHeight="1" x14ac:dyDescent="0.25">
      <c r="A121" s="166">
        <f>+A118+1</f>
        <v>22</v>
      </c>
      <c r="B121" s="179" t="s">
        <v>329</v>
      </c>
      <c r="C121" s="2" t="s">
        <v>95</v>
      </c>
      <c r="D121" s="193"/>
      <c r="E121" s="193"/>
      <c r="F121" s="189"/>
      <c r="H121" s="189"/>
    </row>
    <row r="122" spans="1:22" ht="18.649999999999999" customHeight="1" x14ac:dyDescent="0.25">
      <c r="B122" s="174" t="s">
        <v>334</v>
      </c>
      <c r="C122" s="159"/>
      <c r="D122" s="185">
        <f>-T5B!G249</f>
        <v>0</v>
      </c>
      <c r="E122" s="185">
        <f>+D122</f>
        <v>0</v>
      </c>
      <c r="F122" s="191" t="s">
        <v>4</v>
      </c>
      <c r="H122" s="191"/>
    </row>
    <row r="123" spans="1:22" ht="19.5" customHeight="1" x14ac:dyDescent="0.25">
      <c r="B123" s="166"/>
      <c r="C123" s="166"/>
      <c r="E123" s="166"/>
      <c r="F123" s="166"/>
      <c r="H123" s="166"/>
    </row>
    <row r="124" spans="1:22" ht="59.25" customHeight="1" x14ac:dyDescent="0.25">
      <c r="A124" s="166">
        <f>A121+1</f>
        <v>23</v>
      </c>
      <c r="B124" s="179" t="s">
        <v>100</v>
      </c>
      <c r="C124" s="2" t="s">
        <v>109</v>
      </c>
      <c r="D124" s="193"/>
      <c r="E124" s="189"/>
      <c r="F124" s="189"/>
      <c r="H124" s="189"/>
    </row>
    <row r="125" spans="1:22" ht="18.649999999999999" customHeight="1" x14ac:dyDescent="0.25">
      <c r="B125" s="174" t="s">
        <v>334</v>
      </c>
      <c r="C125" s="190"/>
      <c r="D125" s="570">
        <f>-T6B!G213</f>
        <v>0</v>
      </c>
      <c r="E125" s="185">
        <f>+D125</f>
        <v>0</v>
      </c>
      <c r="F125" s="189" t="s">
        <v>4</v>
      </c>
      <c r="H125" s="189"/>
    </row>
    <row r="127" spans="1:22" ht="29.25" customHeight="1" x14ac:dyDescent="0.25">
      <c r="A127" s="166">
        <f>+A124+1</f>
        <v>24</v>
      </c>
      <c r="B127" s="179" t="s">
        <v>197</v>
      </c>
      <c r="C127" s="546"/>
      <c r="D127" s="193">
        <f>SUM(D128:D130)</f>
        <v>0</v>
      </c>
      <c r="E127" s="193">
        <f>SUM(E128:E130)</f>
        <v>0</v>
      </c>
      <c r="F127" s="189" t="s">
        <v>4</v>
      </c>
      <c r="H127" s="189"/>
    </row>
    <row r="128" spans="1:22" ht="29.25" customHeight="1" x14ac:dyDescent="0.25">
      <c r="B128" s="599" t="s">
        <v>171</v>
      </c>
      <c r="C128" s="547"/>
      <c r="D128" s="548">
        <v>0</v>
      </c>
      <c r="E128" s="548">
        <v>0</v>
      </c>
      <c r="F128" s="189"/>
      <c r="H128" s="189" t="s">
        <v>35</v>
      </c>
    </row>
    <row r="129" spans="1:9" ht="29.25" customHeight="1" x14ac:dyDescent="0.25">
      <c r="B129" s="599" t="s">
        <v>172</v>
      </c>
      <c r="C129" s="547"/>
      <c r="D129" s="548">
        <v>0</v>
      </c>
      <c r="E129" s="548">
        <v>0</v>
      </c>
      <c r="F129" s="189"/>
      <c r="H129" s="189" t="s">
        <v>35</v>
      </c>
    </row>
    <row r="130" spans="1:9" ht="29.25" customHeight="1" x14ac:dyDescent="0.25">
      <c r="B130" s="599" t="s">
        <v>173</v>
      </c>
      <c r="C130" s="547"/>
      <c r="D130" s="548">
        <v>0</v>
      </c>
      <c r="E130" s="548">
        <v>0</v>
      </c>
      <c r="F130" s="189"/>
      <c r="H130" s="189" t="s">
        <v>35</v>
      </c>
    </row>
    <row r="131" spans="1:9" ht="36.75" customHeight="1" x14ac:dyDescent="0.25">
      <c r="B131" s="179" t="s">
        <v>88</v>
      </c>
      <c r="C131" s="797"/>
      <c r="D131" s="193">
        <f>SUM(D132:D134)</f>
        <v>0</v>
      </c>
      <c r="E131" s="193">
        <f>SUM(E132:E134)</f>
        <v>0</v>
      </c>
      <c r="F131" s="189" t="s">
        <v>8</v>
      </c>
      <c r="H131" s="189"/>
    </row>
    <row r="132" spans="1:9" ht="29.25" customHeight="1" x14ac:dyDescent="0.25">
      <c r="B132" s="599" t="s">
        <v>188</v>
      </c>
      <c r="C132" s="547"/>
      <c r="D132" s="548">
        <v>0</v>
      </c>
      <c r="E132" s="548">
        <v>0</v>
      </c>
      <c r="F132" s="189"/>
      <c r="H132" s="189" t="s">
        <v>35</v>
      </c>
    </row>
    <row r="133" spans="1:9" ht="29.25" customHeight="1" x14ac:dyDescent="0.25">
      <c r="B133" s="599" t="s">
        <v>189</v>
      </c>
      <c r="C133" s="547"/>
      <c r="D133" s="548">
        <v>0</v>
      </c>
      <c r="E133" s="548">
        <v>0</v>
      </c>
      <c r="F133" s="189"/>
      <c r="H133" s="189" t="s">
        <v>35</v>
      </c>
    </row>
    <row r="134" spans="1:9" ht="45" customHeight="1" x14ac:dyDescent="0.25">
      <c r="B134" s="599" t="s">
        <v>190</v>
      </c>
      <c r="C134" s="547"/>
      <c r="D134" s="548">
        <v>0</v>
      </c>
      <c r="E134" s="548">
        <v>0</v>
      </c>
      <c r="F134" s="189"/>
      <c r="H134" s="189" t="s">
        <v>35</v>
      </c>
    </row>
    <row r="135" spans="1:9" s="296" customFormat="1" x14ac:dyDescent="0.25">
      <c r="B135" s="549"/>
      <c r="C135" s="550"/>
      <c r="D135" s="551"/>
      <c r="E135" s="551"/>
      <c r="F135" s="215"/>
      <c r="H135" s="215"/>
      <c r="I135" s="218"/>
    </row>
    <row r="136" spans="1:9" ht="33.75" customHeight="1" x14ac:dyDescent="0.25">
      <c r="A136" s="166">
        <f>A127+1</f>
        <v>25</v>
      </c>
      <c r="B136" s="552" t="s">
        <v>417</v>
      </c>
      <c r="C136" s="546"/>
      <c r="D136" s="553"/>
      <c r="E136" s="554"/>
      <c r="F136" s="555"/>
      <c r="H136" s="189"/>
    </row>
    <row r="137" spans="1:9" ht="18.649999999999999" customHeight="1" x14ac:dyDescent="0.25">
      <c r="B137" s="599" t="s">
        <v>5</v>
      </c>
      <c r="C137" s="547"/>
      <c r="D137" s="548">
        <v>0</v>
      </c>
      <c r="E137" s="548">
        <v>0</v>
      </c>
      <c r="F137" s="189" t="s">
        <v>4</v>
      </c>
      <c r="H137" s="189" t="s">
        <v>35</v>
      </c>
    </row>
    <row r="138" spans="1:9" ht="18.649999999999999" customHeight="1" x14ac:dyDescent="0.25">
      <c r="B138" s="599" t="s">
        <v>6</v>
      </c>
      <c r="C138" s="547"/>
      <c r="D138" s="548">
        <v>0</v>
      </c>
      <c r="E138" s="548">
        <v>0</v>
      </c>
      <c r="F138" s="189" t="s">
        <v>4</v>
      </c>
      <c r="H138" s="189" t="s">
        <v>35</v>
      </c>
    </row>
    <row r="139" spans="1:9" x14ac:dyDescent="0.25">
      <c r="B139" s="556"/>
      <c r="C139" s="557"/>
      <c r="D139" s="558"/>
      <c r="E139" s="558"/>
      <c r="F139" s="559"/>
      <c r="H139" s="215"/>
    </row>
    <row r="140" spans="1:9" ht="19" customHeight="1" x14ac:dyDescent="0.25">
      <c r="A140" s="166">
        <f>+A136+1</f>
        <v>26</v>
      </c>
      <c r="B140" s="560" t="s">
        <v>7</v>
      </c>
      <c r="C140" s="797"/>
      <c r="D140" s="185">
        <f>SUM(D141:D142)</f>
        <v>0</v>
      </c>
      <c r="E140" s="185">
        <f>SUM(E141:E142)</f>
        <v>0</v>
      </c>
      <c r="F140" s="189" t="s">
        <v>8</v>
      </c>
      <c r="H140" s="189"/>
    </row>
    <row r="141" spans="1:9" ht="19" customHeight="1" x14ac:dyDescent="0.25">
      <c r="B141" s="599" t="s">
        <v>186</v>
      </c>
      <c r="C141" s="547"/>
      <c r="D141" s="548">
        <v>0</v>
      </c>
      <c r="E141" s="548">
        <v>0</v>
      </c>
      <c r="F141" s="189"/>
      <c r="H141" s="189" t="s">
        <v>35</v>
      </c>
    </row>
    <row r="142" spans="1:9" ht="19" customHeight="1" x14ac:dyDescent="0.25">
      <c r="B142" s="599" t="s">
        <v>187</v>
      </c>
      <c r="C142" s="547"/>
      <c r="D142" s="548">
        <v>0</v>
      </c>
      <c r="E142" s="548">
        <v>0</v>
      </c>
      <c r="F142" s="189"/>
      <c r="H142" s="189" t="s">
        <v>35</v>
      </c>
    </row>
    <row r="143" spans="1:9" ht="19" customHeight="1" x14ac:dyDescent="0.25">
      <c r="B143" s="560" t="s">
        <v>9</v>
      </c>
      <c r="C143" s="797"/>
      <c r="D143" s="185">
        <f>SUM(D144:D145)</f>
        <v>0</v>
      </c>
      <c r="E143" s="185">
        <f>SUM(E144:E145)</f>
        <v>0</v>
      </c>
      <c r="F143" s="189" t="s">
        <v>8</v>
      </c>
      <c r="H143" s="189"/>
    </row>
    <row r="144" spans="1:9" ht="19" customHeight="1" x14ac:dyDescent="0.25">
      <c r="B144" s="599" t="s">
        <v>186</v>
      </c>
      <c r="C144" s="547"/>
      <c r="D144" s="548">
        <v>0</v>
      </c>
      <c r="E144" s="548">
        <v>0</v>
      </c>
      <c r="F144" s="189"/>
      <c r="H144" s="189" t="s">
        <v>35</v>
      </c>
    </row>
    <row r="145" spans="1:9" ht="19" customHeight="1" x14ac:dyDescent="0.25">
      <c r="B145" s="599" t="s">
        <v>187</v>
      </c>
      <c r="C145" s="547"/>
      <c r="D145" s="548">
        <v>0</v>
      </c>
      <c r="E145" s="548">
        <v>0</v>
      </c>
      <c r="F145" s="189"/>
      <c r="H145" s="189" t="s">
        <v>35</v>
      </c>
    </row>
    <row r="146" spans="1:9" x14ac:dyDescent="0.25">
      <c r="B146" s="556"/>
      <c r="C146" s="557"/>
      <c r="D146" s="558"/>
      <c r="E146" s="558"/>
      <c r="F146" s="201"/>
      <c r="H146" s="215"/>
    </row>
    <row r="147" spans="1:9" ht="33.75" customHeight="1" x14ac:dyDescent="0.25">
      <c r="A147" s="166">
        <f>+A140+1</f>
        <v>27</v>
      </c>
      <c r="B147" s="561" t="s">
        <v>418</v>
      </c>
      <c r="C147" s="547"/>
      <c r="D147" s="192">
        <v>0</v>
      </c>
      <c r="E147" s="192">
        <v>0</v>
      </c>
      <c r="F147" s="189" t="s">
        <v>4</v>
      </c>
      <c r="H147" s="189" t="s">
        <v>35</v>
      </c>
    </row>
    <row r="148" spans="1:9" x14ac:dyDescent="0.25">
      <c r="B148" s="543"/>
      <c r="C148" s="200"/>
      <c r="D148" s="558"/>
      <c r="E148" s="558"/>
      <c r="F148" s="201"/>
      <c r="H148" s="215"/>
    </row>
    <row r="149" spans="1:9" ht="32.25" customHeight="1" x14ac:dyDescent="0.25">
      <c r="A149" s="166">
        <f>A147+1</f>
        <v>28</v>
      </c>
      <c r="B149" s="561" t="s">
        <v>419</v>
      </c>
      <c r="C149" s="547"/>
      <c r="D149" s="192">
        <v>0</v>
      </c>
      <c r="E149" s="192">
        <v>0</v>
      </c>
      <c r="F149" s="189" t="s">
        <v>4</v>
      </c>
      <c r="H149" s="189" t="s">
        <v>35</v>
      </c>
      <c r="I149" s="219"/>
    </row>
    <row r="150" spans="1:9" x14ac:dyDescent="0.25">
      <c r="A150" s="296"/>
      <c r="B150" s="122"/>
      <c r="C150" s="562"/>
      <c r="D150" s="545"/>
      <c r="E150" s="545"/>
      <c r="F150" s="215"/>
      <c r="H150" s="215"/>
    </row>
    <row r="151" spans="1:9" ht="61.5" customHeight="1" x14ac:dyDescent="0.25">
      <c r="A151" s="166">
        <f>A149+1</f>
        <v>29</v>
      </c>
      <c r="B151" s="552" t="s">
        <v>420</v>
      </c>
      <c r="C151" s="797"/>
      <c r="D151" s="193"/>
      <c r="E151" s="193"/>
      <c r="F151" s="189"/>
      <c r="H151" s="189"/>
      <c r="I151" s="219"/>
    </row>
    <row r="152" spans="1:9" ht="15.65" customHeight="1" x14ac:dyDescent="0.25">
      <c r="B152" s="599" t="s">
        <v>174</v>
      </c>
      <c r="C152" s="547"/>
      <c r="D152" s="192">
        <v>0</v>
      </c>
      <c r="E152" s="192">
        <v>0</v>
      </c>
      <c r="F152" s="189" t="s">
        <v>4</v>
      </c>
      <c r="H152" s="189" t="s">
        <v>35</v>
      </c>
    </row>
    <row r="153" spans="1:9" ht="15.65" customHeight="1" x14ac:dyDescent="0.25">
      <c r="B153" s="599" t="s">
        <v>175</v>
      </c>
      <c r="C153" s="547"/>
      <c r="D153" s="192">
        <v>0</v>
      </c>
      <c r="E153" s="192">
        <v>0</v>
      </c>
      <c r="F153" s="189" t="s">
        <v>4</v>
      </c>
      <c r="H153" s="189" t="s">
        <v>35</v>
      </c>
    </row>
    <row r="154" spans="1:9" x14ac:dyDescent="0.25">
      <c r="A154" s="296"/>
      <c r="B154" s="122"/>
      <c r="C154" s="562"/>
      <c r="D154" s="545"/>
      <c r="E154" s="545"/>
      <c r="F154" s="215"/>
      <c r="H154" s="215"/>
    </row>
    <row r="155" spans="1:9" ht="36.65" customHeight="1" x14ac:dyDescent="0.25">
      <c r="A155" s="166">
        <f>+A151+1</f>
        <v>30</v>
      </c>
      <c r="B155" s="179" t="s">
        <v>191</v>
      </c>
      <c r="C155" s="797"/>
      <c r="D155" s="193"/>
      <c r="E155" s="193"/>
      <c r="F155" s="189"/>
      <c r="H155" s="189"/>
      <c r="I155" s="219"/>
    </row>
    <row r="156" spans="1:9" ht="20.149999999999999" customHeight="1" x14ac:dyDescent="0.25">
      <c r="B156" s="599" t="s">
        <v>192</v>
      </c>
      <c r="C156" s="547"/>
      <c r="D156" s="548">
        <v>0</v>
      </c>
      <c r="E156" s="548">
        <v>0</v>
      </c>
      <c r="F156" s="189" t="s">
        <v>8</v>
      </c>
      <c r="H156" s="189" t="s">
        <v>35</v>
      </c>
    </row>
    <row r="157" spans="1:9" ht="20.149999999999999" customHeight="1" x14ac:dyDescent="0.25">
      <c r="B157" s="599" t="s">
        <v>193</v>
      </c>
      <c r="C157" s="547"/>
      <c r="D157" s="548">
        <v>0</v>
      </c>
      <c r="E157" s="548">
        <v>0</v>
      </c>
      <c r="F157" s="189" t="s">
        <v>8</v>
      </c>
      <c r="H157" s="189" t="s">
        <v>35</v>
      </c>
    </row>
    <row r="158" spans="1:9" x14ac:dyDescent="0.25">
      <c r="A158" s="296"/>
      <c r="B158" s="122"/>
      <c r="C158" s="562"/>
      <c r="D158" s="545"/>
      <c r="E158" s="545"/>
      <c r="F158" s="215"/>
      <c r="H158" s="215"/>
    </row>
    <row r="159" spans="1:9" ht="27.65" customHeight="1" x14ac:dyDescent="0.25">
      <c r="A159" s="166">
        <f>+A155+1</f>
        <v>31</v>
      </c>
      <c r="B159" s="179" t="s">
        <v>194</v>
      </c>
      <c r="C159" s="797"/>
      <c r="D159" s="193"/>
      <c r="E159" s="193"/>
      <c r="F159" s="189"/>
      <c r="H159" s="189"/>
      <c r="I159" s="219"/>
    </row>
    <row r="160" spans="1:9" ht="20.149999999999999" customHeight="1" x14ac:dyDescent="0.25">
      <c r="B160" s="599" t="s">
        <v>192</v>
      </c>
      <c r="C160" s="547"/>
      <c r="D160" s="548">
        <v>0</v>
      </c>
      <c r="E160" s="548">
        <v>0</v>
      </c>
      <c r="F160" s="189" t="s">
        <v>4</v>
      </c>
      <c r="H160" s="189" t="s">
        <v>35</v>
      </c>
    </row>
    <row r="161" spans="1:22" ht="20.149999999999999" customHeight="1" x14ac:dyDescent="0.25">
      <c r="B161" s="599" t="s">
        <v>193</v>
      </c>
      <c r="C161" s="547"/>
      <c r="D161" s="548">
        <v>0</v>
      </c>
      <c r="E161" s="548">
        <v>0</v>
      </c>
      <c r="F161" s="189" t="s">
        <v>4</v>
      </c>
      <c r="H161" s="189" t="s">
        <v>35</v>
      </c>
    </row>
    <row r="162" spans="1:22" x14ac:dyDescent="0.25">
      <c r="B162" s="556"/>
      <c r="C162" s="557"/>
      <c r="D162" s="558"/>
      <c r="E162" s="558"/>
      <c r="F162" s="201"/>
      <c r="H162" s="215"/>
    </row>
    <row r="163" spans="1:22" ht="33.75" customHeight="1" x14ac:dyDescent="0.25">
      <c r="A163" s="166">
        <f>+A159+1</f>
        <v>32</v>
      </c>
      <c r="B163" s="565" t="s">
        <v>195</v>
      </c>
      <c r="C163" s="547"/>
      <c r="D163" s="192">
        <v>0</v>
      </c>
      <c r="E163" s="192">
        <v>0</v>
      </c>
      <c r="F163" s="189" t="s">
        <v>4</v>
      </c>
      <c r="H163" s="189" t="s">
        <v>35</v>
      </c>
    </row>
    <row r="166" spans="1:22" ht="17.5" customHeight="1" x14ac:dyDescent="0.25">
      <c r="B166" s="772" t="s">
        <v>361</v>
      </c>
      <c r="C166" s="773"/>
      <c r="D166" s="774"/>
      <c r="E166" s="775"/>
      <c r="F166" s="773"/>
      <c r="G166" s="774"/>
      <c r="H166" s="776"/>
      <c r="L166" s="291"/>
      <c r="M166" s="291"/>
      <c r="N166" s="291"/>
      <c r="O166" s="291"/>
      <c r="P166" s="291"/>
      <c r="Q166" s="291"/>
      <c r="R166" s="291"/>
      <c r="S166" s="291"/>
      <c r="T166" s="291"/>
      <c r="U166" s="291"/>
      <c r="V166" s="291"/>
    </row>
    <row r="167" spans="1:22" ht="19.5" customHeight="1" x14ac:dyDescent="0.25">
      <c r="B167" s="166"/>
      <c r="C167" s="166"/>
      <c r="E167" s="166"/>
      <c r="F167" s="166"/>
      <c r="H167" s="166"/>
    </row>
    <row r="168" spans="1:22" ht="55.5" customHeight="1" x14ac:dyDescent="0.25">
      <c r="A168" s="166">
        <f>+A163+1</f>
        <v>33</v>
      </c>
      <c r="B168" s="179" t="s">
        <v>328</v>
      </c>
      <c r="C168" s="2" t="s">
        <v>84</v>
      </c>
      <c r="D168" s="193"/>
      <c r="E168" s="193"/>
      <c r="F168" s="189"/>
      <c r="H168" s="189"/>
      <c r="L168" s="291"/>
      <c r="M168" s="291"/>
      <c r="N168" s="291"/>
      <c r="O168" s="291"/>
      <c r="P168" s="291"/>
      <c r="Q168" s="291"/>
      <c r="R168" s="291"/>
      <c r="S168" s="291"/>
      <c r="T168" s="291"/>
      <c r="U168" s="291"/>
      <c r="V168" s="291"/>
    </row>
    <row r="169" spans="1:22" ht="18.649999999999999" customHeight="1" x14ac:dyDescent="0.25">
      <c r="B169" s="174" t="s">
        <v>335</v>
      </c>
      <c r="C169" s="159"/>
      <c r="D169" s="185">
        <f>-T4B!G296</f>
        <v>0</v>
      </c>
      <c r="E169" s="185">
        <f>+D169</f>
        <v>0</v>
      </c>
      <c r="F169" s="191" t="s">
        <v>4</v>
      </c>
      <c r="H169" s="191"/>
    </row>
    <row r="170" spans="1:22" ht="19.5" customHeight="1" x14ac:dyDescent="0.25">
      <c r="B170" s="166"/>
      <c r="C170" s="166"/>
      <c r="E170" s="166"/>
      <c r="F170" s="166"/>
      <c r="H170" s="166"/>
    </row>
    <row r="171" spans="1:22" ht="48" customHeight="1" x14ac:dyDescent="0.25">
      <c r="A171" s="166">
        <f>+A168+1</f>
        <v>34</v>
      </c>
      <c r="B171" s="179" t="s">
        <v>329</v>
      </c>
      <c r="C171" s="2" t="s">
        <v>95</v>
      </c>
      <c r="D171" s="193"/>
      <c r="E171" s="193"/>
      <c r="F171" s="189"/>
      <c r="H171" s="189"/>
    </row>
    <row r="172" spans="1:22" ht="18.649999999999999" customHeight="1" x14ac:dyDescent="0.25">
      <c r="B172" s="174" t="s">
        <v>335</v>
      </c>
      <c r="C172" s="159"/>
      <c r="D172" s="185">
        <f>-T5B!G250</f>
        <v>0</v>
      </c>
      <c r="E172" s="185">
        <f t="shared" ref="E172" si="0">+D172</f>
        <v>0</v>
      </c>
      <c r="F172" s="191" t="s">
        <v>4</v>
      </c>
      <c r="H172" s="191"/>
    </row>
    <row r="173" spans="1:22" ht="19.5" customHeight="1" x14ac:dyDescent="0.25">
      <c r="B173" s="166"/>
      <c r="C173" s="166"/>
      <c r="E173" s="166"/>
      <c r="F173" s="166"/>
      <c r="H173" s="166"/>
    </row>
    <row r="174" spans="1:22" ht="59.25" customHeight="1" x14ac:dyDescent="0.25">
      <c r="A174" s="166">
        <f>A171+1</f>
        <v>35</v>
      </c>
      <c r="B174" s="179" t="s">
        <v>100</v>
      </c>
      <c r="C174" s="2" t="s">
        <v>109</v>
      </c>
      <c r="D174" s="193"/>
      <c r="E174" s="189"/>
      <c r="F174" s="189"/>
      <c r="H174" s="189"/>
    </row>
    <row r="175" spans="1:22" ht="18.649999999999999" customHeight="1" x14ac:dyDescent="0.25">
      <c r="B175" s="174" t="s">
        <v>335</v>
      </c>
      <c r="C175" s="190"/>
      <c r="D175" s="570">
        <f>-T6B!G214</f>
        <v>0</v>
      </c>
      <c r="E175" s="185">
        <f t="shared" ref="E175" si="1">+D175</f>
        <v>0</v>
      </c>
      <c r="F175" s="189" t="s">
        <v>4</v>
      </c>
      <c r="H175" s="189"/>
    </row>
    <row r="176" spans="1:22" x14ac:dyDescent="0.25">
      <c r="B176" s="122"/>
      <c r="C176" s="564"/>
      <c r="D176" s="572"/>
      <c r="E176" s="572"/>
      <c r="F176" s="215"/>
      <c r="H176" s="166"/>
    </row>
    <row r="177" spans="1:22" ht="34" customHeight="1" x14ac:dyDescent="0.25">
      <c r="A177" s="166">
        <f>+A174+1</f>
        <v>36</v>
      </c>
      <c r="B177" s="179" t="s">
        <v>76</v>
      </c>
      <c r="C177" s="2"/>
      <c r="D177" s="193">
        <f>SUM(D178:D180)</f>
        <v>0</v>
      </c>
      <c r="E177" s="193">
        <f>SUM(E178:E180)</f>
        <v>0</v>
      </c>
      <c r="F177" s="189" t="s">
        <v>4</v>
      </c>
      <c r="H177" s="567"/>
    </row>
    <row r="178" spans="1:22" ht="27.65" customHeight="1" x14ac:dyDescent="0.25">
      <c r="B178" s="599" t="s">
        <v>42</v>
      </c>
      <c r="C178" s="547"/>
      <c r="D178" s="548">
        <v>0</v>
      </c>
      <c r="E178" s="548">
        <v>0</v>
      </c>
      <c r="F178" s="189"/>
      <c r="H178" s="189" t="s">
        <v>35</v>
      </c>
    </row>
    <row r="179" spans="1:22" ht="27.65" customHeight="1" x14ac:dyDescent="0.25">
      <c r="B179" s="599" t="s">
        <v>244</v>
      </c>
      <c r="C179" s="547"/>
      <c r="D179" s="548">
        <v>0</v>
      </c>
      <c r="E179" s="548">
        <v>0</v>
      </c>
      <c r="F179" s="189"/>
      <c r="H179" s="189" t="s">
        <v>35</v>
      </c>
    </row>
    <row r="180" spans="1:22" ht="27.65" customHeight="1" x14ac:dyDescent="0.25">
      <c r="B180" s="599" t="s">
        <v>245</v>
      </c>
      <c r="C180" s="547"/>
      <c r="D180" s="548">
        <v>0</v>
      </c>
      <c r="E180" s="548">
        <v>0</v>
      </c>
      <c r="F180" s="189"/>
      <c r="H180" s="189" t="s">
        <v>35</v>
      </c>
    </row>
    <row r="183" spans="1:22" ht="17.5" customHeight="1" x14ac:dyDescent="0.25">
      <c r="B183" s="772" t="s">
        <v>362</v>
      </c>
      <c r="C183" s="773"/>
      <c r="D183" s="774"/>
      <c r="E183" s="775"/>
      <c r="F183" s="773"/>
      <c r="G183" s="774"/>
      <c r="H183" s="776"/>
      <c r="L183" s="291"/>
      <c r="M183" s="291"/>
      <c r="N183" s="291"/>
      <c r="O183" s="291"/>
      <c r="P183" s="291"/>
      <c r="Q183" s="291"/>
      <c r="R183" s="291"/>
      <c r="S183" s="291"/>
      <c r="T183" s="291"/>
      <c r="U183" s="291"/>
      <c r="V183" s="291"/>
    </row>
    <row r="184" spans="1:22" ht="19.5" customHeight="1" x14ac:dyDescent="0.25">
      <c r="B184" s="166"/>
      <c r="C184" s="166"/>
      <c r="E184" s="166"/>
      <c r="F184" s="166"/>
      <c r="H184" s="166"/>
    </row>
    <row r="185" spans="1:22" ht="55.5" customHeight="1" x14ac:dyDescent="0.25">
      <c r="A185" s="166">
        <f>+A177+1</f>
        <v>37</v>
      </c>
      <c r="B185" s="179" t="s">
        <v>328</v>
      </c>
      <c r="C185" s="2" t="s">
        <v>84</v>
      </c>
      <c r="D185" s="193"/>
      <c r="E185" s="193"/>
      <c r="F185" s="189"/>
      <c r="H185" s="189"/>
      <c r="L185" s="291"/>
      <c r="M185" s="291"/>
      <c r="N185" s="291"/>
      <c r="O185" s="291"/>
      <c r="P185" s="291"/>
      <c r="Q185" s="291"/>
      <c r="R185" s="291"/>
      <c r="S185" s="291"/>
      <c r="T185" s="291"/>
      <c r="U185" s="291"/>
      <c r="V185" s="291"/>
    </row>
    <row r="186" spans="1:22" ht="18.649999999999999" customHeight="1" x14ac:dyDescent="0.25">
      <c r="B186" s="174" t="s">
        <v>336</v>
      </c>
      <c r="C186" s="159"/>
      <c r="D186" s="185">
        <f>-T4B!G297</f>
        <v>0</v>
      </c>
      <c r="E186" s="185">
        <f t="shared" ref="E186" si="2">+D186</f>
        <v>0</v>
      </c>
      <c r="F186" s="191" t="s">
        <v>4</v>
      </c>
      <c r="H186" s="191"/>
    </row>
    <row r="187" spans="1:22" ht="13.5" customHeight="1" x14ac:dyDescent="0.25">
      <c r="B187" s="166"/>
      <c r="C187" s="166"/>
      <c r="E187" s="166"/>
      <c r="F187" s="166"/>
      <c r="H187" s="166"/>
    </row>
    <row r="188" spans="1:22" ht="40.5" customHeight="1" x14ac:dyDescent="0.25">
      <c r="A188" s="166">
        <f>+A185+1</f>
        <v>38</v>
      </c>
      <c r="B188" s="552" t="s">
        <v>118</v>
      </c>
      <c r="C188" s="797"/>
      <c r="D188" s="193"/>
      <c r="E188" s="193"/>
      <c r="F188" s="189"/>
      <c r="H188" s="189"/>
    </row>
    <row r="189" spans="1:22" ht="20.5" customHeight="1" x14ac:dyDescent="0.25">
      <c r="B189" s="599" t="s">
        <v>177</v>
      </c>
      <c r="C189" s="547"/>
      <c r="D189" s="192">
        <v>0</v>
      </c>
      <c r="E189" s="192">
        <v>0</v>
      </c>
      <c r="F189" s="189" t="s">
        <v>4</v>
      </c>
      <c r="H189" s="189" t="s">
        <v>35</v>
      </c>
    </row>
    <row r="190" spans="1:22" ht="20.5" customHeight="1" x14ac:dyDescent="0.25">
      <c r="B190" s="599" t="s">
        <v>178</v>
      </c>
      <c r="C190" s="547"/>
      <c r="D190" s="192">
        <v>0</v>
      </c>
      <c r="E190" s="192">
        <v>0</v>
      </c>
      <c r="F190" s="189" t="s">
        <v>4</v>
      </c>
      <c r="H190" s="189" t="s">
        <v>35</v>
      </c>
    </row>
    <row r="191" spans="1:22" ht="20.5" customHeight="1" x14ac:dyDescent="0.25">
      <c r="B191" s="599" t="s">
        <v>179</v>
      </c>
      <c r="C191" s="547"/>
      <c r="D191" s="192">
        <v>0</v>
      </c>
      <c r="E191" s="192">
        <v>0</v>
      </c>
      <c r="F191" s="189" t="s">
        <v>4</v>
      </c>
      <c r="H191" s="189" t="s">
        <v>35</v>
      </c>
    </row>
    <row r="192" spans="1:22" ht="20.5" customHeight="1" x14ac:dyDescent="0.25">
      <c r="B192" s="599" t="s">
        <v>180</v>
      </c>
      <c r="C192" s="547"/>
      <c r="D192" s="192">
        <v>0</v>
      </c>
      <c r="E192" s="192">
        <v>0</v>
      </c>
      <c r="F192" s="189" t="s">
        <v>4</v>
      </c>
      <c r="H192" s="189" t="s">
        <v>35</v>
      </c>
    </row>
    <row r="193" spans="1:8" ht="20.5" customHeight="1" x14ac:dyDescent="0.25">
      <c r="B193" s="599" t="s">
        <v>181</v>
      </c>
      <c r="C193" s="547"/>
      <c r="D193" s="192">
        <v>0</v>
      </c>
      <c r="E193" s="192">
        <v>0</v>
      </c>
      <c r="F193" s="189" t="s">
        <v>4</v>
      </c>
      <c r="H193" s="189" t="s">
        <v>35</v>
      </c>
    </row>
    <row r="194" spans="1:8" ht="20.5" customHeight="1" x14ac:dyDescent="0.25">
      <c r="B194" s="599" t="s">
        <v>182</v>
      </c>
      <c r="C194" s="547"/>
      <c r="D194" s="192">
        <v>0</v>
      </c>
      <c r="E194" s="192">
        <v>0</v>
      </c>
      <c r="F194" s="189" t="s">
        <v>4</v>
      </c>
      <c r="H194" s="189" t="s">
        <v>35</v>
      </c>
    </row>
    <row r="195" spans="1:8" ht="25.5" customHeight="1" x14ac:dyDescent="0.25">
      <c r="B195" s="599" t="s">
        <v>183</v>
      </c>
      <c r="C195" s="547"/>
      <c r="D195" s="192">
        <v>0</v>
      </c>
      <c r="E195" s="192">
        <v>0</v>
      </c>
      <c r="F195" s="189" t="s">
        <v>4</v>
      </c>
      <c r="H195" s="189" t="s">
        <v>35</v>
      </c>
    </row>
    <row r="196" spans="1:8" ht="20.5" customHeight="1" x14ac:dyDescent="0.25">
      <c r="B196" s="599" t="s">
        <v>184</v>
      </c>
      <c r="C196" s="547"/>
      <c r="D196" s="192">
        <v>0</v>
      </c>
      <c r="E196" s="192">
        <v>0</v>
      </c>
      <c r="F196" s="189" t="s">
        <v>4</v>
      </c>
      <c r="H196" s="189" t="s">
        <v>35</v>
      </c>
    </row>
    <row r="197" spans="1:8" ht="20.5" customHeight="1" x14ac:dyDescent="0.25">
      <c r="B197" s="599" t="s">
        <v>185</v>
      </c>
      <c r="C197" s="547"/>
      <c r="D197" s="192">
        <v>0</v>
      </c>
      <c r="E197" s="192">
        <v>0</v>
      </c>
      <c r="F197" s="189" t="s">
        <v>4</v>
      </c>
      <c r="H197" s="189" t="s">
        <v>35</v>
      </c>
    </row>
    <row r="198" spans="1:8" ht="20.5" customHeight="1" x14ac:dyDescent="0.25">
      <c r="B198" s="547"/>
      <c r="C198" s="547"/>
      <c r="D198" s="192"/>
      <c r="E198" s="192"/>
      <c r="F198" s="189"/>
      <c r="H198" s="189"/>
    </row>
    <row r="199" spans="1:8" ht="20.5" customHeight="1" x14ac:dyDescent="0.25">
      <c r="B199" s="547"/>
      <c r="C199" s="547"/>
      <c r="D199" s="192"/>
      <c r="E199" s="192"/>
      <c r="F199" s="189"/>
      <c r="H199" s="189"/>
    </row>
    <row r="200" spans="1:8" ht="48" customHeight="1" x14ac:dyDescent="0.25">
      <c r="A200" s="166">
        <f>+A188+1</f>
        <v>39</v>
      </c>
      <c r="B200" s="179" t="s">
        <v>119</v>
      </c>
      <c r="C200" s="797"/>
      <c r="D200" s="193"/>
      <c r="E200" s="193"/>
      <c r="F200" s="189"/>
      <c r="H200" s="189"/>
    </row>
    <row r="201" spans="1:8" ht="29.15" customHeight="1" x14ac:dyDescent="0.25">
      <c r="B201" s="599" t="s">
        <v>434</v>
      </c>
      <c r="C201" s="547"/>
      <c r="D201" s="192">
        <v>0</v>
      </c>
      <c r="E201" s="192">
        <v>0</v>
      </c>
      <c r="F201" s="189" t="s">
        <v>4</v>
      </c>
      <c r="H201" s="189" t="s">
        <v>35</v>
      </c>
    </row>
    <row r="202" spans="1:8" ht="29.15" customHeight="1" x14ac:dyDescent="0.25">
      <c r="B202" s="936" t="s">
        <v>438</v>
      </c>
      <c r="C202" s="547"/>
      <c r="D202" s="192">
        <v>0</v>
      </c>
      <c r="E202" s="192">
        <v>0</v>
      </c>
      <c r="F202" s="189" t="s">
        <v>4</v>
      </c>
      <c r="H202" s="189" t="s">
        <v>35</v>
      </c>
    </row>
    <row r="203" spans="1:8" ht="29.15" customHeight="1" x14ac:dyDescent="0.25">
      <c r="B203" s="936" t="s">
        <v>439</v>
      </c>
      <c r="C203" s="547"/>
      <c r="D203" s="192">
        <v>0</v>
      </c>
      <c r="E203" s="192">
        <v>0</v>
      </c>
      <c r="F203" s="189" t="s">
        <v>4</v>
      </c>
      <c r="H203" s="189" t="s">
        <v>35</v>
      </c>
    </row>
    <row r="204" spans="1:8" ht="42" customHeight="1" x14ac:dyDescent="0.25">
      <c r="A204" s="166">
        <f>+A200+1</f>
        <v>40</v>
      </c>
      <c r="B204" s="179" t="s">
        <v>120</v>
      </c>
      <c r="C204" s="797"/>
      <c r="D204" s="193"/>
      <c r="E204" s="664"/>
      <c r="F204" s="189"/>
      <c r="H204" s="189"/>
    </row>
    <row r="205" spans="1:8" ht="29.15" customHeight="1" x14ac:dyDescent="0.25">
      <c r="B205" s="599" t="s">
        <v>434</v>
      </c>
      <c r="C205" s="547"/>
      <c r="D205" s="192">
        <v>0</v>
      </c>
      <c r="E205" s="798"/>
      <c r="F205" s="189" t="s">
        <v>8</v>
      </c>
      <c r="H205" s="189" t="s">
        <v>35</v>
      </c>
    </row>
    <row r="206" spans="1:8" ht="29.15" customHeight="1" x14ac:dyDescent="0.25">
      <c r="B206" s="936" t="s">
        <v>438</v>
      </c>
      <c r="C206" s="547"/>
      <c r="D206" s="192">
        <v>0</v>
      </c>
      <c r="E206" s="798"/>
      <c r="F206" s="189" t="s">
        <v>8</v>
      </c>
      <c r="H206" s="189" t="s">
        <v>35</v>
      </c>
    </row>
    <row r="207" spans="1:8" ht="29.15" customHeight="1" x14ac:dyDescent="0.25">
      <c r="B207" s="936" t="s">
        <v>439</v>
      </c>
      <c r="C207" s="547"/>
      <c r="D207" s="192">
        <v>0</v>
      </c>
      <c r="E207" s="798"/>
      <c r="F207" s="189" t="s">
        <v>8</v>
      </c>
      <c r="H207" s="189" t="s">
        <v>35</v>
      </c>
    </row>
    <row r="210" spans="2:8" x14ac:dyDescent="0.25">
      <c r="B210" s="122"/>
      <c r="C210" s="564"/>
      <c r="D210" s="572"/>
      <c r="E210" s="572"/>
      <c r="F210" s="215"/>
      <c r="H210" s="215"/>
    </row>
    <row r="211" spans="2:8" x14ac:dyDescent="0.25">
      <c r="B211" s="122"/>
      <c r="C211" s="564"/>
      <c r="D211" s="573" t="s">
        <v>0</v>
      </c>
      <c r="E211" s="573" t="s">
        <v>1</v>
      </c>
      <c r="F211" s="215"/>
      <c r="H211" s="215"/>
    </row>
    <row r="212" spans="2:8" x14ac:dyDescent="0.25">
      <c r="B212" s="574"/>
      <c r="C212" s="575"/>
      <c r="D212" s="576">
        <f>D12</f>
        <v>2022</v>
      </c>
      <c r="E212" s="576">
        <f t="shared" ref="E212:E214" si="3">E12</f>
        <v>2022</v>
      </c>
      <c r="F212" s="577"/>
      <c r="G212" s="212"/>
      <c r="H212" s="577"/>
    </row>
    <row r="213" spans="2:8" x14ac:dyDescent="0.25">
      <c r="B213" s="578"/>
      <c r="C213" s="579"/>
      <c r="D213" s="580" t="str">
        <f>D13</f>
        <v>NAAM DNB</v>
      </c>
      <c r="E213" s="580" t="str">
        <f t="shared" si="3"/>
        <v>NAAM DNB</v>
      </c>
      <c r="F213" s="577"/>
      <c r="G213" s="215"/>
      <c r="H213" s="577"/>
    </row>
    <row r="214" spans="2:8" x14ac:dyDescent="0.25">
      <c r="B214" s="581"/>
      <c r="C214" s="541"/>
      <c r="D214" s="582" t="str">
        <f>D14</f>
        <v>elektriciteit</v>
      </c>
      <c r="E214" s="582" t="str">
        <f t="shared" si="3"/>
        <v>elektriciteit</v>
      </c>
      <c r="F214" s="577"/>
      <c r="G214" s="212"/>
      <c r="H214" s="577"/>
    </row>
    <row r="215" spans="2:8" ht="26" x14ac:dyDescent="0.25">
      <c r="B215" s="583" t="s">
        <v>341</v>
      </c>
      <c r="C215" s="575"/>
      <c r="D215" s="584">
        <f>+SUM(D24,D27,D30,D33,D36,D38,D46,D51,D61,D65,D71,D77,D83)-D49</f>
        <v>0</v>
      </c>
      <c r="E215" s="584">
        <f>+SUM(E24,E27,E30,E33,E36,E38,E46,E51,E61,E65,E71,E77,E83)</f>
        <v>0</v>
      </c>
      <c r="F215" s="577"/>
      <c r="G215" s="212"/>
      <c r="H215" s="577"/>
    </row>
    <row r="216" spans="2:8" ht="22" customHeight="1" x14ac:dyDescent="0.25">
      <c r="B216" s="583" t="s">
        <v>338</v>
      </c>
      <c r="C216" s="575"/>
      <c r="D216" s="584">
        <f>+IF(D14="elektriciteit",0,IF(D14="gas",SUM(D92,D95,D98),"FOUT"))</f>
        <v>0</v>
      </c>
      <c r="E216" s="584">
        <f>+IF(E14="elektriciteit",0,IF(E14="gas",SUM(E92,E95,E98),"FOUT"))</f>
        <v>0</v>
      </c>
      <c r="F216" s="577"/>
      <c r="G216" s="212"/>
      <c r="H216" s="577"/>
    </row>
    <row r="217" spans="2:8" ht="22" customHeight="1" x14ac:dyDescent="0.25">
      <c r="B217" s="583" t="s">
        <v>323</v>
      </c>
      <c r="C217" s="575"/>
      <c r="D217" s="584">
        <f>+IF(D14="elektriciteit",SUM(D104,D107)-D110,IF(D14="gas",0,"FOUT"))</f>
        <v>0</v>
      </c>
      <c r="E217" s="584">
        <f>+IF(E14="elektriciteit",SUM(E104,E107),IF(E14="gas",0,"FOUT"))</f>
        <v>0</v>
      </c>
      <c r="F217" s="577"/>
      <c r="G217" s="212"/>
      <c r="H217" s="577"/>
    </row>
    <row r="218" spans="2:8" ht="22" customHeight="1" x14ac:dyDescent="0.25">
      <c r="B218" s="583" t="s">
        <v>324</v>
      </c>
      <c r="C218" s="575"/>
      <c r="D218" s="781"/>
      <c r="E218" s="781"/>
      <c r="F218" s="577"/>
      <c r="G218" s="212"/>
      <c r="H218" s="577"/>
    </row>
    <row r="219" spans="2:8" ht="22" customHeight="1" x14ac:dyDescent="0.25">
      <c r="B219" s="585" t="s">
        <v>325</v>
      </c>
      <c r="C219" s="546"/>
      <c r="D219" s="584">
        <f>+SUM(D119,D122,D125,D127,D137,D138,D147,D149,D152,D153,D160,D161,D163)-SUM(D131,D140,D143,D156,D157)</f>
        <v>0</v>
      </c>
      <c r="E219" s="584">
        <f>+SUM(E119,E122,E125,E127,E137,E138,E147,E149,E152,E153,E160,E161,E163)-SUM(E131,E140,E143,E156,E157)</f>
        <v>0</v>
      </c>
      <c r="F219" s="572"/>
      <c r="H219" s="572"/>
    </row>
    <row r="220" spans="2:8" ht="22" customHeight="1" x14ac:dyDescent="0.25">
      <c r="B220" s="586" t="s">
        <v>326</v>
      </c>
      <c r="C220" s="587"/>
      <c r="D220" s="584">
        <f>+SUM(D169,D172,D175,D177)</f>
        <v>0</v>
      </c>
      <c r="E220" s="584">
        <f>+SUM(E169,E172,E175,E177)</f>
        <v>0</v>
      </c>
      <c r="F220" s="572"/>
      <c r="H220" s="572"/>
    </row>
    <row r="221" spans="2:8" ht="22" customHeight="1" x14ac:dyDescent="0.25">
      <c r="B221" s="585" t="s">
        <v>327</v>
      </c>
      <c r="C221" s="546"/>
      <c r="D221" s="584">
        <f>+SUM(D186,D189,D190:D199,D201,D202,D203)-D205-D206-D207</f>
        <v>0</v>
      </c>
      <c r="E221" s="584">
        <f>+SUM(E186,E189,E190:E199,E201,E202,E203)</f>
        <v>0</v>
      </c>
      <c r="F221" s="572"/>
      <c r="H221" s="572"/>
    </row>
    <row r="222" spans="2:8" ht="14.5" customHeight="1" x14ac:dyDescent="0.25">
      <c r="B222" s="585"/>
      <c r="C222" s="546"/>
      <c r="D222" s="588"/>
      <c r="E222" s="589"/>
      <c r="F222" s="572"/>
      <c r="G222" s="212"/>
      <c r="H222" s="572"/>
    </row>
    <row r="223" spans="2:8" ht="33.65" customHeight="1" x14ac:dyDescent="0.25">
      <c r="B223" s="182" t="s">
        <v>115</v>
      </c>
      <c r="C223" s="546"/>
      <c r="D223" s="183">
        <f>+SUM(D215:D221)</f>
        <v>0</v>
      </c>
      <c r="E223" s="183">
        <f>+SUM(E215:E221)</f>
        <v>0</v>
      </c>
      <c r="F223" s="590"/>
      <c r="G223" s="212"/>
      <c r="H223" s="590"/>
    </row>
    <row r="224" spans="2:8" x14ac:dyDescent="0.25">
      <c r="E224" s="591"/>
    </row>
    <row r="226" spans="2:8" ht="27" customHeight="1" x14ac:dyDescent="0.25">
      <c r="B226" s="196" t="s">
        <v>196</v>
      </c>
      <c r="C226" s="199" t="s">
        <v>246</v>
      </c>
      <c r="D226" s="197"/>
      <c r="E226" s="198">
        <f>SUM(E227:E233)</f>
        <v>0</v>
      </c>
      <c r="F226" s="519"/>
      <c r="G226" s="206"/>
      <c r="H226" s="166"/>
    </row>
    <row r="227" spans="2:8" ht="22" customHeight="1" x14ac:dyDescent="0.25">
      <c r="B227" s="187" t="s">
        <v>340</v>
      </c>
      <c r="C227" s="199"/>
      <c r="D227" s="197"/>
      <c r="E227" s="570">
        <f>IF($E$214="elektriciteit",SUM(T5C!P17,T5D!O20),IF($E$214="gas",T5E!Q21,"FALSE"))</f>
        <v>0</v>
      </c>
      <c r="F227" s="519"/>
      <c r="G227" s="206"/>
      <c r="H227" s="166"/>
    </row>
    <row r="228" spans="2:8" ht="22" customHeight="1" x14ac:dyDescent="0.25">
      <c r="B228" s="187" t="s">
        <v>339</v>
      </c>
      <c r="C228" s="199"/>
      <c r="D228" s="197"/>
      <c r="E228" s="570">
        <f>IF($E$214="elektriciteit",0,IF($E$214="gas",SUM(T5E!Q24,T5F!J21),"FALSE"))</f>
        <v>0</v>
      </c>
      <c r="F228" s="519"/>
      <c r="G228" s="206"/>
      <c r="H228" s="166"/>
    </row>
    <row r="229" spans="2:8" ht="22" customHeight="1" x14ac:dyDescent="0.25">
      <c r="B229" s="187" t="s">
        <v>332</v>
      </c>
      <c r="C229" s="199"/>
      <c r="D229" s="197"/>
      <c r="E229" s="570">
        <f>IF($E$214="elektriciteit",T5C!P20,IF($E$214="gas",0,"FALSE"))</f>
        <v>0</v>
      </c>
      <c r="F229" s="519"/>
      <c r="G229" s="206"/>
      <c r="H229" s="166"/>
    </row>
    <row r="230" spans="2:8" ht="22" customHeight="1" x14ac:dyDescent="0.25">
      <c r="B230" s="187" t="s">
        <v>333</v>
      </c>
      <c r="C230" s="199"/>
      <c r="D230" s="197"/>
      <c r="E230" s="570">
        <f>IF($E$214="elektriciteit",SUM(T5C!P23,T5D!O23),IF($E$214="gas",SUM(T5E!Q27,T5F!J24),"FALSE"))</f>
        <v>0</v>
      </c>
      <c r="F230" s="519"/>
      <c r="G230" s="206"/>
      <c r="H230" s="166"/>
    </row>
    <row r="231" spans="2:8" ht="22" customHeight="1" x14ac:dyDescent="0.25">
      <c r="B231" s="187" t="s">
        <v>334</v>
      </c>
      <c r="C231" s="199"/>
      <c r="D231" s="197"/>
      <c r="E231" s="570">
        <f>IF($E$214="elektriciteit",T5C!P26,IF($E$214="gas",T5E!Q30,"FALSE"))</f>
        <v>0</v>
      </c>
      <c r="F231" s="519"/>
      <c r="G231" s="206"/>
      <c r="H231" s="166"/>
    </row>
    <row r="232" spans="2:8" ht="22" customHeight="1" x14ac:dyDescent="0.25">
      <c r="B232" s="187" t="s">
        <v>335</v>
      </c>
      <c r="C232" s="199"/>
      <c r="D232" s="197"/>
      <c r="E232" s="570">
        <f>IF($E$214="elektriciteit",T5C!P29,IF($E$214="gas",T5E!Q33,"FALSE"))</f>
        <v>0</v>
      </c>
      <c r="F232" s="519"/>
      <c r="G232" s="206"/>
      <c r="H232" s="166"/>
    </row>
    <row r="233" spans="2:8" ht="22" customHeight="1" x14ac:dyDescent="0.25">
      <c r="B233" s="187" t="s">
        <v>336</v>
      </c>
      <c r="C233" s="199"/>
      <c r="D233" s="197"/>
      <c r="E233" s="570">
        <f>IF($E$214="elektriciteit",T5C!P32,IF($E$214="gas",0,"FALSE"))</f>
        <v>0</v>
      </c>
      <c r="F233" s="519"/>
      <c r="G233" s="206"/>
      <c r="H233" s="166"/>
    </row>
    <row r="234" spans="2:8" x14ac:dyDescent="0.25">
      <c r="B234" s="592"/>
      <c r="D234" s="593"/>
      <c r="E234" s="594"/>
      <c r="F234" s="519"/>
      <c r="G234" s="206"/>
      <c r="H234" s="166"/>
    </row>
    <row r="235" spans="2:8" ht="24" customHeight="1" x14ac:dyDescent="0.25">
      <c r="B235" s="786" t="str">
        <f>"Regulatoir saldo inzake exogene kosten voor boekjaar "&amp;D212</f>
        <v>Regulatoir saldo inzake exogene kosten voor boekjaar 2022</v>
      </c>
      <c r="C235" s="199"/>
      <c r="D235" s="197"/>
      <c r="E235" s="184">
        <f>SUM(E236:E242)</f>
        <v>0</v>
      </c>
      <c r="F235" s="519"/>
      <c r="G235" s="206"/>
      <c r="H235" s="166"/>
    </row>
    <row r="236" spans="2:8" ht="22.5" customHeight="1" x14ac:dyDescent="0.25">
      <c r="B236" s="187" t="s">
        <v>340</v>
      </c>
      <c r="C236" s="199"/>
      <c r="D236" s="197"/>
      <c r="E236" s="595">
        <f>((E215+E217+E218)-(D215+D217+D218))+((D215+D217+D218)-(E227+E229+E230))</f>
        <v>0</v>
      </c>
      <c r="F236" s="519"/>
      <c r="G236" s="206"/>
      <c r="H236" s="166"/>
    </row>
    <row r="237" spans="2:8" ht="22.5" customHeight="1" x14ac:dyDescent="0.25">
      <c r="B237" s="187" t="s">
        <v>339</v>
      </c>
      <c r="C237" s="199"/>
      <c r="D237" s="197"/>
      <c r="E237" s="595">
        <f>(E216-D216)+(D216-E228)</f>
        <v>0</v>
      </c>
      <c r="F237" s="519"/>
      <c r="G237" s="206"/>
      <c r="H237" s="166"/>
    </row>
    <row r="238" spans="2:8" ht="22.5" customHeight="1" x14ac:dyDescent="0.25">
      <c r="B238" s="778" t="s">
        <v>332</v>
      </c>
      <c r="C238" s="779"/>
      <c r="D238" s="197"/>
      <c r="E238" s="780"/>
      <c r="F238" s="519"/>
      <c r="G238" s="206"/>
      <c r="H238" s="166"/>
    </row>
    <row r="239" spans="2:8" ht="22.5" customHeight="1" x14ac:dyDescent="0.25">
      <c r="B239" s="778" t="s">
        <v>333</v>
      </c>
      <c r="C239" s="779"/>
      <c r="D239" s="197"/>
      <c r="E239" s="780"/>
      <c r="F239" s="519"/>
      <c r="G239" s="206"/>
      <c r="H239" s="166"/>
    </row>
    <row r="240" spans="2:8" ht="22.5" customHeight="1" x14ac:dyDescent="0.25">
      <c r="B240" s="187" t="s">
        <v>334</v>
      </c>
      <c r="C240" s="199"/>
      <c r="D240" s="197"/>
      <c r="E240" s="595">
        <f>(E219-D219)+(D219-E231)</f>
        <v>0</v>
      </c>
      <c r="F240" s="519"/>
      <c r="G240" s="206"/>
      <c r="H240" s="166"/>
    </row>
    <row r="241" spans="2:8" ht="22.5" customHeight="1" x14ac:dyDescent="0.25">
      <c r="B241" s="187" t="s">
        <v>335</v>
      </c>
      <c r="C241" s="199"/>
      <c r="D241" s="197"/>
      <c r="E241" s="595">
        <f>(E220-D220)+(D220-E232)</f>
        <v>0</v>
      </c>
      <c r="F241" s="519"/>
      <c r="G241" s="206"/>
      <c r="H241" s="166"/>
    </row>
    <row r="242" spans="2:8" ht="22.5" customHeight="1" x14ac:dyDescent="0.25">
      <c r="B242" s="187" t="s">
        <v>336</v>
      </c>
      <c r="C242" s="199"/>
      <c r="D242" s="197"/>
      <c r="E242" s="595">
        <f>(E221-D221)+(D221-E233)</f>
        <v>0</v>
      </c>
      <c r="F242" s="519"/>
      <c r="G242" s="206"/>
      <c r="H242" s="166"/>
    </row>
    <row r="243" spans="2:8" x14ac:dyDescent="0.25">
      <c r="B243" s="592"/>
      <c r="D243" s="206"/>
      <c r="E243" s="233" t="s">
        <v>38</v>
      </c>
      <c r="F243" s="519"/>
      <c r="G243" s="206"/>
      <c r="H243" s="166"/>
    </row>
    <row r="244" spans="2:8" x14ac:dyDescent="0.25">
      <c r="B244" s="596"/>
      <c r="D244" s="206"/>
      <c r="E244" s="235" t="s">
        <v>39</v>
      </c>
      <c r="F244" s="519"/>
      <c r="G244" s="206"/>
      <c r="H244" s="166"/>
    </row>
  </sheetData>
  <sheetProtection algorithmName="SHA-512" hashValue="xlPR2l3nsCTnxk1btPvRHqS+tzAoxk/90U9+0tLXHpFd4gtAHqC8dss430rOalcsTet7DEXBJ5SbOyNlF3GNGw==" saltValue="eF95VDe9DlWpwWehsCdnlA==" spinCount="100000" sheet="1" objects="1" scenarios="1"/>
  <customSheetViews>
    <customSheetView guid="{C8C7977F-B6BF-432B-A1A7-559450D521AF}" scale="85" topLeftCell="A67">
      <selection activeCell="B79" sqref="B79"/>
      <pageMargins left="0.75" right="0.75" top="1" bottom="1" header="0.5" footer="0.5"/>
      <pageSetup paperSize="9" orientation="portrait" r:id="rId1"/>
      <headerFooter alignWithMargins="0"/>
    </customSheetView>
  </customSheetViews>
  <mergeCells count="7">
    <mergeCell ref="A1:H1"/>
    <mergeCell ref="B16:B18"/>
    <mergeCell ref="C16:C18"/>
    <mergeCell ref="D16:D18"/>
    <mergeCell ref="F16:F18"/>
    <mergeCell ref="H16:H18"/>
    <mergeCell ref="E16:E18"/>
  </mergeCells>
  <conditionalFormatting sqref="E10:E18 E23:E24 E26:E27 E29:E30 E32:E33 E35:E36 E38:E43 E45:E46 E48:E49 E51:E59 E61:E63 E65:E69 E71:E75 E77:E81 E83:E87 E91:E92 E94:E95 E97:E98 E103:E104 E106:E107 E109:E110 E118:E119 E121:E122 E124:E125 E127:E134 E136:E138 E140:E145 E147 E149 E151:E153 E155:E157 E159:E161 E163 E168:E169 E171:E172 E174:E175 E177:E180 E185:E186 E188:E201 E211:E223 E226:E233 E235:E242 E243:I244 E204:E205">
    <cfRule type="expression" dxfId="64" priority="17">
      <formula>$S$1="ex-ante"</formula>
    </cfRule>
  </conditionalFormatting>
  <conditionalFormatting sqref="B89:H89 B91:H92 A91 A94:H94 B95:H95 A97 B97:H98 B216:E216 B228:E228 B237:E237">
    <cfRule type="expression" dxfId="63" priority="16">
      <formula>$D$14="elektriciteit"</formula>
    </cfRule>
  </conditionalFormatting>
  <conditionalFormatting sqref="A92">
    <cfRule type="expression" dxfId="62" priority="15">
      <formula>$D$14="elektriciteit"</formula>
    </cfRule>
  </conditionalFormatting>
  <conditionalFormatting sqref="A95">
    <cfRule type="expression" dxfId="61" priority="14">
      <formula>$D$14="elektriciteit"</formula>
    </cfRule>
  </conditionalFormatting>
  <conditionalFormatting sqref="A98">
    <cfRule type="expression" dxfId="60" priority="13">
      <formula>$D$14="elektriciteit"</formula>
    </cfRule>
  </conditionalFormatting>
  <conditionalFormatting sqref="A45:H46 A48:H49 A51:H59 B101:H101 A103:H104 A106:H107 A109:H110 A127:H134 A136:H138 A140:H145 A147:H147 A149:H149 A151:H153 A155:H157 A159:H161 A163:H163 B183:H183 A185:H186 A188:H201 B217:E217 B221:E221 B229:E229 B233:E233 B238:E238 B242:E242 A38:H43 A204:H205">
    <cfRule type="expression" dxfId="59" priority="12">
      <formula>$D$14="gas"</formula>
    </cfRule>
  </conditionalFormatting>
  <conditionalFormatting sqref="E202">
    <cfRule type="expression" dxfId="58" priority="11">
      <formula>$S$1="ex-ante"</formula>
    </cfRule>
  </conditionalFormatting>
  <conditionalFormatting sqref="A202:H202">
    <cfRule type="expression" dxfId="57" priority="10">
      <formula>$D$14="gas"</formula>
    </cfRule>
  </conditionalFormatting>
  <conditionalFormatting sqref="A206:D206 F206:H206">
    <cfRule type="expression" dxfId="56" priority="8">
      <formula>$D$14="gas"</formula>
    </cfRule>
  </conditionalFormatting>
  <conditionalFormatting sqref="E206">
    <cfRule type="expression" dxfId="55" priority="7">
      <formula>$S$1="ex-ante"</formula>
    </cfRule>
  </conditionalFormatting>
  <conditionalFormatting sqref="E206">
    <cfRule type="expression" dxfId="54" priority="6">
      <formula>$D$14="gas"</formula>
    </cfRule>
  </conditionalFormatting>
  <conditionalFormatting sqref="E203">
    <cfRule type="expression" dxfId="53" priority="5">
      <formula>$S$1="ex-ante"</formula>
    </cfRule>
  </conditionalFormatting>
  <conditionalFormatting sqref="A203:H203">
    <cfRule type="expression" dxfId="52" priority="4">
      <formula>$D$14="gas"</formula>
    </cfRule>
  </conditionalFormatting>
  <conditionalFormatting sqref="A207:D207 F207:H207">
    <cfRule type="expression" dxfId="51" priority="3">
      <formula>$D$14="gas"</formula>
    </cfRule>
  </conditionalFormatting>
  <conditionalFormatting sqref="E207">
    <cfRule type="expression" dxfId="50" priority="2">
      <formula>$S$1="ex-ante"</formula>
    </cfRule>
  </conditionalFormatting>
  <conditionalFormatting sqref="E207">
    <cfRule type="expression" dxfId="49" priority="1">
      <formula>$D$14="gas"</formula>
    </cfRule>
  </conditionalFormatting>
  <hyperlinks>
    <hyperlink ref="C23" location="T4B!A1" display="TABEL 4B" xr:uid="{00000000-0004-0000-0300-000000000000}"/>
    <hyperlink ref="C26" location="T5B!A1" display="TABEL 5B" xr:uid="{00000000-0004-0000-0300-000002000000}"/>
    <hyperlink ref="C29" location="T6B!A1" display="TABEL 6B" xr:uid="{00000000-0004-0000-0300-000003000000}"/>
    <hyperlink ref="C32" location="'T7'!A1" display="TABEL 7" xr:uid="{00000000-0004-0000-0300-000004000000}"/>
    <hyperlink ref="C35" location="'T8'!A1" display="TABEL 8" xr:uid="{00000000-0004-0000-0300-000005000000}"/>
    <hyperlink ref="C91" location="T4B!A1" display="TABEL 4B" xr:uid="{1D7C733D-482B-4523-8715-7860D04499AC}"/>
    <hyperlink ref="C94" location="T5B!A1" display="TABEL 5B" xr:uid="{84115FE1-9AEF-4727-8CE5-562166AC4050}"/>
    <hyperlink ref="C97" location="T6B!A1" display="TABEL 6B" xr:uid="{C9775CF4-524F-47CF-89B7-CB4BC0DAC6F7}"/>
    <hyperlink ref="C118" location="T4B!A1" display="TABEL 4B" xr:uid="{7A533D66-01EF-41A0-B3E9-0A417A19A703}"/>
    <hyperlink ref="C121" location="T5B!A1" display="TABEL 5B" xr:uid="{5E5022EE-18DD-42F5-AD76-7C842D007791}"/>
    <hyperlink ref="C124" location="T6B!A1" display="TABEL 6B" xr:uid="{E1622250-6BDA-41B1-BFAB-B2DF69A769A9}"/>
    <hyperlink ref="C168" location="T4B!A1" display="TABEL 4B" xr:uid="{CA48E292-79E4-4A46-BA92-C4CBA1BD72C2}"/>
    <hyperlink ref="C171" location="T5B!A1" display="TABEL 5B" xr:uid="{F35B2DF9-8BB0-401B-A69C-30BDA3041930}"/>
    <hyperlink ref="C174" location="T6B!A1" display="TABEL 6B" xr:uid="{4006E73A-8C06-4DEF-8B1F-FDB210D92E6A}"/>
    <hyperlink ref="C185" location="T4B!A1" display="TABEL 4B" xr:uid="{2199D71D-6538-4C4C-AB4C-A5CF8C10557B}"/>
  </hyperlinks>
  <pageMargins left="0.74803149606299213" right="0.74803149606299213" top="0.98425196850393704" bottom="0.98425196850393704" header="0.51181102362204722" footer="0.51181102362204722"/>
  <pageSetup paperSize="8" scale="47" fitToWidth="3" fitToHeight="3" orientation="portrait" r:id="rId2"/>
  <headerFooter alignWithMargins="0"/>
  <rowBreaks count="2" manualBreakCount="2">
    <brk id="126" max="13" man="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AG69"/>
  <sheetViews>
    <sheetView zoomScale="80" zoomScaleNormal="80" zoomScaleSheetLayoutView="80" workbookViewId="0">
      <selection activeCell="H63" sqref="H63:L67"/>
    </sheetView>
  </sheetViews>
  <sheetFormatPr defaultColWidth="11.453125" defaultRowHeight="12.5" x14ac:dyDescent="0.25"/>
  <cols>
    <col min="1" max="1" width="19.7265625" style="177" customWidth="1"/>
    <col min="2" max="2" width="14.81640625" style="177" customWidth="1"/>
    <col min="3" max="12" width="20.7265625" style="177" customWidth="1"/>
    <col min="13" max="13" width="2.26953125" style="177" customWidth="1"/>
    <col min="14" max="14" width="20.7265625" style="177" customWidth="1"/>
    <col min="15" max="15" width="2" style="177" customWidth="1"/>
    <col min="16" max="16" width="20.7265625" style="177" customWidth="1"/>
    <col min="17" max="17" width="26.7265625" style="177" bestFit="1" customWidth="1"/>
    <col min="18" max="18" width="14" style="177" customWidth="1"/>
    <col min="19" max="19" width="11.453125" style="177"/>
    <col min="20" max="20" width="12.26953125" style="177" bestFit="1" customWidth="1"/>
    <col min="21" max="16384" width="11.453125" style="177"/>
  </cols>
  <sheetData>
    <row r="1" spans="1:33" ht="21" customHeight="1" thickBot="1" x14ac:dyDescent="0.3">
      <c r="A1" s="1067" t="s">
        <v>343</v>
      </c>
      <c r="B1" s="1068"/>
      <c r="C1" s="1068"/>
      <c r="D1" s="1068"/>
      <c r="E1" s="1068"/>
      <c r="F1" s="1068"/>
      <c r="G1" s="1068"/>
      <c r="H1" s="1068"/>
      <c r="I1" s="1068"/>
      <c r="J1" s="1068"/>
      <c r="K1" s="1068"/>
      <c r="L1" s="1068"/>
      <c r="M1" s="1068"/>
      <c r="N1" s="1068"/>
      <c r="O1" s="1068"/>
      <c r="P1" s="1069"/>
      <c r="Q1" s="222"/>
      <c r="R1" s="223"/>
      <c r="S1" s="223"/>
      <c r="T1" s="223"/>
      <c r="U1" s="223"/>
      <c r="V1" s="223"/>
      <c r="W1" s="223"/>
      <c r="X1" s="223"/>
      <c r="Y1" s="223"/>
      <c r="Z1" s="223"/>
      <c r="AA1" s="223"/>
      <c r="AB1" s="223"/>
    </row>
    <row r="2" spans="1:33" x14ac:dyDescent="0.25">
      <c r="A2" s="224"/>
      <c r="B2" s="224"/>
      <c r="C2" s="224"/>
      <c r="D2" s="224"/>
      <c r="E2" s="224"/>
      <c r="F2" s="224"/>
      <c r="G2" s="224"/>
      <c r="H2" s="224"/>
      <c r="I2" s="224"/>
      <c r="J2" s="224"/>
      <c r="K2" s="224"/>
      <c r="L2" s="224"/>
      <c r="M2" s="224"/>
      <c r="N2" s="224"/>
      <c r="O2" s="226"/>
      <c r="P2" s="226"/>
      <c r="Q2" s="226"/>
      <c r="R2" s="223"/>
      <c r="S2" s="223"/>
      <c r="T2" s="223"/>
      <c r="U2" s="223"/>
      <c r="V2" s="223"/>
      <c r="W2" s="223"/>
      <c r="X2" s="223"/>
      <c r="Y2" s="223"/>
      <c r="Z2" s="223"/>
      <c r="AA2" s="223"/>
      <c r="AB2" s="223"/>
    </row>
    <row r="3" spans="1:33" ht="13" thickBot="1" x14ac:dyDescent="0.3">
      <c r="A3" s="224"/>
      <c r="B3" s="224"/>
      <c r="C3" s="224"/>
      <c r="D3" s="224"/>
      <c r="E3" s="224"/>
      <c r="F3" s="224"/>
      <c r="G3" s="224"/>
      <c r="H3" s="224"/>
      <c r="I3" s="224"/>
      <c r="J3" s="224"/>
      <c r="K3" s="224"/>
      <c r="L3" s="224"/>
      <c r="M3" s="224"/>
      <c r="N3" s="224"/>
      <c r="O3" s="226"/>
      <c r="P3" s="226"/>
      <c r="Q3" s="226"/>
      <c r="R3" s="223"/>
      <c r="S3" s="223"/>
      <c r="T3" s="223"/>
      <c r="U3" s="223"/>
      <c r="V3" s="223"/>
      <c r="W3" s="223"/>
      <c r="X3" s="223"/>
      <c r="Y3" s="223"/>
      <c r="Z3" s="223"/>
      <c r="AA3" s="223"/>
      <c r="AB3" s="223"/>
    </row>
    <row r="4" spans="1:33" s="178" customFormat="1" ht="21.75" customHeight="1" thickBot="1" x14ac:dyDescent="0.3">
      <c r="A4" s="1064" t="s">
        <v>344</v>
      </c>
      <c r="B4" s="1065"/>
      <c r="C4" s="1065"/>
      <c r="D4" s="1065"/>
      <c r="E4" s="1065"/>
      <c r="F4" s="1065"/>
      <c r="G4" s="1065"/>
      <c r="H4" s="1065"/>
      <c r="I4" s="1065"/>
      <c r="J4" s="1065"/>
      <c r="K4" s="1065"/>
      <c r="L4" s="1065"/>
      <c r="M4" s="1065"/>
      <c r="N4" s="1066"/>
      <c r="O4" s="228"/>
      <c r="P4" s="228"/>
      <c r="Q4" s="229" t="str">
        <f>+TITELBLAD!B16</f>
        <v>Rapportering over boekjaar:</v>
      </c>
      <c r="R4" s="229">
        <f>+TITELBLAD!E16</f>
        <v>2022</v>
      </c>
      <c r="S4" s="229" t="str">
        <f>+TITELBLAD!F16</f>
        <v>ex-post</v>
      </c>
      <c r="T4" s="223"/>
      <c r="U4" s="223"/>
      <c r="V4" s="223"/>
      <c r="W4" s="223"/>
      <c r="X4" s="223"/>
      <c r="Y4" s="223"/>
      <c r="Z4" s="223"/>
      <c r="AA4" s="223"/>
      <c r="AB4" s="223"/>
      <c r="AC4" s="177"/>
      <c r="AD4" s="177"/>
      <c r="AE4" s="177"/>
      <c r="AF4" s="177"/>
      <c r="AG4" s="177"/>
    </row>
    <row r="5" spans="1:33" ht="13.5" thickBot="1" x14ac:dyDescent="0.3">
      <c r="C5" s="606"/>
      <c r="D5" s="606"/>
      <c r="E5" s="606"/>
      <c r="F5" s="606"/>
      <c r="G5" s="606"/>
      <c r="H5" s="606"/>
      <c r="I5" s="606"/>
      <c r="J5" s="606"/>
      <c r="K5" s="606"/>
      <c r="L5" s="606"/>
      <c r="O5" s="223"/>
      <c r="P5" s="223"/>
      <c r="Q5" s="229"/>
      <c r="R5" s="229"/>
      <c r="S5" s="229"/>
      <c r="T5" s="223"/>
      <c r="U5" s="223"/>
      <c r="V5" s="223"/>
      <c r="W5" s="223"/>
      <c r="X5" s="223"/>
      <c r="Y5" s="223"/>
      <c r="Z5" s="223"/>
      <c r="AA5" s="223"/>
      <c r="AB5" s="223"/>
    </row>
    <row r="6" spans="1:33" ht="17" thickBot="1" x14ac:dyDescent="0.3">
      <c r="C6" s="1070" t="str">
        <f>+TITELBLAD!C7</f>
        <v>NAAM DNB</v>
      </c>
      <c r="D6" s="1071"/>
      <c r="E6" s="1071"/>
      <c r="F6" s="1071"/>
      <c r="G6" s="1071"/>
      <c r="H6" s="1071"/>
      <c r="I6" s="1071"/>
      <c r="J6" s="1071"/>
      <c r="K6" s="1071"/>
      <c r="L6" s="1072"/>
      <c r="O6" s="223"/>
      <c r="P6" s="223"/>
      <c r="Q6" s="229"/>
      <c r="R6" s="229"/>
      <c r="S6" s="229"/>
      <c r="T6" s="223"/>
      <c r="U6" s="223"/>
      <c r="V6" s="223"/>
      <c r="W6" s="223"/>
      <c r="X6" s="223"/>
      <c r="Y6" s="223"/>
      <c r="Z6" s="223"/>
      <c r="AA6" s="223"/>
      <c r="AB6" s="223"/>
    </row>
    <row r="7" spans="1:33" ht="17" thickBot="1" x14ac:dyDescent="0.3">
      <c r="C7" s="1070" t="str">
        <f>+TITELBLAD!C10</f>
        <v>elektriciteit</v>
      </c>
      <c r="D7" s="1071"/>
      <c r="E7" s="1071"/>
      <c r="F7" s="1071"/>
      <c r="G7" s="1071"/>
      <c r="H7" s="1071"/>
      <c r="I7" s="1071"/>
      <c r="J7" s="1071"/>
      <c r="K7" s="1071"/>
      <c r="L7" s="1072"/>
      <c r="O7" s="223"/>
      <c r="P7" s="223"/>
      <c r="Q7" s="223"/>
      <c r="R7" s="223"/>
      <c r="S7" s="223"/>
      <c r="T7" s="223"/>
      <c r="U7" s="223"/>
      <c r="V7" s="223"/>
      <c r="W7" s="223"/>
      <c r="X7" s="223"/>
      <c r="Y7" s="223"/>
      <c r="Z7" s="223"/>
      <c r="AA7" s="223"/>
      <c r="AB7" s="223"/>
    </row>
    <row r="8" spans="1:33" s="178" customFormat="1" ht="17" thickBot="1" x14ac:dyDescent="0.3">
      <c r="A8" s="177"/>
      <c r="B8" s="177"/>
      <c r="C8" s="1070" t="s">
        <v>31</v>
      </c>
      <c r="D8" s="1071"/>
      <c r="E8" s="1071"/>
      <c r="F8" s="1071"/>
      <c r="G8" s="1071"/>
      <c r="H8" s="1071"/>
      <c r="I8" s="1071"/>
      <c r="J8" s="1071"/>
      <c r="K8" s="1071"/>
      <c r="L8" s="1072"/>
      <c r="M8" s="177"/>
      <c r="N8" s="177"/>
      <c r="O8" s="223"/>
      <c r="P8" s="223"/>
      <c r="Q8" s="223"/>
      <c r="R8" s="223"/>
      <c r="S8" s="223"/>
      <c r="T8" s="223"/>
      <c r="U8" s="223"/>
      <c r="V8" s="223"/>
      <c r="W8" s="223"/>
      <c r="X8" s="223"/>
      <c r="Y8" s="223"/>
      <c r="Z8" s="223"/>
      <c r="AA8" s="223"/>
      <c r="AB8" s="223"/>
      <c r="AC8" s="177"/>
      <c r="AD8" s="177"/>
      <c r="AE8" s="177"/>
      <c r="AF8" s="177"/>
      <c r="AG8" s="177"/>
    </row>
    <row r="9" spans="1:33" s="178" customFormat="1" ht="13.5" thickBot="1" x14ac:dyDescent="0.3">
      <c r="A9" s="177"/>
      <c r="B9" s="177"/>
      <c r="C9" s="230">
        <v>2015</v>
      </c>
      <c r="D9" s="231">
        <v>2016</v>
      </c>
      <c r="E9" s="231">
        <v>2017</v>
      </c>
      <c r="F9" s="231">
        <v>2018</v>
      </c>
      <c r="G9" s="231">
        <v>2019</v>
      </c>
      <c r="H9" s="231">
        <v>2020</v>
      </c>
      <c r="I9" s="231">
        <v>2021</v>
      </c>
      <c r="J9" s="231">
        <v>2022</v>
      </c>
      <c r="K9" s="231">
        <v>2023</v>
      </c>
      <c r="L9" s="231">
        <v>2024</v>
      </c>
      <c r="M9" s="177"/>
      <c r="N9" s="177"/>
      <c r="O9" s="223"/>
      <c r="P9" s="223"/>
      <c r="Q9" s="223"/>
      <c r="R9" s="223"/>
      <c r="S9" s="223"/>
      <c r="T9" s="223"/>
      <c r="U9" s="223"/>
      <c r="V9" s="223"/>
      <c r="W9" s="223"/>
      <c r="X9" s="223"/>
      <c r="Y9" s="223"/>
      <c r="Z9" s="223"/>
      <c r="AA9" s="223"/>
      <c r="AB9" s="223"/>
      <c r="AC9" s="177"/>
      <c r="AD9" s="177"/>
      <c r="AE9" s="177"/>
      <c r="AF9" s="177"/>
      <c r="AG9" s="177"/>
    </row>
    <row r="10" spans="1:33" s="178" customFormat="1" x14ac:dyDescent="0.25">
      <c r="A10" s="177"/>
      <c r="B10" s="177"/>
      <c r="C10" s="800">
        <v>0</v>
      </c>
      <c r="D10" s="801">
        <v>0</v>
      </c>
      <c r="E10" s="801">
        <v>0</v>
      </c>
      <c r="F10" s="801">
        <v>0</v>
      </c>
      <c r="G10" s="801">
        <v>0</v>
      </c>
      <c r="H10" s="801">
        <v>0</v>
      </c>
      <c r="I10" s="801">
        <v>0</v>
      </c>
      <c r="J10" s="801">
        <v>0</v>
      </c>
      <c r="K10" s="801">
        <v>0</v>
      </c>
      <c r="L10" s="801">
        <v>0</v>
      </c>
      <c r="M10" s="177"/>
      <c r="N10" s="177"/>
      <c r="O10" s="223"/>
      <c r="P10" s="223"/>
      <c r="Q10" s="223"/>
      <c r="R10" s="223"/>
      <c r="S10" s="223"/>
      <c r="T10" s="223"/>
      <c r="U10" s="223"/>
      <c r="V10" s="223"/>
      <c r="W10" s="223"/>
      <c r="X10" s="223"/>
      <c r="Y10" s="223"/>
      <c r="Z10" s="223"/>
      <c r="AA10" s="223"/>
      <c r="AB10" s="223"/>
      <c r="AC10" s="177"/>
      <c r="AD10" s="177"/>
      <c r="AE10" s="177"/>
      <c r="AF10" s="177"/>
      <c r="AG10" s="177"/>
    </row>
    <row r="11" spans="1:33" s="232" customFormat="1" ht="13" x14ac:dyDescent="0.25">
      <c r="C11" s="233" t="s">
        <v>41</v>
      </c>
      <c r="F11" s="234"/>
      <c r="G11" s="234"/>
      <c r="H11" s="234"/>
      <c r="I11" s="234"/>
      <c r="J11" s="234"/>
      <c r="K11" s="234"/>
      <c r="L11" s="234"/>
      <c r="O11" s="223"/>
      <c r="P11" s="223"/>
      <c r="Q11" s="223"/>
      <c r="R11" s="223"/>
      <c r="S11" s="223"/>
      <c r="T11" s="223"/>
      <c r="U11" s="223"/>
      <c r="V11" s="223"/>
      <c r="W11" s="223"/>
      <c r="X11" s="223"/>
      <c r="Y11" s="223"/>
      <c r="Z11" s="223"/>
      <c r="AA11" s="223"/>
      <c r="AB11" s="223"/>
    </row>
    <row r="12" spans="1:33" s="232" customFormat="1" ht="13" x14ac:dyDescent="0.25">
      <c r="C12" s="235" t="s">
        <v>133</v>
      </c>
      <c r="O12" s="223"/>
      <c r="P12" s="223"/>
      <c r="Q12" s="223"/>
      <c r="R12" s="223"/>
      <c r="S12" s="223"/>
      <c r="T12" s="223"/>
      <c r="U12" s="223"/>
      <c r="V12" s="223"/>
      <c r="W12" s="223"/>
      <c r="X12" s="223"/>
      <c r="Y12" s="223"/>
      <c r="Z12" s="223"/>
      <c r="AA12" s="223"/>
      <c r="AB12" s="223"/>
    </row>
    <row r="13" spans="1:33" s="232" customFormat="1" ht="13" x14ac:dyDescent="0.25">
      <c r="C13" s="235"/>
      <c r="O13" s="223"/>
      <c r="P13" s="223"/>
      <c r="Q13" s="223"/>
      <c r="R13" s="223"/>
      <c r="S13" s="223"/>
      <c r="T13" s="223"/>
      <c r="U13" s="223"/>
      <c r="V13" s="223"/>
      <c r="W13" s="223"/>
      <c r="X13" s="223"/>
      <c r="Y13" s="223"/>
      <c r="Z13" s="223"/>
      <c r="AA13" s="223"/>
      <c r="AB13" s="223"/>
    </row>
    <row r="14" spans="1:33" ht="13" thickBot="1" x14ac:dyDescent="0.3">
      <c r="C14" s="236"/>
      <c r="O14" s="223"/>
      <c r="P14" s="223"/>
      <c r="Q14" s="223"/>
      <c r="R14" s="223"/>
      <c r="S14" s="223"/>
      <c r="T14" s="223"/>
      <c r="U14" s="223"/>
      <c r="V14" s="223"/>
      <c r="W14" s="223"/>
      <c r="X14" s="223"/>
      <c r="Y14" s="223"/>
      <c r="Z14" s="223"/>
      <c r="AA14" s="223"/>
      <c r="AB14" s="223"/>
    </row>
    <row r="15" spans="1:33" ht="21.75" customHeight="1" thickBot="1" x14ac:dyDescent="0.3">
      <c r="A15" s="1064" t="s">
        <v>18</v>
      </c>
      <c r="B15" s="1065"/>
      <c r="C15" s="1065"/>
      <c r="D15" s="1065"/>
      <c r="E15" s="1065"/>
      <c r="F15" s="1065"/>
      <c r="G15" s="1065"/>
      <c r="H15" s="1065"/>
      <c r="I15" s="1065"/>
      <c r="J15" s="1065"/>
      <c r="K15" s="1065"/>
      <c r="L15" s="1065"/>
      <c r="M15" s="1065"/>
      <c r="N15" s="1066"/>
      <c r="O15" s="1073"/>
      <c r="P15" s="1074"/>
      <c r="Q15" s="223"/>
      <c r="R15" s="223"/>
      <c r="S15" s="223"/>
      <c r="T15" s="223"/>
      <c r="U15" s="223"/>
      <c r="V15" s="223"/>
      <c r="W15" s="223"/>
      <c r="X15" s="223"/>
      <c r="Y15" s="223"/>
      <c r="Z15" s="223"/>
      <c r="AA15" s="223"/>
      <c r="AB15" s="223"/>
    </row>
    <row r="16" spans="1:33" x14ac:dyDescent="0.25">
      <c r="O16" s="223"/>
      <c r="P16" s="223"/>
      <c r="Q16" s="223"/>
      <c r="R16" s="223"/>
      <c r="S16" s="223"/>
      <c r="T16" s="223"/>
      <c r="U16" s="223"/>
      <c r="V16" s="223"/>
      <c r="W16" s="223"/>
      <c r="X16" s="223"/>
      <c r="Y16" s="223"/>
      <c r="Z16" s="223"/>
      <c r="AA16" s="223"/>
      <c r="AB16" s="223"/>
    </row>
    <row r="17" spans="1:33" ht="13" x14ac:dyDescent="0.25">
      <c r="C17" s="233" t="s">
        <v>41</v>
      </c>
      <c r="O17" s="223"/>
      <c r="P17" s="223"/>
      <c r="Q17" s="223"/>
      <c r="R17" s="223"/>
      <c r="S17" s="223"/>
      <c r="T17" s="223"/>
      <c r="U17" s="223"/>
      <c r="V17" s="223"/>
      <c r="W17" s="223"/>
      <c r="X17" s="223"/>
      <c r="Y17" s="223"/>
      <c r="Z17" s="223"/>
      <c r="AA17" s="223"/>
      <c r="AB17" s="223"/>
    </row>
    <row r="18" spans="1:33" ht="13" x14ac:dyDescent="0.25">
      <c r="C18" s="235" t="s">
        <v>133</v>
      </c>
      <c r="O18" s="223"/>
      <c r="P18" s="223"/>
      <c r="Q18" s="223"/>
      <c r="R18" s="223"/>
      <c r="S18" s="223"/>
      <c r="T18" s="223"/>
      <c r="U18" s="223"/>
      <c r="V18" s="223"/>
      <c r="W18" s="223"/>
      <c r="X18" s="223"/>
      <c r="Y18" s="223"/>
      <c r="Z18" s="223"/>
      <c r="AA18" s="223"/>
      <c r="AB18" s="223"/>
    </row>
    <row r="19" spans="1:33" ht="16.5" x14ac:dyDescent="0.25">
      <c r="C19" s="1057" t="s">
        <v>19</v>
      </c>
      <c r="D19" s="1058"/>
      <c r="E19" s="1058"/>
      <c r="F19" s="1058"/>
      <c r="G19" s="1058"/>
      <c r="H19" s="1058"/>
      <c r="I19" s="1058"/>
      <c r="J19" s="1058"/>
      <c r="K19" s="1058"/>
      <c r="L19" s="1059"/>
      <c r="N19" s="237" t="s">
        <v>20</v>
      </c>
      <c r="O19" s="223"/>
      <c r="P19" s="223"/>
      <c r="Q19" s="223"/>
      <c r="R19" s="223"/>
      <c r="S19" s="223"/>
      <c r="T19" s="223"/>
      <c r="U19" s="223"/>
      <c r="V19" s="223"/>
      <c r="W19" s="223"/>
      <c r="X19" s="223"/>
      <c r="Y19" s="223"/>
      <c r="Z19" s="223"/>
      <c r="AA19" s="223"/>
      <c r="AB19" s="223"/>
    </row>
    <row r="20" spans="1:33" ht="13.5" thickBot="1" x14ac:dyDescent="0.3">
      <c r="A20" s="1060"/>
      <c r="B20" s="1060"/>
      <c r="C20" s="238">
        <f t="shared" ref="C20:L20" si="0">C9</f>
        <v>2015</v>
      </c>
      <c r="D20" s="239">
        <f t="shared" si="0"/>
        <v>2016</v>
      </c>
      <c r="E20" s="239">
        <f t="shared" si="0"/>
        <v>2017</v>
      </c>
      <c r="F20" s="239">
        <f t="shared" si="0"/>
        <v>2018</v>
      </c>
      <c r="G20" s="239">
        <f t="shared" si="0"/>
        <v>2019</v>
      </c>
      <c r="H20" s="239">
        <f t="shared" si="0"/>
        <v>2020</v>
      </c>
      <c r="I20" s="239">
        <f t="shared" si="0"/>
        <v>2021</v>
      </c>
      <c r="J20" s="239">
        <f t="shared" si="0"/>
        <v>2022</v>
      </c>
      <c r="K20" s="239">
        <v>2023</v>
      </c>
      <c r="L20" s="239">
        <f t="shared" si="0"/>
        <v>2024</v>
      </c>
      <c r="N20" s="240"/>
      <c r="O20" s="223"/>
      <c r="P20" s="223"/>
      <c r="Q20" s="223"/>
      <c r="R20" s="223"/>
      <c r="S20" s="223"/>
      <c r="T20" s="223"/>
      <c r="U20" s="223"/>
      <c r="V20" s="223"/>
      <c r="W20" s="223"/>
      <c r="X20" s="223"/>
      <c r="Y20" s="223"/>
      <c r="Z20" s="223"/>
      <c r="AA20" s="223"/>
      <c r="AB20" s="223"/>
    </row>
    <row r="21" spans="1:33" s="178" customFormat="1" ht="12.75" customHeight="1" thickBot="1" x14ac:dyDescent="0.3">
      <c r="A21" s="1061" t="s">
        <v>21</v>
      </c>
      <c r="B21" s="241">
        <f>C9</f>
        <v>2015</v>
      </c>
      <c r="C21" s="802">
        <v>0</v>
      </c>
      <c r="D21" s="242"/>
      <c r="E21" s="242"/>
      <c r="F21" s="242"/>
      <c r="G21" s="242"/>
      <c r="H21" s="242"/>
      <c r="I21" s="242"/>
      <c r="J21" s="242"/>
      <c r="K21" s="242"/>
      <c r="L21" s="243"/>
      <c r="M21" s="244"/>
      <c r="N21" s="245">
        <f t="shared" ref="N21:N30" si="1">SUM(C21:L21)</f>
        <v>0</v>
      </c>
      <c r="O21" s="177"/>
      <c r="P21" s="177"/>
      <c r="Q21" s="177"/>
      <c r="R21" s="177"/>
      <c r="S21" s="177"/>
      <c r="T21" s="177"/>
      <c r="U21" s="177"/>
      <c r="V21" s="177"/>
      <c r="W21" s="177"/>
      <c r="X21" s="177"/>
      <c r="Y21" s="177"/>
      <c r="Z21" s="177"/>
      <c r="AA21" s="177"/>
      <c r="AB21" s="177"/>
      <c r="AC21" s="177"/>
      <c r="AD21" s="177"/>
      <c r="AE21" s="177"/>
      <c r="AF21" s="177"/>
      <c r="AG21" s="177"/>
    </row>
    <row r="22" spans="1:33" s="178" customFormat="1" ht="13.5" customHeight="1" thickBot="1" x14ac:dyDescent="0.3">
      <c r="A22" s="1062"/>
      <c r="B22" s="281">
        <f>D9</f>
        <v>2016</v>
      </c>
      <c r="C22" s="247">
        <f>C10-C21</f>
        <v>0</v>
      </c>
      <c r="D22" s="802">
        <v>0</v>
      </c>
      <c r="E22" s="248"/>
      <c r="F22" s="248"/>
      <c r="G22" s="248"/>
      <c r="H22" s="248"/>
      <c r="I22" s="248"/>
      <c r="J22" s="248"/>
      <c r="K22" s="248"/>
      <c r="L22" s="249"/>
      <c r="M22" s="244"/>
      <c r="N22" s="245">
        <f t="shared" si="1"/>
        <v>0</v>
      </c>
      <c r="O22" s="177"/>
      <c r="P22" s="177"/>
      <c r="Q22" s="177"/>
      <c r="R22" s="177"/>
      <c r="S22" s="177"/>
      <c r="T22" s="177"/>
      <c r="U22" s="177"/>
      <c r="V22" s="177"/>
      <c r="W22" s="177"/>
      <c r="X22" s="177"/>
      <c r="Y22" s="177"/>
      <c r="Z22" s="177"/>
      <c r="AA22" s="177"/>
      <c r="AB22" s="177"/>
      <c r="AC22" s="177"/>
      <c r="AD22" s="177"/>
      <c r="AE22" s="177"/>
      <c r="AF22" s="177"/>
      <c r="AG22" s="177"/>
    </row>
    <row r="23" spans="1:33" s="178" customFormat="1" ht="13.5" customHeight="1" thickBot="1" x14ac:dyDescent="0.3">
      <c r="A23" s="1062"/>
      <c r="B23" s="281">
        <f>E9</f>
        <v>2017</v>
      </c>
      <c r="C23" s="248"/>
      <c r="D23" s="247">
        <f>D10-D22</f>
        <v>0</v>
      </c>
      <c r="E23" s="802">
        <v>0</v>
      </c>
      <c r="F23" s="248"/>
      <c r="G23" s="248"/>
      <c r="H23" s="248"/>
      <c r="I23" s="248"/>
      <c r="J23" s="248"/>
      <c r="K23" s="248"/>
      <c r="L23" s="249"/>
      <c r="M23" s="244"/>
      <c r="N23" s="245">
        <f t="shared" si="1"/>
        <v>0</v>
      </c>
      <c r="O23" s="177"/>
      <c r="P23" s="177"/>
      <c r="Q23" s="177"/>
      <c r="R23" s="177"/>
      <c r="S23" s="177"/>
      <c r="T23" s="177"/>
      <c r="U23" s="177"/>
      <c r="V23" s="177"/>
      <c r="W23" s="177"/>
      <c r="X23" s="177"/>
      <c r="Y23" s="177"/>
      <c r="Z23" s="177"/>
      <c r="AA23" s="177"/>
      <c r="AB23" s="177"/>
      <c r="AC23" s="177"/>
      <c r="AD23" s="177"/>
      <c r="AE23" s="177"/>
      <c r="AF23" s="177"/>
      <c r="AG23" s="177"/>
    </row>
    <row r="24" spans="1:33" s="178" customFormat="1" ht="13.5" customHeight="1" thickBot="1" x14ac:dyDescent="0.3">
      <c r="A24" s="1062"/>
      <c r="B24" s="281">
        <f>F9</f>
        <v>2018</v>
      </c>
      <c r="C24" s="248"/>
      <c r="D24" s="248"/>
      <c r="E24" s="247">
        <f>E10-E23</f>
        <v>0</v>
      </c>
      <c r="F24" s="802">
        <v>0</v>
      </c>
      <c r="G24" s="248"/>
      <c r="H24" s="248"/>
      <c r="I24" s="248"/>
      <c r="J24" s="248"/>
      <c r="K24" s="248"/>
      <c r="L24" s="249"/>
      <c r="M24" s="244"/>
      <c r="N24" s="245">
        <f t="shared" si="1"/>
        <v>0</v>
      </c>
      <c r="O24" s="177"/>
      <c r="P24" s="177"/>
      <c r="Q24" s="177"/>
      <c r="R24" s="177"/>
      <c r="S24" s="177"/>
      <c r="T24" s="177"/>
      <c r="U24" s="177"/>
      <c r="V24" s="177"/>
      <c r="W24" s="177"/>
      <c r="X24" s="177"/>
      <c r="Y24" s="177"/>
      <c r="Z24" s="177"/>
      <c r="AA24" s="177"/>
      <c r="AB24" s="177"/>
      <c r="AC24" s="177"/>
      <c r="AD24" s="177"/>
      <c r="AE24" s="177"/>
      <c r="AF24" s="177"/>
      <c r="AG24" s="177"/>
    </row>
    <row r="25" spans="1:33" s="178" customFormat="1" ht="13.5" customHeight="1" thickBot="1" x14ac:dyDescent="0.3">
      <c r="A25" s="1062"/>
      <c r="B25" s="281">
        <f>G9</f>
        <v>2019</v>
      </c>
      <c r="C25" s="248"/>
      <c r="D25" s="248"/>
      <c r="E25" s="248"/>
      <c r="F25" s="247">
        <f>F10-F24</f>
        <v>0</v>
      </c>
      <c r="G25" s="802">
        <v>0</v>
      </c>
      <c r="H25" s="248"/>
      <c r="I25" s="248"/>
      <c r="J25" s="248"/>
      <c r="K25" s="248"/>
      <c r="L25" s="249"/>
      <c r="M25" s="244"/>
      <c r="N25" s="245">
        <f t="shared" si="1"/>
        <v>0</v>
      </c>
      <c r="O25" s="177"/>
      <c r="P25" s="177"/>
      <c r="Q25" s="177"/>
      <c r="R25" s="177"/>
      <c r="S25" s="177"/>
      <c r="T25" s="177"/>
      <c r="U25" s="177"/>
      <c r="V25" s="177"/>
      <c r="W25" s="177"/>
      <c r="X25" s="177"/>
      <c r="Y25" s="177"/>
      <c r="Z25" s="177"/>
      <c r="AA25" s="177"/>
      <c r="AB25" s="177"/>
      <c r="AC25" s="177"/>
      <c r="AD25" s="177"/>
      <c r="AE25" s="177"/>
      <c r="AF25" s="177"/>
      <c r="AG25" s="177"/>
    </row>
    <row r="26" spans="1:33" s="178" customFormat="1" ht="13.5" customHeight="1" thickBot="1" x14ac:dyDescent="0.3">
      <c r="A26" s="1062"/>
      <c r="B26" s="281">
        <f>+H9</f>
        <v>2020</v>
      </c>
      <c r="C26" s="248"/>
      <c r="D26" s="248"/>
      <c r="E26" s="248"/>
      <c r="F26" s="251"/>
      <c r="G26" s="247">
        <f>G$10-G25</f>
        <v>0</v>
      </c>
      <c r="H26" s="802">
        <v>0</v>
      </c>
      <c r="I26" s="248"/>
      <c r="J26" s="248"/>
      <c r="K26" s="248"/>
      <c r="L26" s="249"/>
      <c r="M26" s="244"/>
      <c r="N26" s="245">
        <f t="shared" si="1"/>
        <v>0</v>
      </c>
      <c r="O26" s="177"/>
      <c r="P26" s="177"/>
      <c r="Q26" s="177"/>
      <c r="R26" s="177"/>
      <c r="S26" s="177"/>
      <c r="T26" s="177"/>
      <c r="U26" s="177"/>
      <c r="V26" s="177"/>
      <c r="W26" s="177"/>
      <c r="X26" s="177"/>
      <c r="Y26" s="177"/>
      <c r="Z26" s="177"/>
      <c r="AA26" s="177"/>
      <c r="AB26" s="177"/>
      <c r="AC26" s="177"/>
      <c r="AD26" s="177"/>
      <c r="AE26" s="177"/>
      <c r="AF26" s="177"/>
      <c r="AG26" s="177"/>
    </row>
    <row r="27" spans="1:33" s="178" customFormat="1" ht="13.5" customHeight="1" thickBot="1" x14ac:dyDescent="0.3">
      <c r="A27" s="1062"/>
      <c r="B27" s="281">
        <f>+I9</f>
        <v>2021</v>
      </c>
      <c r="C27" s="248"/>
      <c r="D27" s="248"/>
      <c r="E27" s="248"/>
      <c r="F27" s="251"/>
      <c r="G27" s="248"/>
      <c r="H27" s="247">
        <f>H$10-H26</f>
        <v>0</v>
      </c>
      <c r="I27" s="802">
        <v>0</v>
      </c>
      <c r="J27" s="248"/>
      <c r="K27" s="248"/>
      <c r="L27" s="249"/>
      <c r="M27" s="244"/>
      <c r="N27" s="245">
        <f t="shared" si="1"/>
        <v>0</v>
      </c>
      <c r="O27" s="177"/>
      <c r="P27" s="177"/>
      <c r="Q27" s="177"/>
      <c r="R27" s="177"/>
      <c r="S27" s="177"/>
      <c r="T27" s="177"/>
      <c r="U27" s="177"/>
      <c r="V27" s="177"/>
      <c r="W27" s="177"/>
      <c r="X27" s="177"/>
      <c r="Y27" s="177"/>
      <c r="Z27" s="177"/>
      <c r="AA27" s="177"/>
      <c r="AB27" s="177"/>
      <c r="AC27" s="177"/>
      <c r="AD27" s="177"/>
      <c r="AE27" s="177"/>
      <c r="AF27" s="177"/>
      <c r="AG27" s="177"/>
    </row>
    <row r="28" spans="1:33" s="178" customFormat="1" ht="13.5" customHeight="1" thickBot="1" x14ac:dyDescent="0.3">
      <c r="A28" s="1062"/>
      <c r="B28" s="281">
        <f>+J9</f>
        <v>2022</v>
      </c>
      <c r="C28" s="248"/>
      <c r="D28" s="248"/>
      <c r="E28" s="248"/>
      <c r="F28" s="251"/>
      <c r="G28" s="248"/>
      <c r="H28" s="248"/>
      <c r="I28" s="247">
        <f>I$10-I27</f>
        <v>0</v>
      </c>
      <c r="J28" s="802">
        <v>0</v>
      </c>
      <c r="K28" s="248"/>
      <c r="L28" s="249"/>
      <c r="M28" s="244"/>
      <c r="N28" s="245">
        <f t="shared" si="1"/>
        <v>0</v>
      </c>
      <c r="O28" s="177"/>
      <c r="P28" s="177"/>
      <c r="Q28" s="177"/>
      <c r="R28" s="177"/>
      <c r="S28" s="177"/>
      <c r="T28" s="177"/>
      <c r="U28" s="177"/>
      <c r="V28" s="177"/>
      <c r="W28" s="177"/>
      <c r="X28" s="177"/>
      <c r="Y28" s="177"/>
      <c r="Z28" s="177"/>
      <c r="AA28" s="177"/>
      <c r="AB28" s="177"/>
      <c r="AC28" s="177"/>
      <c r="AD28" s="177"/>
      <c r="AE28" s="177"/>
      <c r="AF28" s="177"/>
      <c r="AG28" s="177"/>
    </row>
    <row r="29" spans="1:33" s="178" customFormat="1" ht="13.5" customHeight="1" thickBot="1" x14ac:dyDescent="0.3">
      <c r="A29" s="1062"/>
      <c r="B29" s="281">
        <f>+K9</f>
        <v>2023</v>
      </c>
      <c r="C29" s="248"/>
      <c r="D29" s="248"/>
      <c r="E29" s="248"/>
      <c r="F29" s="251"/>
      <c r="G29" s="248"/>
      <c r="H29" s="248"/>
      <c r="I29" s="248"/>
      <c r="J29" s="247">
        <f>J$10-J28</f>
        <v>0</v>
      </c>
      <c r="K29" s="802">
        <v>0</v>
      </c>
      <c r="L29" s="249"/>
      <c r="M29" s="244"/>
      <c r="N29" s="245">
        <f t="shared" si="1"/>
        <v>0</v>
      </c>
      <c r="O29" s="177"/>
      <c r="P29" s="177"/>
      <c r="Q29" s="177"/>
      <c r="R29" s="177"/>
      <c r="S29" s="177"/>
      <c r="T29" s="177"/>
      <c r="U29" s="177"/>
      <c r="V29" s="177"/>
      <c r="W29" s="177"/>
      <c r="X29" s="177"/>
      <c r="Y29" s="177"/>
      <c r="Z29" s="177"/>
      <c r="AA29" s="177"/>
      <c r="AB29" s="177"/>
      <c r="AC29" s="177"/>
      <c r="AD29" s="177"/>
      <c r="AE29" s="177"/>
      <c r="AF29" s="177"/>
      <c r="AG29" s="177"/>
    </row>
    <row r="30" spans="1:33" s="178" customFormat="1" ht="13.5" customHeight="1" thickBot="1" x14ac:dyDescent="0.3">
      <c r="A30" s="1062"/>
      <c r="B30" s="281">
        <f>L9</f>
        <v>2024</v>
      </c>
      <c r="C30" s="248"/>
      <c r="D30" s="248"/>
      <c r="E30" s="248"/>
      <c r="F30" s="248"/>
      <c r="G30" s="248"/>
      <c r="H30" s="251"/>
      <c r="I30" s="251"/>
      <c r="J30" s="251"/>
      <c r="K30" s="247">
        <f>K$10-K29</f>
        <v>0</v>
      </c>
      <c r="L30" s="802">
        <v>0</v>
      </c>
      <c r="M30" s="244"/>
      <c r="N30" s="245">
        <f t="shared" si="1"/>
        <v>0</v>
      </c>
      <c r="O30" s="177"/>
      <c r="P30" s="177"/>
      <c r="Q30" s="177"/>
      <c r="R30" s="177"/>
      <c r="S30" s="177"/>
      <c r="T30" s="177"/>
      <c r="U30" s="177"/>
      <c r="V30" s="177"/>
      <c r="W30" s="177"/>
      <c r="X30" s="177"/>
      <c r="Y30" s="177"/>
      <c r="Z30" s="177"/>
      <c r="AA30" s="177"/>
      <c r="AB30" s="177"/>
      <c r="AC30" s="177"/>
      <c r="AD30" s="177"/>
      <c r="AE30" s="177"/>
      <c r="AF30" s="177"/>
      <c r="AG30" s="177"/>
    </row>
    <row r="31" spans="1:33" s="256" customFormat="1" ht="15.5" x14ac:dyDescent="0.25">
      <c r="A31" s="1063"/>
      <c r="B31" s="326" t="s">
        <v>22</v>
      </c>
      <c r="C31" s="252">
        <f t="shared" ref="C31" si="2">SUM(C21:C30)</f>
        <v>0</v>
      </c>
      <c r="D31" s="252">
        <f t="shared" ref="D31:L31" si="3">SUM(D21:D30)</f>
        <v>0</v>
      </c>
      <c r="E31" s="252">
        <f t="shared" si="3"/>
        <v>0</v>
      </c>
      <c r="F31" s="252">
        <f t="shared" si="3"/>
        <v>0</v>
      </c>
      <c r="G31" s="252">
        <f t="shared" si="3"/>
        <v>0</v>
      </c>
      <c r="H31" s="252">
        <f t="shared" si="3"/>
        <v>0</v>
      </c>
      <c r="I31" s="252">
        <f t="shared" si="3"/>
        <v>0</v>
      </c>
      <c r="J31" s="252">
        <f t="shared" si="3"/>
        <v>0</v>
      </c>
      <c r="K31" s="252">
        <f t="shared" si="3"/>
        <v>0</v>
      </c>
      <c r="L31" s="282">
        <f t="shared" si="3"/>
        <v>0</v>
      </c>
      <c r="M31" s="253"/>
      <c r="N31" s="254">
        <f>SUM(N21:N30)</f>
        <v>0</v>
      </c>
      <c r="O31" s="255"/>
      <c r="P31" s="255"/>
      <c r="Q31" s="255"/>
      <c r="R31" s="255"/>
      <c r="S31" s="255"/>
      <c r="T31" s="255"/>
      <c r="U31" s="255"/>
      <c r="V31" s="255"/>
      <c r="W31" s="255"/>
      <c r="X31" s="255"/>
      <c r="Y31" s="255"/>
      <c r="Z31" s="255"/>
      <c r="AA31" s="255"/>
      <c r="AB31" s="255"/>
      <c r="AC31" s="255"/>
      <c r="AD31" s="255"/>
      <c r="AE31" s="255"/>
      <c r="AF31" s="255"/>
      <c r="AG31" s="255"/>
    </row>
    <row r="32" spans="1:33" s="235" customFormat="1" ht="15.75" customHeight="1" x14ac:dyDescent="0.25">
      <c r="A32" s="257" t="s">
        <v>34</v>
      </c>
      <c r="C32" s="258">
        <f>+C31+C48</f>
        <v>0</v>
      </c>
      <c r="D32" s="258">
        <f t="shared" ref="D32:L32" si="4">+D31+D48</f>
        <v>0</v>
      </c>
      <c r="E32" s="258">
        <f t="shared" si="4"/>
        <v>0</v>
      </c>
      <c r="F32" s="258">
        <f t="shared" si="4"/>
        <v>0</v>
      </c>
      <c r="G32" s="258">
        <f t="shared" si="4"/>
        <v>0</v>
      </c>
      <c r="H32" s="258">
        <f t="shared" si="4"/>
        <v>0</v>
      </c>
      <c r="I32" s="258">
        <f t="shared" si="4"/>
        <v>0</v>
      </c>
      <c r="J32" s="258">
        <f t="shared" si="4"/>
        <v>0</v>
      </c>
      <c r="K32" s="258">
        <f t="shared" si="4"/>
        <v>0</v>
      </c>
      <c r="L32" s="258">
        <f t="shared" si="4"/>
        <v>0</v>
      </c>
      <c r="M32" s="258"/>
      <c r="N32" s="258">
        <f>+N31+N48</f>
        <v>0</v>
      </c>
      <c r="O32" s="258">
        <f>+O31+O48</f>
        <v>0</v>
      </c>
    </row>
    <row r="33" spans="1:33" s="259" customFormat="1" ht="13" x14ac:dyDescent="0.25">
      <c r="A33" s="235"/>
      <c r="B33" s="235"/>
      <c r="C33" s="258"/>
      <c r="D33" s="258"/>
      <c r="E33" s="258"/>
      <c r="F33" s="258"/>
      <c r="G33" s="258"/>
      <c r="H33" s="258"/>
      <c r="I33" s="258"/>
      <c r="J33" s="258"/>
      <c r="K33" s="258"/>
      <c r="L33" s="258"/>
      <c r="M33" s="235"/>
      <c r="N33" s="235"/>
      <c r="O33" s="235"/>
      <c r="P33" s="235"/>
      <c r="Q33" s="235"/>
      <c r="R33" s="235"/>
      <c r="S33" s="235"/>
      <c r="T33" s="235"/>
      <c r="U33" s="235"/>
      <c r="V33" s="235"/>
      <c r="W33" s="235"/>
      <c r="X33" s="235"/>
      <c r="Y33" s="235"/>
      <c r="Z33" s="235"/>
      <c r="AA33" s="235"/>
      <c r="AB33" s="235"/>
      <c r="AC33" s="235"/>
      <c r="AD33" s="235"/>
      <c r="AE33" s="235"/>
      <c r="AF33" s="235"/>
      <c r="AG33" s="235"/>
    </row>
    <row r="34" spans="1:33" s="259" customFormat="1" ht="13" x14ac:dyDescent="0.25">
      <c r="A34" s="235"/>
      <c r="B34" s="235"/>
      <c r="C34" s="233" t="s">
        <v>32</v>
      </c>
      <c r="D34" s="258"/>
      <c r="E34" s="258"/>
      <c r="F34" s="258"/>
      <c r="G34" s="258"/>
      <c r="H34" s="258"/>
      <c r="I34" s="258"/>
      <c r="J34" s="258"/>
      <c r="K34" s="258"/>
      <c r="L34" s="258"/>
      <c r="M34" s="235"/>
      <c r="N34" s="235"/>
      <c r="O34" s="235"/>
      <c r="P34" s="235"/>
      <c r="Q34" s="235"/>
      <c r="R34" s="235"/>
      <c r="S34" s="235"/>
      <c r="T34" s="235"/>
      <c r="U34" s="235"/>
      <c r="V34" s="235"/>
      <c r="W34" s="235"/>
      <c r="X34" s="235"/>
      <c r="Y34" s="235"/>
      <c r="Z34" s="235"/>
      <c r="AA34" s="235"/>
      <c r="AB34" s="235"/>
      <c r="AC34" s="235"/>
      <c r="AD34" s="235"/>
      <c r="AE34" s="235"/>
      <c r="AF34" s="235"/>
      <c r="AG34" s="235"/>
    </row>
    <row r="35" spans="1:33" s="259" customFormat="1" ht="13" x14ac:dyDescent="0.25">
      <c r="A35" s="235"/>
      <c r="B35" s="235"/>
      <c r="C35" s="233" t="s">
        <v>33</v>
      </c>
      <c r="D35" s="258"/>
      <c r="E35" s="258"/>
      <c r="F35" s="258"/>
      <c r="G35" s="258"/>
      <c r="H35" s="258"/>
      <c r="I35" s="258"/>
      <c r="J35" s="258"/>
      <c r="K35" s="258"/>
      <c r="L35" s="258"/>
      <c r="M35" s="235"/>
      <c r="N35" s="235"/>
      <c r="O35" s="235"/>
      <c r="P35" s="235"/>
      <c r="Q35" s="235"/>
      <c r="R35" s="235"/>
      <c r="S35" s="235"/>
      <c r="T35" s="235"/>
      <c r="U35" s="235"/>
      <c r="V35" s="235"/>
      <c r="W35" s="235"/>
      <c r="X35" s="235"/>
      <c r="Y35" s="235"/>
      <c r="Z35" s="235"/>
      <c r="AA35" s="235"/>
      <c r="AB35" s="235"/>
      <c r="AC35" s="235"/>
      <c r="AD35" s="235"/>
      <c r="AE35" s="235"/>
      <c r="AF35" s="235"/>
      <c r="AG35" s="235"/>
    </row>
    <row r="36" spans="1:33" s="178" customFormat="1" ht="16.5" x14ac:dyDescent="0.25">
      <c r="A36" s="177"/>
      <c r="B36" s="177"/>
      <c r="C36" s="1048" t="s">
        <v>19</v>
      </c>
      <c r="D36" s="1049"/>
      <c r="E36" s="1049"/>
      <c r="F36" s="1049"/>
      <c r="G36" s="1049"/>
      <c r="H36" s="1049"/>
      <c r="I36" s="1049"/>
      <c r="J36" s="1049"/>
      <c r="K36" s="1049"/>
      <c r="L36" s="1050"/>
      <c r="M36" s="177"/>
      <c r="N36" s="237" t="s">
        <v>20</v>
      </c>
      <c r="O36" s="177"/>
      <c r="P36" s="237" t="s">
        <v>20</v>
      </c>
      <c r="Q36" s="177"/>
      <c r="R36" s="177"/>
      <c r="S36" s="177"/>
      <c r="T36" s="177"/>
      <c r="U36" s="177"/>
      <c r="V36" s="177"/>
      <c r="W36" s="177"/>
      <c r="X36" s="177"/>
      <c r="Y36" s="177"/>
      <c r="Z36" s="177"/>
      <c r="AA36" s="177"/>
      <c r="AB36" s="177"/>
      <c r="AC36" s="177"/>
      <c r="AD36" s="177"/>
      <c r="AE36" s="177"/>
      <c r="AF36" s="177"/>
      <c r="AG36" s="177"/>
    </row>
    <row r="37" spans="1:33" s="178" customFormat="1" x14ac:dyDescent="0.25">
      <c r="A37" s="177"/>
      <c r="B37" s="177"/>
      <c r="C37" s="239">
        <f t="shared" ref="C37:L37" si="5">C20</f>
        <v>2015</v>
      </c>
      <c r="D37" s="239">
        <f t="shared" si="5"/>
        <v>2016</v>
      </c>
      <c r="E37" s="239">
        <f t="shared" si="5"/>
        <v>2017</v>
      </c>
      <c r="F37" s="239">
        <f t="shared" si="5"/>
        <v>2018</v>
      </c>
      <c r="G37" s="239">
        <f t="shared" si="5"/>
        <v>2019</v>
      </c>
      <c r="H37" s="239">
        <f t="shared" si="5"/>
        <v>2020</v>
      </c>
      <c r="I37" s="239">
        <f t="shared" si="5"/>
        <v>2021</v>
      </c>
      <c r="J37" s="239">
        <f t="shared" si="5"/>
        <v>2022</v>
      </c>
      <c r="K37" s="239">
        <f t="shared" si="5"/>
        <v>2023</v>
      </c>
      <c r="L37" s="239">
        <f t="shared" si="5"/>
        <v>2024</v>
      </c>
      <c r="M37" s="177"/>
      <c r="N37" s="240" t="s">
        <v>23</v>
      </c>
      <c r="O37" s="177"/>
      <c r="P37" s="240" t="s">
        <v>24</v>
      </c>
      <c r="Q37" s="177"/>
      <c r="R37" s="177"/>
      <c r="S37" s="177"/>
      <c r="T37" s="177"/>
      <c r="U37" s="177"/>
      <c r="V37" s="177"/>
      <c r="W37" s="177"/>
      <c r="X37" s="177"/>
      <c r="Y37" s="177"/>
      <c r="Z37" s="177"/>
      <c r="AA37" s="177"/>
      <c r="AB37" s="177"/>
      <c r="AC37" s="177"/>
      <c r="AD37" s="177"/>
      <c r="AE37" s="177"/>
      <c r="AF37" s="177"/>
      <c r="AG37" s="177"/>
    </row>
    <row r="38" spans="1:33" s="178" customFormat="1" ht="13" x14ac:dyDescent="0.25">
      <c r="A38" s="1054" t="s">
        <v>93</v>
      </c>
      <c r="B38" s="600">
        <f>B21</f>
        <v>2015</v>
      </c>
      <c r="C38" s="261"/>
      <c r="D38" s="261"/>
      <c r="E38" s="261"/>
      <c r="F38" s="261"/>
      <c r="G38" s="261"/>
      <c r="H38" s="261"/>
      <c r="I38" s="261"/>
      <c r="J38" s="261"/>
      <c r="K38" s="261"/>
      <c r="L38" s="262"/>
      <c r="M38" s="244"/>
      <c r="N38" s="245">
        <f t="shared" ref="N38:N47" si="6">SUM(C38:L38)</f>
        <v>0</v>
      </c>
      <c r="O38" s="244"/>
      <c r="P38" s="263">
        <f>SUM(N21,N38)</f>
        <v>0</v>
      </c>
      <c r="Q38" s="177"/>
      <c r="R38" s="177"/>
      <c r="S38" s="177"/>
      <c r="T38" s="177"/>
      <c r="U38" s="177"/>
      <c r="V38" s="177"/>
      <c r="W38" s="177"/>
      <c r="X38" s="177"/>
      <c r="Y38" s="177"/>
      <c r="Z38" s="177"/>
      <c r="AA38" s="177"/>
      <c r="AB38" s="177"/>
      <c r="AC38" s="177"/>
      <c r="AD38" s="177"/>
      <c r="AE38" s="177"/>
      <c r="AF38" s="177"/>
      <c r="AG38" s="177"/>
    </row>
    <row r="39" spans="1:33" s="178" customFormat="1" ht="13" x14ac:dyDescent="0.25">
      <c r="A39" s="1055"/>
      <c r="B39" s="601">
        <f>B22</f>
        <v>2016</v>
      </c>
      <c r="C39" s="261"/>
      <c r="D39" s="261"/>
      <c r="E39" s="261"/>
      <c r="F39" s="261"/>
      <c r="G39" s="261"/>
      <c r="H39" s="261"/>
      <c r="I39" s="261"/>
      <c r="J39" s="261"/>
      <c r="K39" s="261"/>
      <c r="L39" s="265"/>
      <c r="M39" s="244"/>
      <c r="N39" s="245">
        <f t="shared" si="6"/>
        <v>0</v>
      </c>
      <c r="O39" s="244"/>
      <c r="P39" s="263">
        <f>SUM(N22,N39)</f>
        <v>0</v>
      </c>
      <c r="Q39" s="177"/>
      <c r="R39" s="177"/>
      <c r="S39" s="177"/>
      <c r="T39" s="177"/>
      <c r="U39" s="177"/>
      <c r="V39" s="177"/>
      <c r="W39" s="177"/>
      <c r="X39" s="177"/>
      <c r="Y39" s="177"/>
      <c r="Z39" s="177"/>
      <c r="AA39" s="177"/>
      <c r="AB39" s="177"/>
      <c r="AC39" s="177"/>
      <c r="AD39" s="177"/>
      <c r="AE39" s="177"/>
      <c r="AF39" s="177"/>
      <c r="AG39" s="177"/>
    </row>
    <row r="40" spans="1:33" s="178" customFormat="1" ht="13" x14ac:dyDescent="0.25">
      <c r="A40" s="1055" t="s">
        <v>25</v>
      </c>
      <c r="B40" s="601">
        <f>B23</f>
        <v>2017</v>
      </c>
      <c r="C40" s="247">
        <f>+IF($S$4="ex-ante",IF(C$37&lt;=($R$4-2),IF($B40&lt;=($R$4),T4B!G149,0),0),IF($S$4="ex-post",IF(C$37&lt;=($R$4-1),IF($B40&lt;=($R$4+1),T4B!G149,0),0),0))</f>
        <v>0</v>
      </c>
      <c r="D40" s="261"/>
      <c r="E40" s="261"/>
      <c r="F40" s="261"/>
      <c r="G40" s="261"/>
      <c r="H40" s="261"/>
      <c r="I40" s="261"/>
      <c r="J40" s="261"/>
      <c r="K40" s="261"/>
      <c r="L40" s="265"/>
      <c r="M40" s="244"/>
      <c r="N40" s="245">
        <f t="shared" si="6"/>
        <v>0</v>
      </c>
      <c r="O40" s="244"/>
      <c r="P40" s="263">
        <f>SUM(N23,N40)</f>
        <v>0</v>
      </c>
      <c r="Q40" s="177"/>
      <c r="R40" s="177"/>
      <c r="S40" s="177"/>
      <c r="T40" s="177"/>
      <c r="U40" s="177"/>
      <c r="V40" s="177"/>
      <c r="W40" s="177"/>
      <c r="X40" s="177"/>
      <c r="Y40" s="177"/>
      <c r="Z40" s="177"/>
      <c r="AA40" s="177"/>
      <c r="AB40" s="177"/>
      <c r="AC40" s="177"/>
      <c r="AD40" s="177"/>
      <c r="AE40" s="177"/>
      <c r="AF40" s="177"/>
      <c r="AG40" s="177"/>
    </row>
    <row r="41" spans="1:33" s="178" customFormat="1" ht="13" x14ac:dyDescent="0.25">
      <c r="A41" s="1055"/>
      <c r="B41" s="601">
        <f>B24</f>
        <v>2018</v>
      </c>
      <c r="C41" s="247">
        <f>+IF($S$4="ex-ante",IF(C$37&lt;=($R$4-2),IF($B41&lt;=($R$4),T4B!G150,0),0),IF($S$4="ex-post",IF(C$37&lt;=($R$4-1),IF($B41&lt;=($R$4+1),T4B!G150,0),0),0))</f>
        <v>0</v>
      </c>
      <c r="D41" s="247">
        <f>+IF($S$4="ex-ante",IF(D$37&lt;=($R$4-2),IF($B41&lt;=($R$4),T4B!H150,0),0),IF($S$4="ex-post",IF(D$37&lt;=($R$4-1),IF($B41&lt;=($R$4+1),T4B!H150,0),0),0))</f>
        <v>0</v>
      </c>
      <c r="E41" s="261"/>
      <c r="F41" s="261"/>
      <c r="G41" s="261"/>
      <c r="H41" s="261"/>
      <c r="I41" s="261"/>
      <c r="J41" s="261"/>
      <c r="K41" s="261"/>
      <c r="L41" s="265"/>
      <c r="M41" s="244"/>
      <c r="N41" s="245">
        <f t="shared" si="6"/>
        <v>0</v>
      </c>
      <c r="O41" s="244"/>
      <c r="P41" s="263">
        <f>SUM(N24,N41)</f>
        <v>0</v>
      </c>
      <c r="Q41" s="236" t="s">
        <v>27</v>
      </c>
      <c r="R41" s="177"/>
      <c r="S41" s="177"/>
      <c r="T41" s="177"/>
      <c r="U41" s="177"/>
      <c r="V41" s="177"/>
      <c r="W41" s="177"/>
      <c r="X41" s="177"/>
      <c r="Y41" s="177"/>
      <c r="Z41" s="177"/>
      <c r="AA41" s="177"/>
      <c r="AB41" s="177"/>
      <c r="AC41" s="177"/>
      <c r="AD41" s="177"/>
      <c r="AE41" s="177"/>
      <c r="AF41" s="177"/>
      <c r="AG41" s="177"/>
    </row>
    <row r="42" spans="1:33" s="178" customFormat="1" ht="13" x14ac:dyDescent="0.25">
      <c r="A42" s="1055" t="s">
        <v>26</v>
      </c>
      <c r="B42" s="601">
        <f>B25</f>
        <v>2019</v>
      </c>
      <c r="C42" s="247">
        <f>+IF($S$4="ex-ante",IF(C$37&lt;=($R$4-2),IF($B42&lt;=($R$4),T4B!G151,0),0),IF($S$4="ex-post",IF(C$37&lt;=($R$4-1),IF($B42&lt;=($R$4+1),T4B!G151,0),0),0))</f>
        <v>0</v>
      </c>
      <c r="D42" s="247">
        <f>+IF($S$4="ex-ante",IF(D$37&lt;=($R$4-2),IF($B42&lt;=($R$4),T4B!H151,0),0),IF($S$4="ex-post",IF(D$37&lt;=($R$4-1),IF($B42&lt;=($R$4+1),T4B!H151,0),0),0))</f>
        <v>0</v>
      </c>
      <c r="E42" s="247">
        <f>+IF($S$4="ex-ante",IF(E$37&lt;=($R$4-2),IF($B42&lt;=($R$4),T4B!I151,0),0),IF($S$4="ex-post",IF(E$37&lt;=($R$4-1),IF($B42&lt;=($R$4+1),T4B!I151,0),0),0))</f>
        <v>0</v>
      </c>
      <c r="F42" s="261"/>
      <c r="G42" s="261"/>
      <c r="H42" s="261"/>
      <c r="I42" s="261"/>
      <c r="J42" s="261"/>
      <c r="K42" s="261"/>
      <c r="L42" s="265"/>
      <c r="M42" s="244"/>
      <c r="N42" s="245">
        <f t="shared" si="6"/>
        <v>0</v>
      </c>
      <c r="O42" s="244"/>
      <c r="P42" s="263">
        <f>SUM(N25,N42)</f>
        <v>0</v>
      </c>
      <c r="Q42" s="236" t="s">
        <v>28</v>
      </c>
      <c r="R42" s="177"/>
      <c r="S42" s="177"/>
      <c r="T42" s="177"/>
      <c r="U42" s="177"/>
      <c r="V42" s="177"/>
      <c r="W42" s="177"/>
      <c r="X42" s="177"/>
      <c r="Y42" s="177"/>
      <c r="Z42" s="177"/>
      <c r="AA42" s="177"/>
      <c r="AB42" s="177"/>
      <c r="AC42" s="177"/>
      <c r="AD42" s="177"/>
      <c r="AE42" s="177"/>
      <c r="AF42" s="177"/>
      <c r="AG42" s="177"/>
    </row>
    <row r="43" spans="1:33" s="178" customFormat="1" ht="13" x14ac:dyDescent="0.25">
      <c r="A43" s="1055"/>
      <c r="B43" s="601">
        <f t="shared" ref="B43:B46" si="7">B26</f>
        <v>2020</v>
      </c>
      <c r="C43" s="247">
        <f>+IF($S$4="ex-ante",IF(C$37&lt;=($R$4-2),IF($B43&lt;=($R$4),T4B!G152,0),0),IF($S$4="ex-post",IF(C$37&lt;=($R$4-1),IF($B43&lt;=($R$4+1),T4B!G152,0),0),0))</f>
        <v>0</v>
      </c>
      <c r="D43" s="247">
        <f>+IF($S$4="ex-ante",IF(D$37&lt;=($R$4-2),IF($B43&lt;=($R$4),T4B!H152,0),0),IF($S$4="ex-post",IF(D$37&lt;=($R$4-1),IF($B43&lt;=($R$4+1),T4B!H152,0),0),0))</f>
        <v>0</v>
      </c>
      <c r="E43" s="247">
        <f>+IF($S$4="ex-ante",IF(E$37&lt;=($R$4-2),IF($B43&lt;=($R$4),T4B!I152,0),0),IF($S$4="ex-post",IF(E$37&lt;=($R$4-1),IF($B43&lt;=($R$4+1),T4B!I152,0),0),0))</f>
        <v>0</v>
      </c>
      <c r="F43" s="247">
        <f>+IF($S$4="ex-ante",IF(F$37&lt;=($R$4-2),IF($B43&lt;=($R$4),T4B!J152,0),0),IF($S$4="ex-post",IF(F$37&lt;=($R$4-1),IF($B43&lt;=($R$4+1),T4B!J152,0),0),0))</f>
        <v>0</v>
      </c>
      <c r="G43" s="261"/>
      <c r="H43" s="261"/>
      <c r="I43" s="261"/>
      <c r="J43" s="261"/>
      <c r="K43" s="261"/>
      <c r="L43" s="265"/>
      <c r="M43" s="244"/>
      <c r="N43" s="245">
        <f t="shared" si="6"/>
        <v>0</v>
      </c>
      <c r="O43" s="244"/>
      <c r="P43" s="263">
        <f t="shared" ref="P43:P46" si="8">SUM(N26,N43)</f>
        <v>0</v>
      </c>
      <c r="Q43" s="236"/>
      <c r="R43" s="177"/>
      <c r="S43" s="177"/>
      <c r="T43" s="177"/>
      <c r="U43" s="177"/>
      <c r="V43" s="177"/>
      <c r="W43" s="177"/>
      <c r="X43" s="177"/>
      <c r="Y43" s="177"/>
      <c r="Z43" s="177"/>
      <c r="AA43" s="177"/>
      <c r="AB43" s="177"/>
      <c r="AC43" s="177"/>
      <c r="AD43" s="177"/>
      <c r="AE43" s="177"/>
      <c r="AF43" s="177"/>
      <c r="AG43" s="177"/>
    </row>
    <row r="44" spans="1:33" s="178" customFormat="1" ht="13" x14ac:dyDescent="0.25">
      <c r="A44" s="1055"/>
      <c r="B44" s="601">
        <f t="shared" si="7"/>
        <v>2021</v>
      </c>
      <c r="C44" s="247">
        <f>+IF($S$4="ex-ante",IF(C$37&lt;=($R$4-2),IF($B44&lt;=($R$4),T4B!G153,0),0),IF($S$4="ex-post",IF(C$37&lt;=($R$4-1),IF($B44&lt;=($R$4+1),T4B!G153,0),0),0))</f>
        <v>0</v>
      </c>
      <c r="D44" s="247">
        <f>+IF($S$4="ex-ante",IF(D$37&lt;=($R$4-2),IF($B44&lt;=($R$4),T4B!H153,0),0),IF($S$4="ex-post",IF(D$37&lt;=($R$4-1),IF($B44&lt;=($R$4+1),T4B!H153,0),0),0))</f>
        <v>0</v>
      </c>
      <c r="E44" s="247">
        <f>+IF($S$4="ex-ante",IF(E$37&lt;=($R$4-2),IF($B44&lt;=($R$4),T4B!I153,0),0),IF($S$4="ex-post",IF(E$37&lt;=($R$4-1),IF($B44&lt;=($R$4+1),T4B!I153,0),0),0))</f>
        <v>0</v>
      </c>
      <c r="F44" s="247">
        <f>+IF($S$4="ex-ante",IF(F$37&lt;=($R$4-2),IF($B44&lt;=($R$4),T4B!J153,0),0),IF($S$4="ex-post",IF(F$37&lt;=($R$4-1),IF($B44&lt;=($R$4+1),T4B!J153,0),0),0))</f>
        <v>0</v>
      </c>
      <c r="G44" s="247">
        <f>+IF($S$4="ex-ante",IF(G$37&lt;=($R$4-2),IF($B44&lt;=($R$4),T4B!K153,0),0),IF($S$4="ex-post",IF(G$37&lt;=($R$4-1),IF($B44&lt;=($R$4+1),T4B!K153,0),0),0))</f>
        <v>0</v>
      </c>
      <c r="H44" s="261"/>
      <c r="I44" s="261"/>
      <c r="J44" s="261"/>
      <c r="K44" s="261"/>
      <c r="L44" s="265"/>
      <c r="M44" s="244"/>
      <c r="N44" s="245">
        <f t="shared" si="6"/>
        <v>0</v>
      </c>
      <c r="O44" s="244"/>
      <c r="P44" s="263">
        <f t="shared" si="8"/>
        <v>0</v>
      </c>
      <c r="Q44" s="236"/>
      <c r="R44" s="177"/>
      <c r="S44" s="177"/>
      <c r="T44" s="177"/>
      <c r="U44" s="177"/>
      <c r="V44" s="177"/>
      <c r="W44" s="177"/>
      <c r="X44" s="177"/>
      <c r="Y44" s="177"/>
      <c r="Z44" s="177"/>
      <c r="AA44" s="177"/>
      <c r="AB44" s="177"/>
      <c r="AC44" s="177"/>
      <c r="AD44" s="177"/>
      <c r="AE44" s="177"/>
      <c r="AF44" s="177"/>
      <c r="AG44" s="177"/>
    </row>
    <row r="45" spans="1:33" s="178" customFormat="1" ht="13" x14ac:dyDescent="0.25">
      <c r="A45" s="1055"/>
      <c r="B45" s="601">
        <f t="shared" si="7"/>
        <v>2022</v>
      </c>
      <c r="C45" s="247">
        <f>+IF($S$4="ex-ante",IF(C$37&lt;=($R$4-2),IF($B45&lt;=($R$4),T4B!G154,0),0),IF($S$4="ex-post",IF(C$37&lt;=($R$4-1),IF($B45&lt;=($R$4+1),T4B!G154,0),0),0))</f>
        <v>0</v>
      </c>
      <c r="D45" s="247">
        <f>+IF($S$4="ex-ante",IF(D$37&lt;=($R$4-2),IF($B45&lt;=($R$4),T4B!H154,0),0),IF($S$4="ex-post",IF(D$37&lt;=($R$4-1),IF($B45&lt;=($R$4+1),T4B!H154,0),0),0))</f>
        <v>0</v>
      </c>
      <c r="E45" s="247">
        <f>+IF($S$4="ex-ante",IF(E$37&lt;=($R$4-2),IF($B45&lt;=($R$4),T4B!I154,0),0),IF($S$4="ex-post",IF(E$37&lt;=($R$4-1),IF($B45&lt;=($R$4+1),T4B!I154,0),0),0))</f>
        <v>0</v>
      </c>
      <c r="F45" s="247">
        <f>+IF($S$4="ex-ante",IF(F$37&lt;=($R$4-2),IF($B45&lt;=($R$4),T4B!J154,0),0),IF($S$4="ex-post",IF(F$37&lt;=($R$4-1),IF($B45&lt;=($R$4+1),T4B!J154,0),0),0))</f>
        <v>0</v>
      </c>
      <c r="G45" s="247">
        <f>+IF($S$4="ex-ante",IF(G$37&lt;=($R$4-2),IF($B45&lt;=($R$4),T4B!K154,0),0),IF($S$4="ex-post",IF(G$37&lt;=($R$4-1),IF($B45&lt;=($R$4+1),T4B!K154,0),0),0))</f>
        <v>0</v>
      </c>
      <c r="H45" s="247">
        <f>+IF($S$4="ex-ante",IF(H$37&lt;=($R$4-2),IF($B45&lt;=($R$4),T4B!L154,0),0),IF($S$4="ex-post",IF(H$37&lt;=($R$4-1),IF($B45&lt;=($R$4+1),T4B!L154,0),0),0))</f>
        <v>0</v>
      </c>
      <c r="I45" s="261"/>
      <c r="J45" s="261"/>
      <c r="K45" s="261"/>
      <c r="L45" s="265"/>
      <c r="M45" s="244"/>
      <c r="N45" s="245">
        <f t="shared" si="6"/>
        <v>0</v>
      </c>
      <c r="O45" s="244"/>
      <c r="P45" s="263">
        <f t="shared" si="8"/>
        <v>0</v>
      </c>
      <c r="Q45" s="236"/>
      <c r="R45" s="177"/>
      <c r="S45" s="177"/>
      <c r="T45" s="177"/>
      <c r="U45" s="177"/>
      <c r="V45" s="177"/>
      <c r="W45" s="177"/>
      <c r="X45" s="177"/>
      <c r="Y45" s="177"/>
      <c r="Z45" s="177"/>
      <c r="AA45" s="177"/>
      <c r="AB45" s="177"/>
      <c r="AC45" s="177"/>
      <c r="AD45" s="177"/>
      <c r="AE45" s="177"/>
      <c r="AF45" s="177"/>
      <c r="AG45" s="177"/>
    </row>
    <row r="46" spans="1:33" s="178" customFormat="1" ht="13" x14ac:dyDescent="0.25">
      <c r="A46" s="1055"/>
      <c r="B46" s="601">
        <f t="shared" si="7"/>
        <v>2023</v>
      </c>
      <c r="C46" s="261"/>
      <c r="D46" s="261"/>
      <c r="E46" s="261"/>
      <c r="F46" s="261"/>
      <c r="G46" s="261"/>
      <c r="H46" s="247">
        <f>+IF($S$4="ex-ante",IF(H$37&lt;=($R$4-2),IF($B46&lt;=($R$4),T4B!L155,0),0),IF($S$4="ex-post",IF(H$37&lt;=($R$4-1),IF($B46&lt;=($R$4+1),T4B!L155,0),0),0))</f>
        <v>0</v>
      </c>
      <c r="I46" s="247">
        <f>+IF($S$4="ex-ante",IF(I$37&lt;=($R$4-2),IF($B46&lt;=($R$4),T4B!M155,0),0),IF($S$4="ex-post",IF(I$37&lt;=($R$4-1),IF($B46&lt;=($R$4+1),T4B!M155,0),0),0))</f>
        <v>0</v>
      </c>
      <c r="J46" s="261"/>
      <c r="K46" s="261"/>
      <c r="L46" s="265"/>
      <c r="M46" s="244"/>
      <c r="N46" s="245">
        <f t="shared" si="6"/>
        <v>0</v>
      </c>
      <c r="O46" s="244"/>
      <c r="P46" s="263">
        <f t="shared" si="8"/>
        <v>0</v>
      </c>
      <c r="Q46" s="236"/>
      <c r="R46" s="177"/>
      <c r="S46" s="177"/>
      <c r="T46" s="177"/>
      <c r="U46" s="177"/>
      <c r="V46" s="177"/>
      <c r="W46" s="177"/>
      <c r="X46" s="177"/>
      <c r="Y46" s="177"/>
      <c r="Z46" s="177"/>
      <c r="AA46" s="177"/>
      <c r="AB46" s="177"/>
      <c r="AC46" s="177"/>
      <c r="AD46" s="177"/>
      <c r="AE46" s="177"/>
      <c r="AF46" s="177"/>
      <c r="AG46" s="177"/>
    </row>
    <row r="47" spans="1:33" s="178" customFormat="1" ht="13" x14ac:dyDescent="0.25">
      <c r="A47" s="1055"/>
      <c r="B47" s="601">
        <f t="shared" ref="B47" si="9">B30</f>
        <v>2024</v>
      </c>
      <c r="C47" s="261"/>
      <c r="D47" s="261"/>
      <c r="E47" s="261"/>
      <c r="F47" s="261"/>
      <c r="G47" s="261"/>
      <c r="H47" s="261"/>
      <c r="I47" s="247">
        <f>+IF($S$4="ex-ante",IF(I$37&lt;=($R$4-2),IF($B47&lt;=($R$4),T4B!M156,0),0),IF($S$4="ex-post",IF(I$37&lt;=($R$4-1),IF($B47&lt;=($R$4+1),T4B!M156,0),0),0))</f>
        <v>0</v>
      </c>
      <c r="J47" s="247">
        <f>+IF($S$4="ex-ante",IF(J$37&lt;=($R$4-2),IF($B47&lt;=($R$4),T4B!N156,0),0),IF($S$4="ex-post",IF(J$37&lt;=($R$4-1),IF($B47&lt;=($R$4+1),T4B!N156,0),0),0))</f>
        <v>0</v>
      </c>
      <c r="K47" s="261"/>
      <c r="L47" s="265"/>
      <c r="M47" s="244"/>
      <c r="N47" s="245">
        <f t="shared" si="6"/>
        <v>0</v>
      </c>
      <c r="O47" s="244"/>
      <c r="P47" s="263">
        <f t="shared" ref="P47" si="10">SUM(N30,N47)</f>
        <v>0</v>
      </c>
      <c r="Q47" s="236"/>
      <c r="R47" s="177"/>
      <c r="S47" s="177"/>
      <c r="T47" s="177"/>
      <c r="U47" s="177"/>
      <c r="V47" s="177"/>
      <c r="W47" s="177"/>
      <c r="X47" s="177"/>
      <c r="Y47" s="177"/>
      <c r="Z47" s="177"/>
      <c r="AA47" s="177"/>
      <c r="AB47" s="177"/>
      <c r="AC47" s="177"/>
      <c r="AD47" s="177"/>
      <c r="AE47" s="177"/>
      <c r="AF47" s="177"/>
      <c r="AG47" s="177"/>
    </row>
    <row r="48" spans="1:33" s="256" customFormat="1" ht="15.5" x14ac:dyDescent="0.25">
      <c r="A48" s="1056"/>
      <c r="B48" s="602" t="s">
        <v>22</v>
      </c>
      <c r="C48" s="327">
        <f t="shared" ref="C48:L48" si="11">SUM(C38:C47)</f>
        <v>0</v>
      </c>
      <c r="D48" s="327">
        <f t="shared" si="11"/>
        <v>0</v>
      </c>
      <c r="E48" s="327">
        <f t="shared" si="11"/>
        <v>0</v>
      </c>
      <c r="F48" s="327">
        <f>SUM(F38:F47)</f>
        <v>0</v>
      </c>
      <c r="G48" s="327">
        <f t="shared" si="11"/>
        <v>0</v>
      </c>
      <c r="H48" s="327">
        <f t="shared" si="11"/>
        <v>0</v>
      </c>
      <c r="I48" s="327">
        <f t="shared" si="11"/>
        <v>0</v>
      </c>
      <c r="J48" s="327">
        <f t="shared" si="11"/>
        <v>0</v>
      </c>
      <c r="K48" s="327">
        <f t="shared" si="11"/>
        <v>0</v>
      </c>
      <c r="L48" s="327">
        <f t="shared" si="11"/>
        <v>0</v>
      </c>
      <c r="M48" s="244"/>
      <c r="N48" s="254">
        <f>SUM(N38:N47)</f>
        <v>0</v>
      </c>
      <c r="O48" s="253"/>
      <c r="P48" s="254">
        <f>SUM(P38:P47)</f>
        <v>0</v>
      </c>
      <c r="Q48" s="255"/>
      <c r="R48" s="255"/>
      <c r="S48" s="255"/>
      <c r="T48" s="255"/>
      <c r="U48" s="255"/>
      <c r="V48" s="255"/>
      <c r="W48" s="255"/>
      <c r="X48" s="255"/>
      <c r="Y48" s="255"/>
      <c r="Z48" s="255"/>
      <c r="AA48" s="255"/>
      <c r="AB48" s="255"/>
      <c r="AC48" s="255"/>
      <c r="AD48" s="255"/>
      <c r="AE48" s="255"/>
      <c r="AF48" s="255"/>
      <c r="AG48" s="255"/>
    </row>
    <row r="49" spans="1:33" x14ac:dyDescent="0.25">
      <c r="A49" s="603"/>
      <c r="B49" s="603"/>
      <c r="M49" s="244"/>
    </row>
    <row r="51" spans="1:33" ht="13" thickBot="1" x14ac:dyDescent="0.3"/>
    <row r="52" spans="1:33" s="178" customFormat="1" ht="22.5" customHeight="1" thickBot="1" x14ac:dyDescent="0.3">
      <c r="A52" s="1064" t="s">
        <v>142</v>
      </c>
      <c r="B52" s="1065"/>
      <c r="C52" s="1065"/>
      <c r="D52" s="1065"/>
      <c r="E52" s="1065"/>
      <c r="F52" s="1065"/>
      <c r="G52" s="1065"/>
      <c r="H52" s="1065"/>
      <c r="I52" s="1065"/>
      <c r="J52" s="1065"/>
      <c r="K52" s="1065"/>
      <c r="L52" s="1065"/>
      <c r="M52" s="1065"/>
      <c r="N52" s="1066"/>
      <c r="P52" s="177"/>
      <c r="Q52" s="177"/>
      <c r="R52" s="177"/>
      <c r="S52" s="177"/>
      <c r="T52" s="177"/>
      <c r="U52" s="177"/>
      <c r="V52" s="177"/>
      <c r="W52" s="177"/>
      <c r="X52" s="177"/>
      <c r="Y52" s="177"/>
      <c r="Z52" s="177"/>
      <c r="AA52" s="177"/>
      <c r="AB52" s="177"/>
      <c r="AC52" s="177"/>
      <c r="AD52" s="177"/>
      <c r="AE52" s="177"/>
      <c r="AF52" s="177"/>
      <c r="AG52" s="177"/>
    </row>
    <row r="54" spans="1:33" ht="13" x14ac:dyDescent="0.25">
      <c r="C54" s="233" t="s">
        <v>131</v>
      </c>
    </row>
    <row r="55" spans="1:33" ht="13" x14ac:dyDescent="0.25">
      <c r="C55" s="233" t="s">
        <v>30</v>
      </c>
    </row>
    <row r="56" spans="1:33" ht="16.5" x14ac:dyDescent="0.25">
      <c r="C56" s="1048" t="s">
        <v>19</v>
      </c>
      <c r="D56" s="1049"/>
      <c r="E56" s="1049"/>
      <c r="F56" s="1049"/>
      <c r="G56" s="1049"/>
      <c r="H56" s="1049"/>
      <c r="I56" s="1049"/>
      <c r="J56" s="1049"/>
      <c r="K56" s="1049"/>
      <c r="L56" s="1050"/>
    </row>
    <row r="57" spans="1:33" x14ac:dyDescent="0.25">
      <c r="C57" s="239">
        <f t="shared" ref="C57:L57" si="12">C37</f>
        <v>2015</v>
      </c>
      <c r="D57" s="239">
        <f t="shared" si="12"/>
        <v>2016</v>
      </c>
      <c r="E57" s="239">
        <f t="shared" si="12"/>
        <v>2017</v>
      </c>
      <c r="F57" s="239">
        <f t="shared" si="12"/>
        <v>2018</v>
      </c>
      <c r="G57" s="239">
        <f t="shared" si="12"/>
        <v>2019</v>
      </c>
      <c r="H57" s="239">
        <f t="shared" si="12"/>
        <v>2020</v>
      </c>
      <c r="I57" s="239">
        <f t="shared" si="12"/>
        <v>2021</v>
      </c>
      <c r="J57" s="239">
        <f t="shared" si="12"/>
        <v>2022</v>
      </c>
      <c r="K57" s="239">
        <f t="shared" si="12"/>
        <v>2023</v>
      </c>
      <c r="L57" s="239">
        <f t="shared" si="12"/>
        <v>2024</v>
      </c>
      <c r="N57" s="93" t="s">
        <v>20</v>
      </c>
    </row>
    <row r="58" spans="1:33" x14ac:dyDescent="0.25">
      <c r="A58" s="1051" t="s">
        <v>358</v>
      </c>
      <c r="B58" s="267">
        <f>B38</f>
        <v>2015</v>
      </c>
      <c r="C58" s="247">
        <f>+C21</f>
        <v>0</v>
      </c>
      <c r="D58" s="268"/>
      <c r="E58" s="261"/>
      <c r="F58" s="261"/>
      <c r="G58" s="261"/>
      <c r="H58" s="261"/>
      <c r="I58" s="261"/>
      <c r="J58" s="261"/>
      <c r="K58" s="261"/>
      <c r="L58" s="262"/>
      <c r="N58" s="269">
        <f t="shared" ref="N58:N67" si="13">SUM(C58:L58)</f>
        <v>0</v>
      </c>
    </row>
    <row r="59" spans="1:33" x14ac:dyDescent="0.25">
      <c r="A59" s="1052"/>
      <c r="B59" s="239">
        <f>B39</f>
        <v>2016</v>
      </c>
      <c r="C59" s="247">
        <f>+C58+C39+C22</f>
        <v>0</v>
      </c>
      <c r="D59" s="247">
        <f>+D22</f>
        <v>0</v>
      </c>
      <c r="E59" s="270"/>
      <c r="F59" s="270"/>
      <c r="G59" s="270"/>
      <c r="H59" s="270"/>
      <c r="I59" s="270"/>
      <c r="J59" s="270"/>
      <c r="K59" s="270"/>
      <c r="L59" s="271"/>
      <c r="N59" s="269">
        <f t="shared" si="13"/>
        <v>0</v>
      </c>
    </row>
    <row r="60" spans="1:33" x14ac:dyDescent="0.25">
      <c r="A60" s="1052"/>
      <c r="B60" s="239">
        <f>B40</f>
        <v>2017</v>
      </c>
      <c r="C60" s="247">
        <f>+C59+C40+C23</f>
        <v>0</v>
      </c>
      <c r="D60" s="247">
        <f>+D59+D40+D23</f>
        <v>0</v>
      </c>
      <c r="E60" s="247">
        <f>+E23</f>
        <v>0</v>
      </c>
      <c r="F60" s="270"/>
      <c r="G60" s="270"/>
      <c r="H60" s="270"/>
      <c r="I60" s="270"/>
      <c r="J60" s="270"/>
      <c r="K60" s="270"/>
      <c r="L60" s="271"/>
      <c r="N60" s="269">
        <f t="shared" si="13"/>
        <v>0</v>
      </c>
    </row>
    <row r="61" spans="1:33" x14ac:dyDescent="0.25">
      <c r="A61" s="1052"/>
      <c r="B61" s="239">
        <f>B41</f>
        <v>2018</v>
      </c>
      <c r="C61" s="247">
        <f>+C60+C41+C24</f>
        <v>0</v>
      </c>
      <c r="D61" s="247">
        <f>+D60+D41+D24</f>
        <v>0</v>
      </c>
      <c r="E61" s="247">
        <f>+E60+E41+E24</f>
        <v>0</v>
      </c>
      <c r="F61" s="247">
        <f>+F24</f>
        <v>0</v>
      </c>
      <c r="G61" s="270"/>
      <c r="H61" s="270"/>
      <c r="I61" s="270"/>
      <c r="J61" s="270"/>
      <c r="K61" s="270"/>
      <c r="L61" s="271"/>
      <c r="N61" s="269">
        <f t="shared" si="13"/>
        <v>0</v>
      </c>
    </row>
    <row r="62" spans="1:33" x14ac:dyDescent="0.25">
      <c r="A62" s="1052"/>
      <c r="B62" s="239">
        <f>B42</f>
        <v>2019</v>
      </c>
      <c r="C62" s="247">
        <f>+C61+C42+C25</f>
        <v>0</v>
      </c>
      <c r="D62" s="247">
        <f>+D61+D42+D25</f>
        <v>0</v>
      </c>
      <c r="E62" s="247">
        <f>+E61+E42+E25</f>
        <v>0</v>
      </c>
      <c r="F62" s="247">
        <f>+F61+F42+F25</f>
        <v>0</v>
      </c>
      <c r="G62" s="247">
        <f>+G25</f>
        <v>0</v>
      </c>
      <c r="H62" s="270"/>
      <c r="I62" s="270"/>
      <c r="J62" s="270"/>
      <c r="K62" s="270"/>
      <c r="L62" s="271"/>
      <c r="N62" s="269">
        <f t="shared" si="13"/>
        <v>0</v>
      </c>
    </row>
    <row r="63" spans="1:33" x14ac:dyDescent="0.25">
      <c r="A63" s="1052"/>
      <c r="B63" s="267">
        <f t="shared" ref="B63:B66" si="14">B43</f>
        <v>2020</v>
      </c>
      <c r="C63" s="247">
        <f t="shared" ref="C63:G63" si="15">+C62+C43+C26</f>
        <v>0</v>
      </c>
      <c r="D63" s="247">
        <f t="shared" si="15"/>
        <v>0</v>
      </c>
      <c r="E63" s="247">
        <f t="shared" si="15"/>
        <v>0</v>
      </c>
      <c r="F63" s="247">
        <f t="shared" si="15"/>
        <v>0</v>
      </c>
      <c r="G63" s="247">
        <f t="shared" si="15"/>
        <v>0</v>
      </c>
      <c r="H63" s="247">
        <f t="shared" ref="H63:J65" si="16">+H26</f>
        <v>0</v>
      </c>
      <c r="I63" s="270"/>
      <c r="J63" s="270"/>
      <c r="K63" s="270"/>
      <c r="L63" s="271"/>
      <c r="N63" s="269">
        <f t="shared" si="13"/>
        <v>0</v>
      </c>
    </row>
    <row r="64" spans="1:33" x14ac:dyDescent="0.25">
      <c r="A64" s="1052"/>
      <c r="B64" s="267">
        <f t="shared" si="14"/>
        <v>2021</v>
      </c>
      <c r="C64" s="247">
        <f t="shared" ref="C64:H64" si="17">+C63+C44+C27</f>
        <v>0</v>
      </c>
      <c r="D64" s="247">
        <f t="shared" si="17"/>
        <v>0</v>
      </c>
      <c r="E64" s="247">
        <f t="shared" si="17"/>
        <v>0</v>
      </c>
      <c r="F64" s="247">
        <f t="shared" si="17"/>
        <v>0</v>
      </c>
      <c r="G64" s="247">
        <f t="shared" si="17"/>
        <v>0</v>
      </c>
      <c r="H64" s="247">
        <f t="shared" si="17"/>
        <v>0</v>
      </c>
      <c r="I64" s="247">
        <f t="shared" si="16"/>
        <v>0</v>
      </c>
      <c r="J64" s="270"/>
      <c r="K64" s="270"/>
      <c r="L64" s="271"/>
      <c r="N64" s="269">
        <f t="shared" si="13"/>
        <v>0</v>
      </c>
    </row>
    <row r="65" spans="1:14" x14ac:dyDescent="0.25">
      <c r="A65" s="1052"/>
      <c r="B65" s="267">
        <f t="shared" si="14"/>
        <v>2022</v>
      </c>
      <c r="C65" s="247">
        <f t="shared" ref="C65:K67" si="18">+C64+C45+C28</f>
        <v>0</v>
      </c>
      <c r="D65" s="247">
        <f t="shared" si="18"/>
        <v>0</v>
      </c>
      <c r="E65" s="247">
        <f t="shared" si="18"/>
        <v>0</v>
      </c>
      <c r="F65" s="247">
        <f t="shared" si="18"/>
        <v>0</v>
      </c>
      <c r="G65" s="247">
        <f t="shared" si="18"/>
        <v>0</v>
      </c>
      <c r="H65" s="247">
        <f t="shared" si="18"/>
        <v>0</v>
      </c>
      <c r="I65" s="247">
        <f t="shared" si="18"/>
        <v>0</v>
      </c>
      <c r="J65" s="247">
        <f t="shared" si="16"/>
        <v>0</v>
      </c>
      <c r="K65" s="270"/>
      <c r="L65" s="271"/>
      <c r="N65" s="269">
        <f t="shared" si="13"/>
        <v>0</v>
      </c>
    </row>
    <row r="66" spans="1:14" x14ac:dyDescent="0.25">
      <c r="A66" s="1052"/>
      <c r="B66" s="267">
        <f t="shared" si="14"/>
        <v>2023</v>
      </c>
      <c r="C66" s="283"/>
      <c r="D66" s="270"/>
      <c r="E66" s="270"/>
      <c r="F66" s="270"/>
      <c r="G66" s="270"/>
      <c r="H66" s="247">
        <f t="shared" si="18"/>
        <v>0</v>
      </c>
      <c r="I66" s="247">
        <f t="shared" si="18"/>
        <v>0</v>
      </c>
      <c r="J66" s="247">
        <f t="shared" si="18"/>
        <v>0</v>
      </c>
      <c r="K66" s="247">
        <f>+K29</f>
        <v>0</v>
      </c>
      <c r="L66" s="271"/>
      <c r="N66" s="269">
        <f t="shared" si="13"/>
        <v>0</v>
      </c>
    </row>
    <row r="67" spans="1:14" x14ac:dyDescent="0.25">
      <c r="A67" s="1053"/>
      <c r="B67" s="239">
        <f t="shared" ref="B67" si="19">B47</f>
        <v>2024</v>
      </c>
      <c r="C67" s="284"/>
      <c r="D67" s="285"/>
      <c r="E67" s="285"/>
      <c r="F67" s="285"/>
      <c r="G67" s="285"/>
      <c r="H67" s="285"/>
      <c r="I67" s="247">
        <f t="shared" si="18"/>
        <v>0</v>
      </c>
      <c r="J67" s="247">
        <f t="shared" si="18"/>
        <v>0</v>
      </c>
      <c r="K67" s="247">
        <f t="shared" si="18"/>
        <v>0</v>
      </c>
      <c r="L67" s="247">
        <f>+L30</f>
        <v>0</v>
      </c>
      <c r="N67" s="269">
        <f t="shared" si="13"/>
        <v>0</v>
      </c>
    </row>
    <row r="68" spans="1:14" ht="13" x14ac:dyDescent="0.25">
      <c r="C68" s="233"/>
    </row>
    <row r="69" spans="1:14" ht="13" x14ac:dyDescent="0.25">
      <c r="C69" s="233"/>
    </row>
  </sheetData>
  <sheetProtection algorithmName="SHA-512" hashValue="8uAO8L2dtrHBu6tTF4BiTP0L+iemxsjpZ0LC8+FGI4ORReJ9f29H9PLF/FplGCksWuygz0am698ilCIWds8Xnw==" saltValue="1paZ4r2FpLAs6AS//v1c3Q==" spinCount="100000" sheet="1" objects="1" scenarios="1"/>
  <customSheetViews>
    <customSheetView guid="{C8C7977F-B6BF-432B-A1A7-559450D521AF}" scale="80">
      <selection activeCell="C25" sqref="C25"/>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15">
    <mergeCell ref="A1:P1"/>
    <mergeCell ref="A4:N4"/>
    <mergeCell ref="C8:L8"/>
    <mergeCell ref="A15:N15"/>
    <mergeCell ref="O15:P15"/>
    <mergeCell ref="C6:L6"/>
    <mergeCell ref="C7:L7"/>
    <mergeCell ref="C56:L56"/>
    <mergeCell ref="A58:A67"/>
    <mergeCell ref="C36:L36"/>
    <mergeCell ref="A38:A48"/>
    <mergeCell ref="C19:L19"/>
    <mergeCell ref="A20:B20"/>
    <mergeCell ref="A21:A31"/>
    <mergeCell ref="A52:N52"/>
  </mergeCells>
  <pageMargins left="0.78740157480314965" right="0.78740157480314965" top="0.98425196850393704" bottom="0.98425196850393704" header="0.51181102362204722" footer="0.51181102362204722"/>
  <pageSetup paperSize="8" scale="88" orientation="landscape" r:id="rId2"/>
  <headerFooter alignWithMargins="0">
    <oddFooter>&amp;CPage &amp;P</oddFooter>
  </headerFooter>
  <ignoredErrors>
    <ignoredError sqref="N37 P37" numberStoredAsText="1"/>
    <ignoredError sqref="L48 C48:G48 N38:N42"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6"/>
  <dimension ref="A1:V911"/>
  <sheetViews>
    <sheetView zoomScale="80" zoomScaleNormal="80" workbookViewId="0">
      <selection activeCell="C371" sqref="C371"/>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6" width="30.7265625" style="166" customWidth="1"/>
    <col min="17" max="17" width="2.1796875" style="203" customWidth="1"/>
    <col min="18" max="18" width="30.7265625" style="166" customWidth="1"/>
    <col min="19" max="16384" width="9.1796875" style="166"/>
  </cols>
  <sheetData>
    <row r="1" spans="1:22" ht="25.5" customHeight="1" thickBot="1" x14ac:dyDescent="0.3">
      <c r="A1" s="1007" t="s">
        <v>345</v>
      </c>
      <c r="B1" s="1008"/>
      <c r="C1" s="1008"/>
      <c r="D1" s="1008"/>
      <c r="E1" s="1008"/>
      <c r="F1" s="1008"/>
      <c r="G1" s="1008"/>
      <c r="H1" s="1008"/>
      <c r="I1" s="1008"/>
      <c r="J1" s="1009"/>
      <c r="K1" s="287"/>
      <c r="L1" s="288"/>
      <c r="M1" s="288"/>
      <c r="N1" s="288"/>
      <c r="O1" s="288"/>
      <c r="P1" s="288"/>
      <c r="Q1" s="288"/>
      <c r="S1" s="289"/>
      <c r="T1" s="289"/>
      <c r="U1" s="289"/>
      <c r="V1" s="289"/>
    </row>
    <row r="2" spans="1:22" ht="13" x14ac:dyDescent="0.25">
      <c r="B2" s="203" t="str">
        <f>+TITELBLAD!B16</f>
        <v>Rapportering over boekjaar:</v>
      </c>
      <c r="C2" s="203"/>
      <c r="D2" s="203">
        <f>+TITELBLAD!E16</f>
        <v>2022</v>
      </c>
      <c r="E2" s="203" t="str">
        <f>+TITELBLAD!F16</f>
        <v>ex-post</v>
      </c>
      <c r="F2" s="291"/>
      <c r="G2" s="291"/>
      <c r="H2" s="290"/>
      <c r="I2" s="226"/>
      <c r="J2" s="225"/>
      <c r="K2" s="226"/>
      <c r="L2" s="226"/>
      <c r="M2" s="226"/>
      <c r="N2" s="226"/>
      <c r="O2" s="226"/>
      <c r="P2" s="226"/>
      <c r="Q2" s="291"/>
      <c r="R2" s="226"/>
    </row>
    <row r="3" spans="1:22" ht="13.5" thickBot="1" x14ac:dyDescent="0.3">
      <c r="B3" s="292" t="s">
        <v>15</v>
      </c>
      <c r="H3" s="233"/>
      <c r="I3" s="225"/>
      <c r="J3" s="225"/>
      <c r="K3" s="226"/>
      <c r="L3" s="226"/>
      <c r="M3" s="226"/>
      <c r="N3" s="226"/>
      <c r="O3" s="226"/>
      <c r="P3" s="226"/>
      <c r="Q3" s="291"/>
      <c r="R3" s="226"/>
    </row>
    <row r="4" spans="1:22" ht="13.5" thickBot="1" x14ac:dyDescent="0.3">
      <c r="B4" s="1025" t="str">
        <f>+TITELBLAD!C7</f>
        <v>NAAM DNB</v>
      </c>
      <c r="C4" s="1026"/>
      <c r="D4" s="1026"/>
      <c r="E4" s="1027"/>
      <c r="H4" s="233"/>
      <c r="I4" s="225"/>
      <c r="J4" s="225"/>
      <c r="K4" s="226"/>
      <c r="L4" s="226"/>
      <c r="M4" s="226"/>
      <c r="N4" s="226"/>
      <c r="O4" s="226"/>
      <c r="P4" s="226"/>
      <c r="Q4" s="291"/>
      <c r="R4" s="226"/>
    </row>
    <row r="5" spans="1:22" ht="13" x14ac:dyDescent="0.25">
      <c r="H5" s="233"/>
      <c r="I5" s="225"/>
      <c r="J5" s="225"/>
      <c r="K5" s="226"/>
      <c r="L5" s="226"/>
      <c r="M5" s="226"/>
      <c r="N5" s="226"/>
      <c r="O5" s="226"/>
      <c r="P5" s="226"/>
      <c r="Q5" s="291"/>
      <c r="R5" s="226"/>
    </row>
    <row r="6" spans="1:22" ht="13.5" thickBot="1" x14ac:dyDescent="0.3">
      <c r="B6" s="292" t="s">
        <v>16</v>
      </c>
      <c r="H6" s="233"/>
      <c r="I6" s="225"/>
      <c r="J6" s="225"/>
      <c r="K6" s="226"/>
      <c r="L6" s="226"/>
      <c r="M6" s="226"/>
      <c r="N6" s="226"/>
      <c r="O6" s="226"/>
      <c r="P6" s="226"/>
      <c r="Q6" s="291"/>
      <c r="R6" s="226"/>
    </row>
    <row r="7" spans="1:22" ht="13.5" thickBot="1" x14ac:dyDescent="0.3">
      <c r="B7" s="1028" t="str">
        <f>+TITELBLAD!C10</f>
        <v>elektriciteit</v>
      </c>
      <c r="C7" s="1029"/>
      <c r="D7" s="1029"/>
      <c r="E7" s="1030"/>
      <c r="H7" s="233"/>
      <c r="I7" s="225"/>
      <c r="J7" s="225"/>
      <c r="K7" s="226"/>
      <c r="L7" s="226"/>
      <c r="M7" s="226"/>
      <c r="N7" s="226"/>
      <c r="O7" s="226"/>
      <c r="P7" s="226"/>
      <c r="Q7" s="291"/>
      <c r="R7" s="226"/>
    </row>
    <row r="8" spans="1:22" ht="13" x14ac:dyDescent="0.25">
      <c r="H8" s="233"/>
      <c r="I8" s="225"/>
      <c r="J8" s="225"/>
      <c r="K8" s="226"/>
      <c r="L8" s="226"/>
      <c r="M8" s="226"/>
      <c r="N8" s="226"/>
      <c r="O8" s="226"/>
      <c r="P8" s="226"/>
      <c r="Q8" s="291"/>
      <c r="R8" s="226"/>
    </row>
    <row r="9" spans="1:22" x14ac:dyDescent="0.25">
      <c r="K9" s="291"/>
      <c r="L9" s="291"/>
      <c r="M9" s="291"/>
      <c r="N9" s="291"/>
      <c r="O9" s="291"/>
      <c r="P9" s="291"/>
      <c r="Q9" s="291"/>
      <c r="R9" s="291"/>
    </row>
    <row r="10" spans="1:22" x14ac:dyDescent="0.25">
      <c r="K10" s="291"/>
      <c r="L10" s="291"/>
      <c r="M10" s="291"/>
      <c r="N10" s="291"/>
      <c r="O10" s="291"/>
      <c r="P10" s="291"/>
      <c r="Q10" s="291"/>
      <c r="R10" s="291"/>
    </row>
    <row r="11" spans="1:22" x14ac:dyDescent="0.25">
      <c r="G11" s="293" t="s">
        <v>41</v>
      </c>
      <c r="H11" s="294"/>
      <c r="I11" s="295"/>
      <c r="K11" s="291"/>
      <c r="L11" s="291"/>
      <c r="M11" s="291"/>
      <c r="N11" s="291"/>
      <c r="O11" s="291"/>
      <c r="P11" s="291"/>
      <c r="Q11" s="291"/>
      <c r="R11" s="291"/>
    </row>
    <row r="12" spans="1:22" x14ac:dyDescent="0.25">
      <c r="G12" s="236" t="s">
        <v>133</v>
      </c>
      <c r="H12" s="294"/>
      <c r="I12" s="295"/>
    </row>
    <row r="13" spans="1:22" ht="60" customHeight="1" x14ac:dyDescent="0.25">
      <c r="B13" s="1078" t="s">
        <v>346</v>
      </c>
      <c r="C13" s="1079"/>
      <c r="D13" s="1079"/>
      <c r="E13" s="1080"/>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5">
      <c r="B14" s="297"/>
      <c r="C14" s="297"/>
      <c r="D14" s="297"/>
      <c r="E14" s="297"/>
      <c r="F14" s="298"/>
      <c r="G14" s="299"/>
      <c r="H14" s="220"/>
      <c r="I14" s="220"/>
      <c r="Q14" s="300"/>
    </row>
    <row r="15" spans="1:22" ht="24" customHeight="1" x14ac:dyDescent="0.25">
      <c r="B15" s="1099" t="s">
        <v>201</v>
      </c>
      <c r="C15" s="1099"/>
      <c r="D15" s="1099"/>
      <c r="E15" s="1099"/>
      <c r="F15" s="167"/>
      <c r="G15" s="207">
        <v>0</v>
      </c>
      <c r="H15" s="207">
        <v>0</v>
      </c>
      <c r="I15" s="207">
        <v>0</v>
      </c>
      <c r="J15" s="207">
        <v>0</v>
      </c>
      <c r="K15" s="207">
        <v>0</v>
      </c>
      <c r="L15" s="207">
        <v>0</v>
      </c>
      <c r="M15" s="207">
        <v>0</v>
      </c>
      <c r="N15" s="207">
        <v>0</v>
      </c>
      <c r="O15" s="207">
        <v>0</v>
      </c>
      <c r="P15" s="207">
        <v>0</v>
      </c>
      <c r="R15" s="803">
        <f>SUM(G15:P15)</f>
        <v>0</v>
      </c>
    </row>
    <row r="16" spans="1:22" ht="24" customHeight="1" x14ac:dyDescent="0.25">
      <c r="B16" s="1099" t="s">
        <v>347</v>
      </c>
      <c r="C16" s="1099"/>
      <c r="D16" s="1099"/>
      <c r="E16" s="1099"/>
      <c r="F16" s="167"/>
      <c r="G16" s="335"/>
      <c r="H16" s="335"/>
      <c r="I16" s="335"/>
      <c r="J16" s="335"/>
      <c r="K16" s="335"/>
      <c r="L16" s="335"/>
      <c r="M16" s="335"/>
      <c r="N16" s="207">
        <v>0</v>
      </c>
      <c r="O16" s="207">
        <v>0</v>
      </c>
      <c r="P16" s="207">
        <v>0</v>
      </c>
      <c r="R16" s="803">
        <f>SUM(N16:P16)</f>
        <v>0</v>
      </c>
    </row>
    <row r="17" spans="2:18" ht="24" customHeight="1" x14ac:dyDescent="0.25">
      <c r="B17" s="1099" t="s">
        <v>66</v>
      </c>
      <c r="C17" s="1099"/>
      <c r="D17" s="1099"/>
      <c r="E17" s="1099"/>
      <c r="F17" s="167"/>
      <c r="G17" s="207">
        <v>0</v>
      </c>
      <c r="H17" s="207">
        <v>0</v>
      </c>
      <c r="I17" s="207">
        <v>0</v>
      </c>
      <c r="J17" s="207">
        <v>0</v>
      </c>
      <c r="K17" s="207">
        <v>0</v>
      </c>
      <c r="L17" s="207">
        <v>0</v>
      </c>
      <c r="M17" s="207">
        <v>0</v>
      </c>
      <c r="N17" s="207">
        <v>0</v>
      </c>
      <c r="O17" s="207">
        <v>0</v>
      </c>
      <c r="P17" s="207">
        <v>0</v>
      </c>
      <c r="R17" s="803">
        <f t="shared" ref="R17:R20" si="1">SUM(G17:P17)</f>
        <v>0</v>
      </c>
    </row>
    <row r="18" spans="2:18" ht="24" customHeight="1" x14ac:dyDescent="0.25">
      <c r="B18" s="1099" t="s">
        <v>350</v>
      </c>
      <c r="C18" s="1099"/>
      <c r="D18" s="1099"/>
      <c r="E18" s="1099"/>
      <c r="F18" s="167"/>
      <c r="G18" s="207">
        <v>0</v>
      </c>
      <c r="H18" s="207">
        <v>0</v>
      </c>
      <c r="I18" s="207">
        <v>0</v>
      </c>
      <c r="J18" s="207">
        <v>0</v>
      </c>
      <c r="K18" s="207">
        <v>0</v>
      </c>
      <c r="L18" s="207">
        <v>0</v>
      </c>
      <c r="M18" s="335"/>
      <c r="N18" s="335"/>
      <c r="O18" s="335"/>
      <c r="P18" s="335"/>
      <c r="R18" s="803">
        <f>SUM(G18:L18)</f>
        <v>0</v>
      </c>
    </row>
    <row r="19" spans="2:18" ht="24" customHeight="1" x14ac:dyDescent="0.25">
      <c r="B19" s="1099" t="s">
        <v>169</v>
      </c>
      <c r="C19" s="1099"/>
      <c r="D19" s="1099"/>
      <c r="E19" s="1099"/>
      <c r="F19" s="167"/>
      <c r="G19" s="207">
        <v>0</v>
      </c>
      <c r="H19" s="207">
        <v>0</v>
      </c>
      <c r="I19" s="207">
        <v>0</v>
      </c>
      <c r="J19" s="207">
        <v>0</v>
      </c>
      <c r="K19" s="207">
        <v>0</v>
      </c>
      <c r="L19" s="207">
        <v>0</v>
      </c>
      <c r="M19" s="335"/>
      <c r="N19" s="335"/>
      <c r="O19" s="335"/>
      <c r="P19" s="335"/>
      <c r="R19" s="803">
        <f>SUM(G19:L19)</f>
        <v>0</v>
      </c>
    </row>
    <row r="20" spans="2:18" ht="24" customHeight="1" x14ac:dyDescent="0.25">
      <c r="B20" s="1099" t="s">
        <v>67</v>
      </c>
      <c r="C20" s="1099"/>
      <c r="D20" s="1099"/>
      <c r="E20" s="1099"/>
      <c r="F20" s="167"/>
      <c r="G20" s="207">
        <v>0</v>
      </c>
      <c r="H20" s="207">
        <v>0</v>
      </c>
      <c r="I20" s="207">
        <v>0</v>
      </c>
      <c r="J20" s="207">
        <v>0</v>
      </c>
      <c r="K20" s="207">
        <v>0</v>
      </c>
      <c r="L20" s="207">
        <v>0</v>
      </c>
      <c r="M20" s="207">
        <v>0</v>
      </c>
      <c r="N20" s="207">
        <v>0</v>
      </c>
      <c r="O20" s="207">
        <v>0</v>
      </c>
      <c r="P20" s="207">
        <v>0</v>
      </c>
      <c r="R20" s="803">
        <f t="shared" si="1"/>
        <v>0</v>
      </c>
    </row>
    <row r="21" spans="2:18" ht="24" customHeight="1" x14ac:dyDescent="0.25">
      <c r="B21" s="1099" t="s">
        <v>96</v>
      </c>
      <c r="C21" s="1099"/>
      <c r="D21" s="1099"/>
      <c r="E21" s="1099"/>
      <c r="F21" s="167"/>
      <c r="G21" s="207">
        <v>0</v>
      </c>
      <c r="H21" s="207">
        <v>0</v>
      </c>
      <c r="I21" s="207">
        <v>0</v>
      </c>
      <c r="J21" s="207">
        <v>0</v>
      </c>
      <c r="K21" s="207">
        <v>0</v>
      </c>
      <c r="L21" s="207">
        <v>0</v>
      </c>
      <c r="M21" s="207">
        <v>0</v>
      </c>
      <c r="N21" s="335"/>
      <c r="O21" s="335"/>
      <c r="P21" s="335"/>
      <c r="R21" s="803">
        <f>SUM(G21:M21)</f>
        <v>0</v>
      </c>
    </row>
    <row r="22" spans="2:18" ht="24" customHeight="1" x14ac:dyDescent="0.25">
      <c r="B22" s="1099" t="s">
        <v>357</v>
      </c>
      <c r="C22" s="1099"/>
      <c r="D22" s="1099"/>
      <c r="E22" s="1099"/>
      <c r="F22" s="167"/>
      <c r="G22" s="207">
        <v>0</v>
      </c>
      <c r="H22" s="207">
        <v>0</v>
      </c>
      <c r="I22" s="207">
        <v>0</v>
      </c>
      <c r="J22" s="207">
        <v>0</v>
      </c>
      <c r="K22" s="207">
        <v>0</v>
      </c>
      <c r="L22" s="207">
        <v>0</v>
      </c>
      <c r="M22" s="207">
        <v>0</v>
      </c>
      <c r="N22" s="207">
        <v>0</v>
      </c>
      <c r="O22" s="207">
        <v>0</v>
      </c>
      <c r="P22" s="207">
        <v>0</v>
      </c>
      <c r="R22" s="803">
        <f t="shared" ref="R22" si="2">SUM(G22:P22)</f>
        <v>0</v>
      </c>
    </row>
    <row r="23" spans="2:18" ht="24" customHeight="1" x14ac:dyDescent="0.25">
      <c r="B23" s="1099" t="s">
        <v>349</v>
      </c>
      <c r="C23" s="1099"/>
      <c r="D23" s="1099"/>
      <c r="E23" s="1099"/>
      <c r="F23" s="167"/>
      <c r="G23" s="207">
        <v>0</v>
      </c>
      <c r="H23" s="207">
        <v>0</v>
      </c>
      <c r="I23" s="207">
        <v>0</v>
      </c>
      <c r="J23" s="207">
        <v>0</v>
      </c>
      <c r="K23" s="207">
        <v>0</v>
      </c>
      <c r="L23" s="207">
        <v>0</v>
      </c>
      <c r="M23" s="207">
        <v>0</v>
      </c>
      <c r="N23" s="335"/>
      <c r="O23" s="335"/>
      <c r="P23" s="335"/>
      <c r="R23" s="803">
        <f>SUM(G23:M23)</f>
        <v>0</v>
      </c>
    </row>
    <row r="24" spans="2:18" ht="24" customHeight="1" x14ac:dyDescent="0.25">
      <c r="B24" s="1100" t="s">
        <v>352</v>
      </c>
      <c r="C24" s="1101"/>
      <c r="D24" s="1101"/>
      <c r="E24" s="1102"/>
      <c r="F24" s="167"/>
      <c r="G24" s="335"/>
      <c r="H24" s="335"/>
      <c r="I24" s="335"/>
      <c r="J24" s="335"/>
      <c r="K24" s="335"/>
      <c r="L24" s="335"/>
      <c r="M24" s="335"/>
      <c r="N24" s="207">
        <v>0</v>
      </c>
      <c r="O24" s="207">
        <v>0</v>
      </c>
      <c r="P24" s="207">
        <v>0</v>
      </c>
      <c r="R24" s="803">
        <f>SUM(N24:P24)</f>
        <v>0</v>
      </c>
    </row>
    <row r="25" spans="2:18" ht="13" x14ac:dyDescent="0.25">
      <c r="G25" s="301"/>
      <c r="H25" s="301"/>
      <c r="I25" s="301"/>
      <c r="J25" s="301"/>
      <c r="K25" s="301"/>
      <c r="L25" s="301"/>
      <c r="M25" s="301"/>
      <c r="N25" s="301"/>
      <c r="O25" s="301"/>
      <c r="P25" s="301"/>
      <c r="R25" s="302"/>
    </row>
    <row r="26" spans="2:18" ht="23.25" customHeight="1" x14ac:dyDescent="0.25">
      <c r="B26" s="1093" t="s">
        <v>22</v>
      </c>
      <c r="C26" s="1094"/>
      <c r="D26" s="1094"/>
      <c r="E26" s="1095"/>
      <c r="F26" s="172"/>
      <c r="G26" s="173">
        <f t="shared" ref="G26:P26" si="3">SUM(G15:G24)</f>
        <v>0</v>
      </c>
      <c r="H26" s="173">
        <f t="shared" si="3"/>
        <v>0</v>
      </c>
      <c r="I26" s="173">
        <f t="shared" si="3"/>
        <v>0</v>
      </c>
      <c r="J26" s="173">
        <f t="shared" si="3"/>
        <v>0</v>
      </c>
      <c r="K26" s="173">
        <f t="shared" si="3"/>
        <v>0</v>
      </c>
      <c r="L26" s="173">
        <f t="shared" si="3"/>
        <v>0</v>
      </c>
      <c r="M26" s="173">
        <f t="shared" si="3"/>
        <v>0</v>
      </c>
      <c r="N26" s="173">
        <f t="shared" si="3"/>
        <v>0</v>
      </c>
      <c r="O26" s="173">
        <f t="shared" si="3"/>
        <v>0</v>
      </c>
      <c r="P26" s="173">
        <f t="shared" si="3"/>
        <v>0</v>
      </c>
      <c r="R26" s="173">
        <f>SUM(G26:P26)</f>
        <v>0</v>
      </c>
    </row>
    <row r="27" spans="2:18" ht="13" x14ac:dyDescent="0.25">
      <c r="B27" s="1103" t="s">
        <v>97</v>
      </c>
      <c r="C27" s="1103"/>
      <c r="D27" s="1103"/>
      <c r="E27" s="1103"/>
      <c r="F27" s="218"/>
      <c r="G27" s="303">
        <f>+G26-T4A!C31</f>
        <v>0</v>
      </c>
      <c r="H27" s="303">
        <f>+H26-T4A!D31</f>
        <v>0</v>
      </c>
      <c r="I27" s="303">
        <f>+I26-T4A!E31</f>
        <v>0</v>
      </c>
      <c r="J27" s="303">
        <f>+J26-T4A!F31</f>
        <v>0</v>
      </c>
      <c r="K27" s="304">
        <f>+K26-T4A!G31</f>
        <v>0</v>
      </c>
      <c r="L27" s="304">
        <f>+L26-T4A!H31</f>
        <v>0</v>
      </c>
      <c r="M27" s="304">
        <f>+M26-T4A!I31</f>
        <v>0</v>
      </c>
      <c r="N27" s="304">
        <f>+N26-T4A!J31</f>
        <v>0</v>
      </c>
      <c r="O27" s="304">
        <f>+O26-T4A!K31</f>
        <v>0</v>
      </c>
      <c r="P27" s="304">
        <f>+P26-T4A!L31</f>
        <v>0</v>
      </c>
      <c r="R27" s="304">
        <f>+R26-T4A!N31</f>
        <v>0</v>
      </c>
    </row>
    <row r="28" spans="2:18" ht="13" x14ac:dyDescent="0.25">
      <c r="B28" s="305"/>
      <c r="C28" s="305"/>
      <c r="D28" s="305"/>
      <c r="E28" s="305"/>
      <c r="F28" s="306"/>
      <c r="G28" s="307"/>
      <c r="H28" s="307"/>
      <c r="I28" s="307"/>
      <c r="J28" s="307"/>
    </row>
    <row r="29" spans="2:18" x14ac:dyDescent="0.25">
      <c r="G29" s="308" t="s">
        <v>32</v>
      </c>
      <c r="H29" s="301"/>
    </row>
    <row r="30" spans="2:18" x14ac:dyDescent="0.25">
      <c r="G30" s="308" t="s">
        <v>33</v>
      </c>
      <c r="H30" s="301"/>
    </row>
    <row r="31" spans="2:18" ht="60" customHeight="1" x14ac:dyDescent="0.25">
      <c r="B31" s="1078" t="s">
        <v>348</v>
      </c>
      <c r="C31" s="1079"/>
      <c r="D31" s="1079"/>
      <c r="E31" s="1080"/>
      <c r="F31" s="167"/>
      <c r="G31" s="165">
        <v>2015</v>
      </c>
      <c r="H31" s="165">
        <f>+G31+1</f>
        <v>2016</v>
      </c>
      <c r="I31" s="165">
        <f>+H31+1</f>
        <v>2017</v>
      </c>
      <c r="J31" s="165">
        <f>+I31+1</f>
        <v>2018</v>
      </c>
      <c r="K31" s="165">
        <f>+J31+1</f>
        <v>2019</v>
      </c>
      <c r="L31" s="165">
        <f t="shared" ref="L31:P31" si="4">+K31+1</f>
        <v>2020</v>
      </c>
      <c r="M31" s="165">
        <f t="shared" si="4"/>
        <v>2021</v>
      </c>
      <c r="N31" s="165">
        <f t="shared" si="4"/>
        <v>2022</v>
      </c>
      <c r="O31" s="165">
        <f t="shared" si="4"/>
        <v>2023</v>
      </c>
      <c r="P31" s="165">
        <f t="shared" si="4"/>
        <v>2024</v>
      </c>
      <c r="R31" s="165" t="s">
        <v>20</v>
      </c>
    </row>
    <row r="32" spans="2:18" s="296" customFormat="1" ht="12" customHeight="1" x14ac:dyDescent="0.25">
      <c r="B32" s="297"/>
      <c r="C32" s="297"/>
      <c r="D32" s="297"/>
      <c r="E32" s="297"/>
      <c r="F32" s="298"/>
      <c r="G32" s="299"/>
      <c r="H32" s="220"/>
      <c r="I32" s="220"/>
      <c r="Q32" s="300"/>
    </row>
    <row r="33" spans="2:18" ht="36" customHeight="1" x14ac:dyDescent="0.25">
      <c r="B33" s="1096" t="s">
        <v>201</v>
      </c>
      <c r="C33" s="1097"/>
      <c r="D33" s="1097"/>
      <c r="E33" s="1098"/>
      <c r="F33" s="167"/>
      <c r="G33" s="804"/>
      <c r="H33" s="804"/>
      <c r="I33" s="804"/>
      <c r="J33" s="804"/>
      <c r="K33" s="804"/>
      <c r="L33" s="804"/>
      <c r="M33" s="804"/>
      <c r="N33" s="804"/>
      <c r="O33" s="804"/>
      <c r="P33" s="804"/>
      <c r="R33" s="804"/>
    </row>
    <row r="34" spans="2:18" ht="28.5" customHeight="1" x14ac:dyDescent="0.25">
      <c r="B34" s="1090" t="str">
        <f>"per 31/12/"&amp;$G$13</f>
        <v>per 31/12/2015</v>
      </c>
      <c r="C34" s="1091"/>
      <c r="D34" s="1091"/>
      <c r="E34" s="1092"/>
      <c r="F34" s="167"/>
      <c r="G34" s="247"/>
      <c r="H34" s="247"/>
      <c r="I34" s="247"/>
      <c r="J34" s="247"/>
      <c r="K34" s="247"/>
      <c r="L34" s="247"/>
      <c r="M34" s="247"/>
      <c r="N34" s="247"/>
      <c r="O34" s="247"/>
      <c r="P34" s="247"/>
      <c r="R34" s="803">
        <f t="shared" ref="R34:R108" si="5">SUM(G34:P34)</f>
        <v>0</v>
      </c>
    </row>
    <row r="35" spans="2:18" ht="28.5" customHeight="1" x14ac:dyDescent="0.25">
      <c r="B35" s="1090" t="str">
        <f>"per 31/12/"&amp;$H$13</f>
        <v>per 31/12/2016</v>
      </c>
      <c r="C35" s="1091"/>
      <c r="D35" s="1091"/>
      <c r="E35" s="1092"/>
      <c r="F35" s="167"/>
      <c r="G35" s="247"/>
      <c r="H35" s="247"/>
      <c r="I35" s="247"/>
      <c r="J35" s="247"/>
      <c r="K35" s="247"/>
      <c r="L35" s="247"/>
      <c r="M35" s="247"/>
      <c r="N35" s="247"/>
      <c r="O35" s="247"/>
      <c r="P35" s="247"/>
      <c r="R35" s="803">
        <f t="shared" si="5"/>
        <v>0</v>
      </c>
    </row>
    <row r="36" spans="2:18" ht="28.5" customHeight="1" x14ac:dyDescent="0.25">
      <c r="B36" s="1090" t="str">
        <f>"per 31/12/"&amp;$I$13</f>
        <v>per 31/12/2017</v>
      </c>
      <c r="C36" s="1091"/>
      <c r="D36" s="1091"/>
      <c r="E36" s="1092"/>
      <c r="F36" s="167"/>
      <c r="G36" s="247">
        <f>J307</f>
        <v>0</v>
      </c>
      <c r="H36" s="247"/>
      <c r="I36" s="247"/>
      <c r="J36" s="247"/>
      <c r="K36" s="247"/>
      <c r="L36" s="247"/>
      <c r="M36" s="247"/>
      <c r="N36" s="247"/>
      <c r="O36" s="247"/>
      <c r="P36" s="247"/>
      <c r="R36" s="803">
        <f t="shared" si="5"/>
        <v>0</v>
      </c>
    </row>
    <row r="37" spans="2:18" ht="28.5" customHeight="1" x14ac:dyDescent="0.25">
      <c r="B37" s="1090" t="str">
        <f>"per 31/12/"&amp;$J$13</f>
        <v>per 31/12/2018</v>
      </c>
      <c r="C37" s="1091"/>
      <c r="D37" s="1091"/>
      <c r="E37" s="1092"/>
      <c r="F37" s="167"/>
      <c r="G37" s="247">
        <f>L312</f>
        <v>0</v>
      </c>
      <c r="H37" s="247">
        <f>L313</f>
        <v>0</v>
      </c>
      <c r="I37" s="247"/>
      <c r="J37" s="247"/>
      <c r="K37" s="247"/>
      <c r="L37" s="247"/>
      <c r="M37" s="247"/>
      <c r="N37" s="247"/>
      <c r="O37" s="247"/>
      <c r="P37" s="247"/>
      <c r="R37" s="803">
        <f t="shared" si="5"/>
        <v>0</v>
      </c>
    </row>
    <row r="38" spans="2:18" ht="28.5" customHeight="1" x14ac:dyDescent="0.25">
      <c r="B38" s="1090" t="str">
        <f>"per 31/12/"&amp;$K$13</f>
        <v>per 31/12/2019</v>
      </c>
      <c r="C38" s="1091"/>
      <c r="D38" s="1091"/>
      <c r="E38" s="1092"/>
      <c r="F38" s="167"/>
      <c r="G38" s="247">
        <f>L319</f>
        <v>0</v>
      </c>
      <c r="H38" s="247">
        <f>L320</f>
        <v>0</v>
      </c>
      <c r="I38" s="247">
        <f>L321</f>
        <v>0</v>
      </c>
      <c r="J38" s="247"/>
      <c r="K38" s="247"/>
      <c r="L38" s="247"/>
      <c r="M38" s="247"/>
      <c r="N38" s="247"/>
      <c r="O38" s="247"/>
      <c r="P38" s="247"/>
      <c r="R38" s="803">
        <f t="shared" si="5"/>
        <v>0</v>
      </c>
    </row>
    <row r="39" spans="2:18" ht="28.5" customHeight="1" x14ac:dyDescent="0.25">
      <c r="B39" s="1090" t="str">
        <f>"per 31/12/"&amp;$L$13</f>
        <v>per 31/12/2020</v>
      </c>
      <c r="C39" s="1091"/>
      <c r="D39" s="1091"/>
      <c r="E39" s="1092"/>
      <c r="F39" s="167"/>
      <c r="G39" s="247">
        <f>L327</f>
        <v>0</v>
      </c>
      <c r="H39" s="247">
        <f>L328</f>
        <v>0</v>
      </c>
      <c r="I39" s="247">
        <f>L329</f>
        <v>0</v>
      </c>
      <c r="J39" s="247">
        <f>L330</f>
        <v>0</v>
      </c>
      <c r="K39" s="247"/>
      <c r="L39" s="247"/>
      <c r="M39" s="247"/>
      <c r="N39" s="247"/>
      <c r="O39" s="247"/>
      <c r="P39" s="247"/>
      <c r="R39" s="803">
        <f t="shared" si="5"/>
        <v>0</v>
      </c>
    </row>
    <row r="40" spans="2:18" ht="28.5" customHeight="1" x14ac:dyDescent="0.25">
      <c r="B40" s="1090" t="str">
        <f>"per 31/12/"&amp;$M$13</f>
        <v>per 31/12/2021</v>
      </c>
      <c r="C40" s="1091"/>
      <c r="D40" s="1091"/>
      <c r="E40" s="1092"/>
      <c r="F40" s="167"/>
      <c r="G40" s="247">
        <f>+H336</f>
        <v>0</v>
      </c>
      <c r="H40" s="247">
        <f>H337</f>
        <v>0</v>
      </c>
      <c r="I40" s="247">
        <f>H338</f>
        <v>0</v>
      </c>
      <c r="J40" s="247">
        <f>H339</f>
        <v>0</v>
      </c>
      <c r="K40" s="247">
        <f>H340</f>
        <v>0</v>
      </c>
      <c r="L40" s="247"/>
      <c r="M40" s="247"/>
      <c r="N40" s="247"/>
      <c r="O40" s="247"/>
      <c r="P40" s="247"/>
      <c r="R40" s="803">
        <f t="shared" si="5"/>
        <v>0</v>
      </c>
    </row>
    <row r="41" spans="2:18" ht="28.5" customHeight="1" x14ac:dyDescent="0.25">
      <c r="B41" s="1090" t="str">
        <f>"per 31/12/"&amp;$N$13</f>
        <v>per 31/12/2022</v>
      </c>
      <c r="C41" s="1091"/>
      <c r="D41" s="1091"/>
      <c r="E41" s="1092"/>
      <c r="F41" s="167"/>
      <c r="G41" s="247">
        <f>H346</f>
        <v>0</v>
      </c>
      <c r="H41" s="247">
        <f>H347</f>
        <v>0</v>
      </c>
      <c r="I41" s="247">
        <f>H348</f>
        <v>0</v>
      </c>
      <c r="J41" s="247">
        <f>H349</f>
        <v>0</v>
      </c>
      <c r="K41" s="247">
        <f>H350</f>
        <v>0</v>
      </c>
      <c r="L41" s="247">
        <f>H351</f>
        <v>0</v>
      </c>
      <c r="M41" s="247"/>
      <c r="N41" s="247"/>
      <c r="O41" s="247"/>
      <c r="P41" s="247"/>
      <c r="R41" s="803">
        <f t="shared" si="5"/>
        <v>0</v>
      </c>
    </row>
    <row r="42" spans="2:18" ht="28.5" customHeight="1" x14ac:dyDescent="0.25">
      <c r="B42" s="1090" t="str">
        <f>"per 31/12/"&amp;$O$13</f>
        <v>per 31/12/2023</v>
      </c>
      <c r="C42" s="1091"/>
      <c r="D42" s="1091"/>
      <c r="E42" s="1092"/>
      <c r="F42" s="167"/>
      <c r="G42" s="247"/>
      <c r="H42" s="247"/>
      <c r="I42" s="247"/>
      <c r="J42" s="247"/>
      <c r="K42" s="247"/>
      <c r="L42" s="247">
        <f>H357</f>
        <v>0</v>
      </c>
      <c r="M42" s="247">
        <f>H358</f>
        <v>0</v>
      </c>
      <c r="N42" s="247"/>
      <c r="O42" s="247"/>
      <c r="P42" s="247"/>
      <c r="R42" s="803">
        <f t="shared" si="5"/>
        <v>0</v>
      </c>
    </row>
    <row r="43" spans="2:18" ht="28.5" customHeight="1" x14ac:dyDescent="0.25">
      <c r="B43" s="1090" t="str">
        <f>"per 31/12/"&amp;$P$13</f>
        <v>per 31/12/2024</v>
      </c>
      <c r="C43" s="1091"/>
      <c r="D43" s="1091"/>
      <c r="E43" s="1092"/>
      <c r="F43" s="167"/>
      <c r="G43" s="247"/>
      <c r="H43" s="247"/>
      <c r="I43" s="247"/>
      <c r="J43" s="247"/>
      <c r="K43" s="247"/>
      <c r="L43" s="247"/>
      <c r="M43" s="247">
        <f>H364</f>
        <v>0</v>
      </c>
      <c r="N43" s="247">
        <f>H365</f>
        <v>0</v>
      </c>
      <c r="O43" s="247"/>
      <c r="P43" s="247"/>
      <c r="R43" s="803">
        <f t="shared" si="5"/>
        <v>0</v>
      </c>
    </row>
    <row r="44" spans="2:18" ht="36" customHeight="1" x14ac:dyDescent="0.25">
      <c r="B44" s="1096" t="s">
        <v>347</v>
      </c>
      <c r="C44" s="1097"/>
      <c r="D44" s="1097"/>
      <c r="E44" s="1098"/>
      <c r="F44" s="167"/>
      <c r="G44" s="804"/>
      <c r="H44" s="804"/>
      <c r="I44" s="804"/>
      <c r="J44" s="804"/>
      <c r="K44" s="804"/>
      <c r="L44" s="804"/>
      <c r="M44" s="804"/>
      <c r="N44" s="804"/>
      <c r="O44" s="804"/>
      <c r="P44" s="804"/>
      <c r="R44" s="804"/>
    </row>
    <row r="45" spans="2:18" ht="28.5" customHeight="1" x14ac:dyDescent="0.25">
      <c r="B45" s="1081" t="str">
        <f>"per 31/12/"&amp;$G$13</f>
        <v>per 31/12/2015</v>
      </c>
      <c r="C45" s="1082"/>
      <c r="D45" s="1082"/>
      <c r="E45" s="1083"/>
      <c r="F45" s="167"/>
      <c r="G45" s="247"/>
      <c r="H45" s="247"/>
      <c r="I45" s="247"/>
      <c r="J45" s="247"/>
      <c r="K45" s="247"/>
      <c r="L45" s="247"/>
      <c r="M45" s="247"/>
      <c r="N45" s="247"/>
      <c r="O45" s="247"/>
      <c r="P45" s="247"/>
      <c r="R45" s="803"/>
    </row>
    <row r="46" spans="2:18" ht="28.5" customHeight="1" x14ac:dyDescent="0.25">
      <c r="B46" s="1081" t="str">
        <f>"per 31/12/"&amp;$H$13</f>
        <v>per 31/12/2016</v>
      </c>
      <c r="C46" s="1082"/>
      <c r="D46" s="1082"/>
      <c r="E46" s="1083"/>
      <c r="F46" s="167"/>
      <c r="G46" s="247"/>
      <c r="H46" s="247"/>
      <c r="I46" s="247"/>
      <c r="J46" s="247"/>
      <c r="K46" s="247"/>
      <c r="L46" s="247"/>
      <c r="M46" s="247"/>
      <c r="N46" s="247"/>
      <c r="O46" s="247"/>
      <c r="P46" s="247"/>
      <c r="R46" s="803"/>
    </row>
    <row r="47" spans="2:18" ht="28.5" customHeight="1" x14ac:dyDescent="0.25">
      <c r="B47" s="1081" t="str">
        <f>"per 31/12/"&amp;$I$13</f>
        <v>per 31/12/2017</v>
      </c>
      <c r="C47" s="1082"/>
      <c r="D47" s="1082"/>
      <c r="E47" s="1083"/>
      <c r="F47" s="167"/>
      <c r="G47" s="520"/>
      <c r="H47" s="247"/>
      <c r="I47" s="247"/>
      <c r="J47" s="247"/>
      <c r="K47" s="247"/>
      <c r="L47" s="247"/>
      <c r="M47" s="247"/>
      <c r="N47" s="247"/>
      <c r="O47" s="247"/>
      <c r="P47" s="247"/>
      <c r="R47" s="805"/>
    </row>
    <row r="48" spans="2:18" ht="28.5" customHeight="1" x14ac:dyDescent="0.25">
      <c r="B48" s="1081" t="str">
        <f>"per 31/12/"&amp;$J$13</f>
        <v>per 31/12/2018</v>
      </c>
      <c r="C48" s="1082"/>
      <c r="D48" s="1082"/>
      <c r="E48" s="1083"/>
      <c r="F48" s="167"/>
      <c r="G48" s="520"/>
      <c r="H48" s="520"/>
      <c r="I48" s="247"/>
      <c r="J48" s="247"/>
      <c r="K48" s="247"/>
      <c r="L48" s="247"/>
      <c r="M48" s="247"/>
      <c r="N48" s="247"/>
      <c r="O48" s="247"/>
      <c r="P48" s="247"/>
      <c r="R48" s="805"/>
    </row>
    <row r="49" spans="2:18" ht="28.5" customHeight="1" x14ac:dyDescent="0.25">
      <c r="B49" s="1081" t="str">
        <f>"per 31/12/"&amp;$K$13</f>
        <v>per 31/12/2019</v>
      </c>
      <c r="C49" s="1082"/>
      <c r="D49" s="1082"/>
      <c r="E49" s="1083"/>
      <c r="F49" s="167"/>
      <c r="G49" s="520"/>
      <c r="H49" s="520"/>
      <c r="I49" s="520"/>
      <c r="J49" s="247"/>
      <c r="K49" s="247"/>
      <c r="L49" s="247"/>
      <c r="M49" s="247"/>
      <c r="N49" s="247"/>
      <c r="O49" s="247"/>
      <c r="P49" s="247"/>
      <c r="R49" s="805"/>
    </row>
    <row r="50" spans="2:18" ht="28.5" customHeight="1" x14ac:dyDescent="0.25">
      <c r="B50" s="1081" t="str">
        <f>"per 31/12/"&amp;$L$13</f>
        <v>per 31/12/2020</v>
      </c>
      <c r="C50" s="1082"/>
      <c r="D50" s="1082"/>
      <c r="E50" s="1083"/>
      <c r="F50" s="167"/>
      <c r="G50" s="520"/>
      <c r="H50" s="520"/>
      <c r="I50" s="520"/>
      <c r="J50" s="520"/>
      <c r="K50" s="247"/>
      <c r="L50" s="247"/>
      <c r="M50" s="247"/>
      <c r="N50" s="247"/>
      <c r="O50" s="247"/>
      <c r="P50" s="247"/>
      <c r="R50" s="805"/>
    </row>
    <row r="51" spans="2:18" ht="28.5" customHeight="1" x14ac:dyDescent="0.25">
      <c r="B51" s="1081" t="str">
        <f>"per 31/12/"&amp;$M$13</f>
        <v>per 31/12/2021</v>
      </c>
      <c r="C51" s="1082"/>
      <c r="D51" s="1082"/>
      <c r="E51" s="1083"/>
      <c r="F51" s="167"/>
      <c r="G51" s="520"/>
      <c r="H51" s="520"/>
      <c r="I51" s="520"/>
      <c r="J51" s="520"/>
      <c r="K51" s="520"/>
      <c r="L51" s="247"/>
      <c r="M51" s="247"/>
      <c r="N51" s="247"/>
      <c r="O51" s="247"/>
      <c r="P51" s="247"/>
      <c r="R51" s="805"/>
    </row>
    <row r="52" spans="2:18" ht="28.5" customHeight="1" x14ac:dyDescent="0.25">
      <c r="B52" s="1081" t="str">
        <f>"per 31/12/"&amp;$N$13</f>
        <v>per 31/12/2022</v>
      </c>
      <c r="C52" s="1082"/>
      <c r="D52" s="1082"/>
      <c r="E52" s="1083"/>
      <c r="F52" s="167"/>
      <c r="G52" s="520"/>
      <c r="H52" s="520"/>
      <c r="I52" s="520"/>
      <c r="J52" s="520"/>
      <c r="K52" s="520"/>
      <c r="L52" s="520"/>
      <c r="M52" s="247"/>
      <c r="N52" s="247"/>
      <c r="O52" s="247"/>
      <c r="P52" s="247"/>
      <c r="R52" s="805"/>
    </row>
    <row r="53" spans="2:18" ht="28.5" customHeight="1" x14ac:dyDescent="0.25">
      <c r="B53" s="1081" t="str">
        <f>"per 31/12/"&amp;$O$13</f>
        <v>per 31/12/2023</v>
      </c>
      <c r="C53" s="1082"/>
      <c r="D53" s="1082"/>
      <c r="E53" s="1083"/>
      <c r="F53" s="167"/>
      <c r="G53" s="247"/>
      <c r="H53" s="247"/>
      <c r="I53" s="247"/>
      <c r="J53" s="247"/>
      <c r="K53" s="247"/>
      <c r="L53" s="520"/>
      <c r="M53" s="520"/>
      <c r="N53" s="247"/>
      <c r="O53" s="247"/>
      <c r="P53" s="247"/>
      <c r="R53" s="805"/>
    </row>
    <row r="54" spans="2:18" ht="28.5" customHeight="1" x14ac:dyDescent="0.25">
      <c r="B54" s="1090" t="str">
        <f>"per 31/12/"&amp;$P$13</f>
        <v>per 31/12/2024</v>
      </c>
      <c r="C54" s="1091"/>
      <c r="D54" s="1091"/>
      <c r="E54" s="1092"/>
      <c r="F54" s="167"/>
      <c r="G54" s="247"/>
      <c r="H54" s="247"/>
      <c r="I54" s="247"/>
      <c r="J54" s="247"/>
      <c r="K54" s="247"/>
      <c r="L54" s="247"/>
      <c r="M54" s="520"/>
      <c r="N54" s="247">
        <f>+H382</f>
        <v>0</v>
      </c>
      <c r="O54" s="247"/>
      <c r="P54" s="247"/>
      <c r="R54" s="803">
        <f>+N54</f>
        <v>0</v>
      </c>
    </row>
    <row r="55" spans="2:18" ht="27.75" customHeight="1" x14ac:dyDescent="0.25">
      <c r="B55" s="1096" t="s">
        <v>66</v>
      </c>
      <c r="C55" s="1097"/>
      <c r="D55" s="1097"/>
      <c r="E55" s="1098"/>
      <c r="F55" s="167"/>
      <c r="G55" s="804"/>
      <c r="H55" s="804"/>
      <c r="I55" s="804"/>
      <c r="J55" s="804"/>
      <c r="K55" s="804"/>
      <c r="L55" s="804"/>
      <c r="M55" s="804"/>
      <c r="N55" s="804"/>
      <c r="O55" s="804"/>
      <c r="P55" s="804"/>
      <c r="R55" s="804"/>
    </row>
    <row r="56" spans="2:18" ht="28.5" customHeight="1" x14ac:dyDescent="0.25">
      <c r="B56" s="1090" t="str">
        <f>"per 31/12/"&amp;$G$13</f>
        <v>per 31/12/2015</v>
      </c>
      <c r="C56" s="1091"/>
      <c r="D56" s="1091"/>
      <c r="E56" s="1092"/>
      <c r="F56" s="167"/>
      <c r="G56" s="247"/>
      <c r="H56" s="247"/>
      <c r="I56" s="247"/>
      <c r="J56" s="247"/>
      <c r="K56" s="247"/>
      <c r="L56" s="247"/>
      <c r="M56" s="247"/>
      <c r="N56" s="247"/>
      <c r="O56" s="247"/>
      <c r="P56" s="247"/>
      <c r="R56" s="803">
        <f t="shared" si="5"/>
        <v>0</v>
      </c>
    </row>
    <row r="57" spans="2:18" ht="28.5" customHeight="1" x14ac:dyDescent="0.25">
      <c r="B57" s="1090" t="str">
        <f>"per 31/12/"&amp;$H$13</f>
        <v>per 31/12/2016</v>
      </c>
      <c r="C57" s="1091"/>
      <c r="D57" s="1091"/>
      <c r="E57" s="1092"/>
      <c r="F57" s="167"/>
      <c r="G57" s="247"/>
      <c r="H57" s="247"/>
      <c r="I57" s="247"/>
      <c r="J57" s="247"/>
      <c r="K57" s="247"/>
      <c r="L57" s="247"/>
      <c r="M57" s="247"/>
      <c r="N57" s="247"/>
      <c r="O57" s="247"/>
      <c r="P57" s="247"/>
      <c r="R57" s="803">
        <f t="shared" si="5"/>
        <v>0</v>
      </c>
    </row>
    <row r="58" spans="2:18" ht="28.5" customHeight="1" x14ac:dyDescent="0.25">
      <c r="B58" s="1090" t="str">
        <f>"per 31/12/"&amp;$I$13</f>
        <v>per 31/12/2017</v>
      </c>
      <c r="C58" s="1091"/>
      <c r="D58" s="1091"/>
      <c r="E58" s="1092"/>
      <c r="F58" s="167"/>
      <c r="G58" s="247">
        <f>J397</f>
        <v>0</v>
      </c>
      <c r="H58" s="247"/>
      <c r="I58" s="247"/>
      <c r="J58" s="247"/>
      <c r="K58" s="247"/>
      <c r="L58" s="247"/>
      <c r="M58" s="247"/>
      <c r="N58" s="247"/>
      <c r="O58" s="247"/>
      <c r="P58" s="247"/>
      <c r="R58" s="803">
        <f t="shared" si="5"/>
        <v>0</v>
      </c>
    </row>
    <row r="59" spans="2:18" ht="28.5" customHeight="1" x14ac:dyDescent="0.25">
      <c r="B59" s="1090" t="str">
        <f>"per 31/12/"&amp;$J$13</f>
        <v>per 31/12/2018</v>
      </c>
      <c r="C59" s="1091"/>
      <c r="D59" s="1091"/>
      <c r="E59" s="1092"/>
      <c r="F59" s="167"/>
      <c r="G59" s="247">
        <f>L402</f>
        <v>0</v>
      </c>
      <c r="H59" s="247">
        <f>L403</f>
        <v>0</v>
      </c>
      <c r="I59" s="247"/>
      <c r="J59" s="247"/>
      <c r="K59" s="247"/>
      <c r="L59" s="247"/>
      <c r="M59" s="247"/>
      <c r="N59" s="247"/>
      <c r="O59" s="247"/>
      <c r="P59" s="247"/>
      <c r="R59" s="803">
        <f t="shared" si="5"/>
        <v>0</v>
      </c>
    </row>
    <row r="60" spans="2:18" ht="28.5" customHeight="1" x14ac:dyDescent="0.25">
      <c r="B60" s="1090" t="str">
        <f>"per 31/12/"&amp;$K$13</f>
        <v>per 31/12/2019</v>
      </c>
      <c r="C60" s="1091"/>
      <c r="D60" s="1091"/>
      <c r="E60" s="1092"/>
      <c r="F60" s="167"/>
      <c r="G60" s="247">
        <f>L409</f>
        <v>0</v>
      </c>
      <c r="H60" s="247">
        <f>L410</f>
        <v>0</v>
      </c>
      <c r="I60" s="247">
        <f>L411</f>
        <v>0</v>
      </c>
      <c r="J60" s="247"/>
      <c r="K60" s="247"/>
      <c r="L60" s="247"/>
      <c r="M60" s="247"/>
      <c r="N60" s="247"/>
      <c r="O60" s="247"/>
      <c r="P60" s="247"/>
      <c r="R60" s="803">
        <f t="shared" si="5"/>
        <v>0</v>
      </c>
    </row>
    <row r="61" spans="2:18" ht="28.5" customHeight="1" x14ac:dyDescent="0.25">
      <c r="B61" s="1090" t="str">
        <f>"per 31/12/"&amp;$L$13</f>
        <v>per 31/12/2020</v>
      </c>
      <c r="C61" s="1091"/>
      <c r="D61" s="1091"/>
      <c r="E61" s="1092"/>
      <c r="F61" s="167"/>
      <c r="G61" s="247">
        <f>L417</f>
        <v>0</v>
      </c>
      <c r="H61" s="247">
        <f>L418</f>
        <v>0</v>
      </c>
      <c r="I61" s="247">
        <f>L419</f>
        <v>0</v>
      </c>
      <c r="J61" s="247">
        <f>L420</f>
        <v>0</v>
      </c>
      <c r="K61" s="247"/>
      <c r="L61" s="247"/>
      <c r="M61" s="247"/>
      <c r="N61" s="247"/>
      <c r="O61" s="247"/>
      <c r="P61" s="247"/>
      <c r="R61" s="803">
        <f t="shared" si="5"/>
        <v>0</v>
      </c>
    </row>
    <row r="62" spans="2:18" ht="28.5" customHeight="1" x14ac:dyDescent="0.25">
      <c r="B62" s="1090" t="str">
        <f>"per 31/12/"&amp;$M$13</f>
        <v>per 31/12/2021</v>
      </c>
      <c r="C62" s="1091"/>
      <c r="D62" s="1091"/>
      <c r="E62" s="1092"/>
      <c r="F62" s="167"/>
      <c r="G62" s="247">
        <f>H426</f>
        <v>0</v>
      </c>
      <c r="H62" s="247">
        <f>H427</f>
        <v>0</v>
      </c>
      <c r="I62" s="247">
        <f>H428</f>
        <v>0</v>
      </c>
      <c r="J62" s="247">
        <f>H429</f>
        <v>0</v>
      </c>
      <c r="K62" s="247">
        <f>H430</f>
        <v>0</v>
      </c>
      <c r="L62" s="247"/>
      <c r="M62" s="247"/>
      <c r="N62" s="247"/>
      <c r="O62" s="247"/>
      <c r="P62" s="247"/>
      <c r="R62" s="803">
        <f t="shared" si="5"/>
        <v>0</v>
      </c>
    </row>
    <row r="63" spans="2:18" ht="28.5" customHeight="1" x14ac:dyDescent="0.25">
      <c r="B63" s="1090" t="str">
        <f>"per 31/12/"&amp;$N$13</f>
        <v>per 31/12/2022</v>
      </c>
      <c r="C63" s="1091"/>
      <c r="D63" s="1091"/>
      <c r="E63" s="1092"/>
      <c r="F63" s="167"/>
      <c r="G63" s="247">
        <f>H436</f>
        <v>0</v>
      </c>
      <c r="H63" s="247">
        <f>H437</f>
        <v>0</v>
      </c>
      <c r="I63" s="247">
        <f>H438</f>
        <v>0</v>
      </c>
      <c r="J63" s="247">
        <f>H439</f>
        <v>0</v>
      </c>
      <c r="K63" s="247">
        <f>H440</f>
        <v>0</v>
      </c>
      <c r="L63" s="247">
        <f>H441</f>
        <v>0</v>
      </c>
      <c r="M63" s="247"/>
      <c r="N63" s="247"/>
      <c r="O63" s="247"/>
      <c r="P63" s="247"/>
      <c r="R63" s="803">
        <f t="shared" si="5"/>
        <v>0</v>
      </c>
    </row>
    <row r="64" spans="2:18" ht="28.5" customHeight="1" x14ac:dyDescent="0.25">
      <c r="B64" s="1090" t="str">
        <f>"per 31/12/"&amp;$O$13</f>
        <v>per 31/12/2023</v>
      </c>
      <c r="C64" s="1091"/>
      <c r="D64" s="1091"/>
      <c r="E64" s="1092"/>
      <c r="F64" s="167"/>
      <c r="G64" s="247"/>
      <c r="H64" s="247"/>
      <c r="I64" s="247"/>
      <c r="J64" s="247"/>
      <c r="K64" s="247"/>
      <c r="L64" s="247">
        <f>H447</f>
        <v>0</v>
      </c>
      <c r="M64" s="247">
        <f>H448</f>
        <v>0</v>
      </c>
      <c r="N64" s="247"/>
      <c r="O64" s="247"/>
      <c r="P64" s="247"/>
      <c r="R64" s="803">
        <f t="shared" si="5"/>
        <v>0</v>
      </c>
    </row>
    <row r="65" spans="2:18" ht="28.5" customHeight="1" x14ac:dyDescent="0.25">
      <c r="B65" s="1090" t="str">
        <f>"per 31/12/"&amp;$P$13</f>
        <v>per 31/12/2024</v>
      </c>
      <c r="C65" s="1091"/>
      <c r="D65" s="1091"/>
      <c r="E65" s="1092"/>
      <c r="F65" s="167"/>
      <c r="G65" s="247"/>
      <c r="H65" s="247"/>
      <c r="I65" s="247"/>
      <c r="J65" s="247"/>
      <c r="K65" s="247"/>
      <c r="L65" s="247"/>
      <c r="M65" s="247">
        <f>H454</f>
        <v>0</v>
      </c>
      <c r="N65" s="247">
        <f>H455</f>
        <v>0</v>
      </c>
      <c r="O65" s="247"/>
      <c r="P65" s="247"/>
      <c r="R65" s="803">
        <f t="shared" si="5"/>
        <v>0</v>
      </c>
    </row>
    <row r="66" spans="2:18" ht="33.75" customHeight="1" x14ac:dyDescent="0.25">
      <c r="B66" s="1104" t="s">
        <v>350</v>
      </c>
      <c r="C66" s="1104"/>
      <c r="D66" s="1104"/>
      <c r="E66" s="1104"/>
      <c r="F66" s="167"/>
      <c r="G66" s="804"/>
      <c r="H66" s="804"/>
      <c r="I66" s="804"/>
      <c r="J66" s="804"/>
      <c r="K66" s="804"/>
      <c r="L66" s="804"/>
      <c r="M66" s="804"/>
      <c r="N66" s="804"/>
      <c r="O66" s="804"/>
      <c r="P66" s="804"/>
      <c r="R66" s="804"/>
    </row>
    <row r="67" spans="2:18" ht="28.5" customHeight="1" x14ac:dyDescent="0.25">
      <c r="B67" s="1090" t="str">
        <f>"per 31/12/"&amp;$G$13</f>
        <v>per 31/12/2015</v>
      </c>
      <c r="C67" s="1091"/>
      <c r="D67" s="1091"/>
      <c r="E67" s="1092"/>
      <c r="F67" s="167"/>
      <c r="G67" s="247"/>
      <c r="H67" s="247"/>
      <c r="I67" s="247"/>
      <c r="J67" s="247"/>
      <c r="K67" s="247"/>
      <c r="L67" s="247"/>
      <c r="M67" s="247"/>
      <c r="N67" s="247"/>
      <c r="O67" s="247"/>
      <c r="P67" s="247"/>
      <c r="R67" s="803">
        <f t="shared" ref="R67:R75" si="6">SUM(G67:P67)</f>
        <v>0</v>
      </c>
    </row>
    <row r="68" spans="2:18" ht="28.5" customHeight="1" x14ac:dyDescent="0.25">
      <c r="B68" s="1090" t="str">
        <f>"per 31/12/"&amp;$H$13</f>
        <v>per 31/12/2016</v>
      </c>
      <c r="C68" s="1091"/>
      <c r="D68" s="1091"/>
      <c r="E68" s="1092"/>
      <c r="F68" s="167"/>
      <c r="G68" s="247"/>
      <c r="H68" s="247"/>
      <c r="I68" s="247"/>
      <c r="J68" s="247"/>
      <c r="K68" s="247"/>
      <c r="L68" s="247"/>
      <c r="M68" s="247"/>
      <c r="N68" s="247"/>
      <c r="O68" s="247"/>
      <c r="P68" s="247"/>
      <c r="R68" s="803">
        <f t="shared" si="6"/>
        <v>0</v>
      </c>
    </row>
    <row r="69" spans="2:18" ht="28.5" customHeight="1" x14ac:dyDescent="0.25">
      <c r="B69" s="1090" t="str">
        <f>"per 31/12/"&amp;$I$13</f>
        <v>per 31/12/2017</v>
      </c>
      <c r="C69" s="1091"/>
      <c r="D69" s="1091"/>
      <c r="E69" s="1092"/>
      <c r="F69" s="167"/>
      <c r="G69" s="247">
        <f>J472</f>
        <v>0</v>
      </c>
      <c r="H69" s="247"/>
      <c r="I69" s="247"/>
      <c r="J69" s="247"/>
      <c r="K69" s="247"/>
      <c r="L69" s="247"/>
      <c r="M69" s="247"/>
      <c r="N69" s="247"/>
      <c r="O69" s="247"/>
      <c r="P69" s="247"/>
      <c r="R69" s="803">
        <f t="shared" si="6"/>
        <v>0</v>
      </c>
    </row>
    <row r="70" spans="2:18" ht="28.5" customHeight="1" x14ac:dyDescent="0.25">
      <c r="B70" s="1090" t="str">
        <f>"per 31/12/"&amp;$J$13</f>
        <v>per 31/12/2018</v>
      </c>
      <c r="C70" s="1091"/>
      <c r="D70" s="1091"/>
      <c r="E70" s="1092"/>
      <c r="F70" s="167"/>
      <c r="G70" s="247">
        <f>L477</f>
        <v>0</v>
      </c>
      <c r="H70" s="247">
        <f>L478</f>
        <v>0</v>
      </c>
      <c r="I70" s="247"/>
      <c r="J70" s="247"/>
      <c r="K70" s="247"/>
      <c r="L70" s="247"/>
      <c r="M70" s="247"/>
      <c r="N70" s="247"/>
      <c r="O70" s="247"/>
      <c r="P70" s="247"/>
      <c r="R70" s="803">
        <f t="shared" si="6"/>
        <v>0</v>
      </c>
    </row>
    <row r="71" spans="2:18" ht="28.5" customHeight="1" x14ac:dyDescent="0.25">
      <c r="B71" s="1090" t="str">
        <f>"per 31/12/"&amp;$K$13</f>
        <v>per 31/12/2019</v>
      </c>
      <c r="C71" s="1091"/>
      <c r="D71" s="1091"/>
      <c r="E71" s="1092"/>
      <c r="F71" s="167"/>
      <c r="G71" s="247">
        <f>L484</f>
        <v>0</v>
      </c>
      <c r="H71" s="247">
        <f>L485</f>
        <v>0</v>
      </c>
      <c r="I71" s="247">
        <f>L486</f>
        <v>0</v>
      </c>
      <c r="J71" s="247"/>
      <c r="K71" s="247"/>
      <c r="L71" s="247"/>
      <c r="M71" s="247"/>
      <c r="N71" s="247"/>
      <c r="O71" s="247"/>
      <c r="P71" s="247"/>
      <c r="R71" s="803">
        <f t="shared" si="6"/>
        <v>0</v>
      </c>
    </row>
    <row r="72" spans="2:18" ht="28.5" customHeight="1" x14ac:dyDescent="0.25">
      <c r="B72" s="1090" t="str">
        <f>"per 31/12/"&amp;$L$13</f>
        <v>per 31/12/2020</v>
      </c>
      <c r="C72" s="1091"/>
      <c r="D72" s="1091"/>
      <c r="E72" s="1092"/>
      <c r="F72" s="167"/>
      <c r="G72" s="247">
        <f>L492</f>
        <v>0</v>
      </c>
      <c r="H72" s="247">
        <f>L493</f>
        <v>0</v>
      </c>
      <c r="I72" s="247">
        <f>L494</f>
        <v>0</v>
      </c>
      <c r="J72" s="247">
        <f>L495</f>
        <v>0</v>
      </c>
      <c r="K72" s="247"/>
      <c r="L72" s="247"/>
      <c r="M72" s="247"/>
      <c r="N72" s="247"/>
      <c r="O72" s="247"/>
      <c r="P72" s="247"/>
      <c r="R72" s="803">
        <f t="shared" si="6"/>
        <v>0</v>
      </c>
    </row>
    <row r="73" spans="2:18" ht="28.5" customHeight="1" x14ac:dyDescent="0.25">
      <c r="B73" s="1090" t="str">
        <f>"per 31/12/"&amp;$M$13</f>
        <v>per 31/12/2021</v>
      </c>
      <c r="C73" s="1091"/>
      <c r="D73" s="1091"/>
      <c r="E73" s="1092"/>
      <c r="F73" s="167"/>
      <c r="G73" s="247">
        <f>H501</f>
        <v>0</v>
      </c>
      <c r="H73" s="247">
        <f>H502</f>
        <v>0</v>
      </c>
      <c r="I73" s="247">
        <f>H503</f>
        <v>0</v>
      </c>
      <c r="J73" s="247">
        <f>H504</f>
        <v>0</v>
      </c>
      <c r="K73" s="247">
        <f>H505</f>
        <v>0</v>
      </c>
      <c r="L73" s="247"/>
      <c r="M73" s="247"/>
      <c r="N73" s="247"/>
      <c r="O73" s="247"/>
      <c r="P73" s="247"/>
      <c r="R73" s="803">
        <f t="shared" si="6"/>
        <v>0</v>
      </c>
    </row>
    <row r="74" spans="2:18" ht="28.5" customHeight="1" x14ac:dyDescent="0.25">
      <c r="B74" s="1090" t="str">
        <f>"per 31/12/"&amp;$N$13</f>
        <v>per 31/12/2022</v>
      </c>
      <c r="C74" s="1091"/>
      <c r="D74" s="1091"/>
      <c r="E74" s="1092"/>
      <c r="F74" s="167"/>
      <c r="G74" s="247">
        <f>H511</f>
        <v>0</v>
      </c>
      <c r="H74" s="247">
        <f>H512</f>
        <v>0</v>
      </c>
      <c r="I74" s="247">
        <f>H513</f>
        <v>0</v>
      </c>
      <c r="J74" s="247">
        <f>H514</f>
        <v>0</v>
      </c>
      <c r="K74" s="247">
        <f>H515</f>
        <v>0</v>
      </c>
      <c r="L74" s="247">
        <f>H516</f>
        <v>0</v>
      </c>
      <c r="M74" s="247"/>
      <c r="N74" s="247"/>
      <c r="O74" s="247"/>
      <c r="P74" s="247"/>
      <c r="R74" s="803">
        <f t="shared" si="6"/>
        <v>0</v>
      </c>
    </row>
    <row r="75" spans="2:18" ht="28.5" customHeight="1" x14ac:dyDescent="0.25">
      <c r="B75" s="1090" t="str">
        <f>"per 31/12/"&amp;$O$13</f>
        <v>per 31/12/2023</v>
      </c>
      <c r="C75" s="1091"/>
      <c r="D75" s="1091"/>
      <c r="E75" s="1092"/>
      <c r="F75" s="167"/>
      <c r="G75" s="247"/>
      <c r="H75" s="247"/>
      <c r="I75" s="247"/>
      <c r="J75" s="247"/>
      <c r="K75" s="247"/>
      <c r="L75" s="247">
        <f>H522</f>
        <v>0</v>
      </c>
      <c r="M75" s="247"/>
      <c r="N75" s="247"/>
      <c r="O75" s="247"/>
      <c r="P75" s="247"/>
      <c r="R75" s="803">
        <f t="shared" si="6"/>
        <v>0</v>
      </c>
    </row>
    <row r="76" spans="2:18" ht="28.5" customHeight="1" x14ac:dyDescent="0.25">
      <c r="B76" s="1081" t="str">
        <f>"per 31/12/"&amp;$P$13</f>
        <v>per 31/12/2024</v>
      </c>
      <c r="C76" s="1082"/>
      <c r="D76" s="1082"/>
      <c r="E76" s="1083"/>
      <c r="F76" s="309"/>
      <c r="G76" s="520"/>
      <c r="H76" s="520"/>
      <c r="I76" s="520"/>
      <c r="J76" s="520"/>
      <c r="K76" s="520"/>
      <c r="L76" s="520"/>
      <c r="M76" s="520"/>
      <c r="N76" s="520"/>
      <c r="O76" s="520"/>
      <c r="P76" s="520"/>
      <c r="R76" s="805"/>
    </row>
    <row r="77" spans="2:18" ht="30" customHeight="1" x14ac:dyDescent="0.25">
      <c r="B77" s="1096" t="s">
        <v>169</v>
      </c>
      <c r="C77" s="1097"/>
      <c r="D77" s="1097"/>
      <c r="E77" s="1098"/>
      <c r="F77" s="167"/>
      <c r="G77" s="804"/>
      <c r="H77" s="804"/>
      <c r="I77" s="804"/>
      <c r="J77" s="804"/>
      <c r="K77" s="804"/>
      <c r="L77" s="804"/>
      <c r="M77" s="804"/>
      <c r="N77" s="804"/>
      <c r="O77" s="804"/>
      <c r="P77" s="804"/>
      <c r="R77" s="804"/>
    </row>
    <row r="78" spans="2:18" ht="28.5" customHeight="1" x14ac:dyDescent="0.25">
      <c r="B78" s="1090" t="str">
        <f>"per 31/12/"&amp;$G$13</f>
        <v>per 31/12/2015</v>
      </c>
      <c r="C78" s="1091"/>
      <c r="D78" s="1091"/>
      <c r="E78" s="1092"/>
      <c r="F78" s="167"/>
      <c r="G78" s="247"/>
      <c r="H78" s="247"/>
      <c r="I78" s="247"/>
      <c r="J78" s="247"/>
      <c r="K78" s="247"/>
      <c r="L78" s="247"/>
      <c r="M78" s="247"/>
      <c r="N78" s="247"/>
      <c r="O78" s="247"/>
      <c r="P78" s="247"/>
      <c r="R78" s="803">
        <f t="shared" si="5"/>
        <v>0</v>
      </c>
    </row>
    <row r="79" spans="2:18" ht="28.5" customHeight="1" x14ac:dyDescent="0.25">
      <c r="B79" s="1090" t="str">
        <f>"per 31/12/"&amp;$H$13</f>
        <v>per 31/12/2016</v>
      </c>
      <c r="C79" s="1091"/>
      <c r="D79" s="1091"/>
      <c r="E79" s="1092"/>
      <c r="F79" s="167"/>
      <c r="G79" s="247"/>
      <c r="H79" s="247"/>
      <c r="I79" s="247"/>
      <c r="J79" s="247"/>
      <c r="K79" s="247"/>
      <c r="L79" s="247"/>
      <c r="M79" s="247"/>
      <c r="N79" s="247"/>
      <c r="O79" s="247"/>
      <c r="P79" s="247"/>
      <c r="R79" s="803">
        <f t="shared" si="5"/>
        <v>0</v>
      </c>
    </row>
    <row r="80" spans="2:18" ht="28.5" customHeight="1" x14ac:dyDescent="0.25">
      <c r="B80" s="1090" t="str">
        <f>"per 31/12/"&amp;$I$13</f>
        <v>per 31/12/2017</v>
      </c>
      <c r="C80" s="1091"/>
      <c r="D80" s="1091"/>
      <c r="E80" s="1092"/>
      <c r="F80" s="167"/>
      <c r="G80" s="247">
        <f>J538</f>
        <v>0</v>
      </c>
      <c r="H80" s="247"/>
      <c r="I80" s="247"/>
      <c r="J80" s="247"/>
      <c r="K80" s="247"/>
      <c r="L80" s="247"/>
      <c r="M80" s="247"/>
      <c r="N80" s="247"/>
      <c r="O80" s="247"/>
      <c r="P80" s="247"/>
      <c r="R80" s="803">
        <f t="shared" si="5"/>
        <v>0</v>
      </c>
    </row>
    <row r="81" spans="2:18" ht="28.5" customHeight="1" x14ac:dyDescent="0.25">
      <c r="B81" s="1090" t="str">
        <f>"per 31/12/"&amp;$J$13</f>
        <v>per 31/12/2018</v>
      </c>
      <c r="C81" s="1091"/>
      <c r="D81" s="1091"/>
      <c r="E81" s="1092"/>
      <c r="F81" s="167"/>
      <c r="G81" s="247">
        <f>L543</f>
        <v>0</v>
      </c>
      <c r="H81" s="247">
        <f>L544</f>
        <v>0</v>
      </c>
      <c r="I81" s="247"/>
      <c r="J81" s="247"/>
      <c r="K81" s="247"/>
      <c r="L81" s="247"/>
      <c r="M81" s="247"/>
      <c r="N81" s="247"/>
      <c r="O81" s="247"/>
      <c r="P81" s="247"/>
      <c r="R81" s="803">
        <f t="shared" si="5"/>
        <v>0</v>
      </c>
    </row>
    <row r="82" spans="2:18" ht="28.5" customHeight="1" x14ac:dyDescent="0.25">
      <c r="B82" s="1090" t="str">
        <f>"per 31/12/"&amp;$K$13</f>
        <v>per 31/12/2019</v>
      </c>
      <c r="C82" s="1091"/>
      <c r="D82" s="1091"/>
      <c r="E82" s="1092"/>
      <c r="F82" s="167"/>
      <c r="G82" s="247">
        <f>L550</f>
        <v>0</v>
      </c>
      <c r="H82" s="247">
        <f>L551</f>
        <v>0</v>
      </c>
      <c r="I82" s="247">
        <f>L552</f>
        <v>0</v>
      </c>
      <c r="J82" s="247"/>
      <c r="K82" s="247"/>
      <c r="L82" s="247"/>
      <c r="M82" s="247"/>
      <c r="N82" s="247"/>
      <c r="O82" s="247"/>
      <c r="P82" s="247"/>
      <c r="R82" s="803">
        <f t="shared" si="5"/>
        <v>0</v>
      </c>
    </row>
    <row r="83" spans="2:18" ht="28.5" customHeight="1" x14ac:dyDescent="0.25">
      <c r="B83" s="1090" t="str">
        <f>"per 31/12/"&amp;$L$13</f>
        <v>per 31/12/2020</v>
      </c>
      <c r="C83" s="1091"/>
      <c r="D83" s="1091"/>
      <c r="E83" s="1092"/>
      <c r="F83" s="167"/>
      <c r="G83" s="247">
        <f>L558</f>
        <v>0</v>
      </c>
      <c r="H83" s="247">
        <f>L559</f>
        <v>0</v>
      </c>
      <c r="I83" s="247">
        <f>L560</f>
        <v>0</v>
      </c>
      <c r="J83" s="247">
        <f>L561</f>
        <v>0</v>
      </c>
      <c r="K83" s="247"/>
      <c r="L83" s="247"/>
      <c r="M83" s="247"/>
      <c r="N83" s="247"/>
      <c r="O83" s="247"/>
      <c r="P83" s="247"/>
      <c r="R83" s="803">
        <f t="shared" si="5"/>
        <v>0</v>
      </c>
    </row>
    <row r="84" spans="2:18" ht="28.5" customHeight="1" x14ac:dyDescent="0.25">
      <c r="B84" s="1090" t="str">
        <f>"per 31/12/"&amp;$M$13</f>
        <v>per 31/12/2021</v>
      </c>
      <c r="C84" s="1091"/>
      <c r="D84" s="1091"/>
      <c r="E84" s="1092"/>
      <c r="F84" s="167"/>
      <c r="G84" s="247">
        <f>H567</f>
        <v>0</v>
      </c>
      <c r="H84" s="247">
        <f>H568</f>
        <v>0</v>
      </c>
      <c r="I84" s="247">
        <f>H569</f>
        <v>0</v>
      </c>
      <c r="J84" s="247">
        <f>H570</f>
        <v>0</v>
      </c>
      <c r="K84" s="247">
        <f>H571</f>
        <v>0</v>
      </c>
      <c r="L84" s="247"/>
      <c r="M84" s="247"/>
      <c r="N84" s="247"/>
      <c r="O84" s="247"/>
      <c r="P84" s="247"/>
      <c r="R84" s="803">
        <f t="shared" si="5"/>
        <v>0</v>
      </c>
    </row>
    <row r="85" spans="2:18" ht="28.5" customHeight="1" x14ac:dyDescent="0.25">
      <c r="B85" s="1090" t="str">
        <f>"per 31/12/"&amp;$N$13</f>
        <v>per 31/12/2022</v>
      </c>
      <c r="C85" s="1091"/>
      <c r="D85" s="1091"/>
      <c r="E85" s="1092"/>
      <c r="F85" s="167"/>
      <c r="G85" s="247">
        <f>H577</f>
        <v>0</v>
      </c>
      <c r="H85" s="247">
        <f>H578</f>
        <v>0</v>
      </c>
      <c r="I85" s="247">
        <f>H579</f>
        <v>0</v>
      </c>
      <c r="J85" s="247">
        <f>H580</f>
        <v>0</v>
      </c>
      <c r="K85" s="247">
        <f>H581</f>
        <v>0</v>
      </c>
      <c r="L85" s="247">
        <f>H582</f>
        <v>0</v>
      </c>
      <c r="M85" s="247"/>
      <c r="N85" s="247"/>
      <c r="O85" s="247"/>
      <c r="P85" s="247"/>
      <c r="R85" s="803">
        <f t="shared" si="5"/>
        <v>0</v>
      </c>
    </row>
    <row r="86" spans="2:18" ht="28.5" customHeight="1" x14ac:dyDescent="0.25">
      <c r="B86" s="1090" t="str">
        <f>"per 31/12/"&amp;$O$13</f>
        <v>per 31/12/2023</v>
      </c>
      <c r="C86" s="1091"/>
      <c r="D86" s="1091"/>
      <c r="E86" s="1092"/>
      <c r="F86" s="167"/>
      <c r="G86" s="247"/>
      <c r="H86" s="247"/>
      <c r="I86" s="247"/>
      <c r="J86" s="247"/>
      <c r="K86" s="247"/>
      <c r="L86" s="247">
        <f>H588</f>
        <v>0</v>
      </c>
      <c r="M86" s="247"/>
      <c r="N86" s="247"/>
      <c r="O86" s="247"/>
      <c r="P86" s="247"/>
      <c r="R86" s="803">
        <f t="shared" si="5"/>
        <v>0</v>
      </c>
    </row>
    <row r="87" spans="2:18" ht="28.5" customHeight="1" x14ac:dyDescent="0.25">
      <c r="B87" s="1081" t="str">
        <f>"per 31/12/"&amp;$P$13</f>
        <v>per 31/12/2024</v>
      </c>
      <c r="C87" s="1082"/>
      <c r="D87" s="1082"/>
      <c r="E87" s="1083"/>
      <c r="F87" s="309"/>
      <c r="G87" s="520"/>
      <c r="H87" s="520"/>
      <c r="I87" s="520"/>
      <c r="J87" s="520"/>
      <c r="K87" s="520"/>
      <c r="L87" s="520"/>
      <c r="M87" s="520"/>
      <c r="N87" s="520"/>
      <c r="O87" s="520"/>
      <c r="P87" s="520"/>
      <c r="R87" s="805"/>
    </row>
    <row r="88" spans="2:18" ht="30" customHeight="1" x14ac:dyDescent="0.25">
      <c r="B88" s="1096" t="s">
        <v>67</v>
      </c>
      <c r="C88" s="1097"/>
      <c r="D88" s="1097"/>
      <c r="E88" s="1098"/>
      <c r="F88" s="167"/>
      <c r="G88" s="804"/>
      <c r="H88" s="804"/>
      <c r="I88" s="804"/>
      <c r="J88" s="804"/>
      <c r="K88" s="804"/>
      <c r="L88" s="804"/>
      <c r="M88" s="804"/>
      <c r="N88" s="804"/>
      <c r="O88" s="804"/>
      <c r="P88" s="804"/>
      <c r="R88" s="804"/>
    </row>
    <row r="89" spans="2:18" ht="28.5" customHeight="1" x14ac:dyDescent="0.25">
      <c r="B89" s="1090" t="str">
        <f>"per 31/12/"&amp;$G$13</f>
        <v>per 31/12/2015</v>
      </c>
      <c r="C89" s="1091"/>
      <c r="D89" s="1091"/>
      <c r="E89" s="1092"/>
      <c r="F89" s="167"/>
      <c r="G89" s="247"/>
      <c r="H89" s="247"/>
      <c r="I89" s="247"/>
      <c r="J89" s="247"/>
      <c r="K89" s="247"/>
      <c r="L89" s="247"/>
      <c r="M89" s="247"/>
      <c r="N89" s="247"/>
      <c r="O89" s="247"/>
      <c r="P89" s="247"/>
      <c r="R89" s="803">
        <f t="shared" si="5"/>
        <v>0</v>
      </c>
    </row>
    <row r="90" spans="2:18" ht="28.5" customHeight="1" x14ac:dyDescent="0.25">
      <c r="B90" s="1090" t="str">
        <f>"per 31/12/"&amp;$H$13</f>
        <v>per 31/12/2016</v>
      </c>
      <c r="C90" s="1091"/>
      <c r="D90" s="1091"/>
      <c r="E90" s="1092"/>
      <c r="F90" s="167"/>
      <c r="G90" s="247"/>
      <c r="H90" s="247"/>
      <c r="I90" s="247"/>
      <c r="J90" s="247"/>
      <c r="K90" s="247"/>
      <c r="L90" s="247"/>
      <c r="M90" s="247"/>
      <c r="N90" s="247"/>
      <c r="O90" s="247"/>
      <c r="P90" s="247"/>
      <c r="R90" s="803">
        <f t="shared" si="5"/>
        <v>0</v>
      </c>
    </row>
    <row r="91" spans="2:18" ht="28.5" customHeight="1" x14ac:dyDescent="0.25">
      <c r="B91" s="1090" t="str">
        <f>"per 31/12/"&amp;$I$13</f>
        <v>per 31/12/2017</v>
      </c>
      <c r="C91" s="1091"/>
      <c r="D91" s="1091"/>
      <c r="E91" s="1092"/>
      <c r="F91" s="167"/>
      <c r="G91" s="247">
        <f>J605</f>
        <v>0</v>
      </c>
      <c r="H91" s="247"/>
      <c r="I91" s="247"/>
      <c r="J91" s="247"/>
      <c r="K91" s="247"/>
      <c r="L91" s="247"/>
      <c r="M91" s="247"/>
      <c r="N91" s="247"/>
      <c r="O91" s="247"/>
      <c r="P91" s="247"/>
      <c r="R91" s="803">
        <f t="shared" si="5"/>
        <v>0</v>
      </c>
    </row>
    <row r="92" spans="2:18" ht="28.5" customHeight="1" x14ac:dyDescent="0.25">
      <c r="B92" s="1090" t="str">
        <f>"per 31/12/"&amp;$J$13</f>
        <v>per 31/12/2018</v>
      </c>
      <c r="C92" s="1091"/>
      <c r="D92" s="1091"/>
      <c r="E92" s="1092"/>
      <c r="F92" s="167"/>
      <c r="G92" s="247">
        <f>L610</f>
        <v>0</v>
      </c>
      <c r="H92" s="247">
        <f>L611</f>
        <v>0</v>
      </c>
      <c r="I92" s="247"/>
      <c r="J92" s="247"/>
      <c r="K92" s="247"/>
      <c r="L92" s="247"/>
      <c r="M92" s="247"/>
      <c r="N92" s="247"/>
      <c r="O92" s="247"/>
      <c r="P92" s="247"/>
      <c r="R92" s="803">
        <f t="shared" si="5"/>
        <v>0</v>
      </c>
    </row>
    <row r="93" spans="2:18" ht="28.5" customHeight="1" x14ac:dyDescent="0.25">
      <c r="B93" s="1090" t="str">
        <f>"per 31/12/"&amp;$K$13</f>
        <v>per 31/12/2019</v>
      </c>
      <c r="C93" s="1091"/>
      <c r="D93" s="1091"/>
      <c r="E93" s="1092"/>
      <c r="F93" s="167"/>
      <c r="G93" s="247">
        <f>L617</f>
        <v>0</v>
      </c>
      <c r="H93" s="247">
        <f>L618</f>
        <v>0</v>
      </c>
      <c r="I93" s="247">
        <f>L619</f>
        <v>0</v>
      </c>
      <c r="J93" s="247"/>
      <c r="K93" s="247"/>
      <c r="L93" s="247"/>
      <c r="M93" s="247"/>
      <c r="N93" s="247"/>
      <c r="O93" s="247"/>
      <c r="P93" s="247"/>
      <c r="R93" s="803">
        <f t="shared" si="5"/>
        <v>0</v>
      </c>
    </row>
    <row r="94" spans="2:18" ht="28.5" customHeight="1" x14ac:dyDescent="0.25">
      <c r="B94" s="1090" t="str">
        <f>"per 31/12/"&amp;$L$13</f>
        <v>per 31/12/2020</v>
      </c>
      <c r="C94" s="1091"/>
      <c r="D94" s="1091"/>
      <c r="E94" s="1092"/>
      <c r="F94" s="167"/>
      <c r="G94" s="247">
        <f>L625</f>
        <v>0</v>
      </c>
      <c r="H94" s="247">
        <f>L626</f>
        <v>0</v>
      </c>
      <c r="I94" s="247">
        <f>L627</f>
        <v>0</v>
      </c>
      <c r="J94" s="247">
        <f>L628</f>
        <v>0</v>
      </c>
      <c r="K94" s="247"/>
      <c r="L94" s="247"/>
      <c r="M94" s="247"/>
      <c r="N94" s="247"/>
      <c r="O94" s="247"/>
      <c r="P94" s="247"/>
      <c r="R94" s="803">
        <f t="shared" si="5"/>
        <v>0</v>
      </c>
    </row>
    <row r="95" spans="2:18" ht="28.5" customHeight="1" x14ac:dyDescent="0.25">
      <c r="B95" s="1090" t="str">
        <f>"per 31/12/"&amp;$M$13</f>
        <v>per 31/12/2021</v>
      </c>
      <c r="C95" s="1091"/>
      <c r="D95" s="1091"/>
      <c r="E95" s="1092"/>
      <c r="F95" s="167"/>
      <c r="G95" s="247">
        <f>H634</f>
        <v>0</v>
      </c>
      <c r="H95" s="247">
        <f>H635</f>
        <v>0</v>
      </c>
      <c r="I95" s="247">
        <f>H636</f>
        <v>0</v>
      </c>
      <c r="J95" s="247">
        <f>H637</f>
        <v>0</v>
      </c>
      <c r="K95" s="247">
        <f>H638</f>
        <v>0</v>
      </c>
      <c r="L95" s="247"/>
      <c r="M95" s="247"/>
      <c r="N95" s="247"/>
      <c r="O95" s="247"/>
      <c r="P95" s="247"/>
      <c r="R95" s="803">
        <f t="shared" si="5"/>
        <v>0</v>
      </c>
    </row>
    <row r="96" spans="2:18" ht="28.5" customHeight="1" x14ac:dyDescent="0.25">
      <c r="B96" s="1090" t="str">
        <f>"per 31/12/"&amp;$N$13</f>
        <v>per 31/12/2022</v>
      </c>
      <c r="C96" s="1091"/>
      <c r="D96" s="1091"/>
      <c r="E96" s="1092"/>
      <c r="F96" s="167"/>
      <c r="G96" s="247">
        <f>H644</f>
        <v>0</v>
      </c>
      <c r="H96" s="247">
        <f>H645</f>
        <v>0</v>
      </c>
      <c r="I96" s="247">
        <f>H646</f>
        <v>0</v>
      </c>
      <c r="J96" s="247">
        <f>H647</f>
        <v>0</v>
      </c>
      <c r="K96" s="247">
        <f>H648</f>
        <v>0</v>
      </c>
      <c r="L96" s="247">
        <f>H649</f>
        <v>0</v>
      </c>
      <c r="M96" s="247"/>
      <c r="N96" s="247"/>
      <c r="O96" s="247"/>
      <c r="P96" s="247"/>
      <c r="R96" s="803">
        <f t="shared" si="5"/>
        <v>0</v>
      </c>
    </row>
    <row r="97" spans="2:18" ht="28.5" customHeight="1" x14ac:dyDescent="0.25">
      <c r="B97" s="1090" t="str">
        <f>"per 31/12/"&amp;$O$13</f>
        <v>per 31/12/2023</v>
      </c>
      <c r="C97" s="1091"/>
      <c r="D97" s="1091"/>
      <c r="E97" s="1092"/>
      <c r="F97" s="167"/>
      <c r="G97" s="247"/>
      <c r="H97" s="247"/>
      <c r="I97" s="247"/>
      <c r="J97" s="247"/>
      <c r="K97" s="247"/>
      <c r="L97" s="247">
        <f>H655</f>
        <v>0</v>
      </c>
      <c r="M97" s="247">
        <f>H656</f>
        <v>0</v>
      </c>
      <c r="N97" s="247"/>
      <c r="O97" s="247"/>
      <c r="P97" s="247"/>
      <c r="R97" s="803">
        <f t="shared" si="5"/>
        <v>0</v>
      </c>
    </row>
    <row r="98" spans="2:18" ht="28.5" customHeight="1" x14ac:dyDescent="0.25">
      <c r="B98" s="1090" t="str">
        <f>"per 31/12/"&amp;$P$13</f>
        <v>per 31/12/2024</v>
      </c>
      <c r="C98" s="1091"/>
      <c r="D98" s="1091"/>
      <c r="E98" s="1092"/>
      <c r="F98" s="167"/>
      <c r="G98" s="247"/>
      <c r="H98" s="247"/>
      <c r="I98" s="247"/>
      <c r="J98" s="247"/>
      <c r="K98" s="247"/>
      <c r="L98" s="247"/>
      <c r="M98" s="247">
        <f>H662</f>
        <v>0</v>
      </c>
      <c r="N98" s="247">
        <f>H663</f>
        <v>0</v>
      </c>
      <c r="O98" s="247"/>
      <c r="P98" s="247"/>
      <c r="R98" s="803">
        <f t="shared" si="5"/>
        <v>0</v>
      </c>
    </row>
    <row r="99" spans="2:18" ht="26.25" customHeight="1" x14ac:dyDescent="0.25">
      <c r="B99" s="1096" t="s">
        <v>96</v>
      </c>
      <c r="C99" s="1097"/>
      <c r="D99" s="1097"/>
      <c r="E99" s="1098"/>
      <c r="F99" s="167"/>
      <c r="G99" s="804"/>
      <c r="H99" s="804"/>
      <c r="I99" s="804"/>
      <c r="J99" s="804"/>
      <c r="K99" s="804"/>
      <c r="L99" s="804"/>
      <c r="M99" s="804"/>
      <c r="N99" s="804"/>
      <c r="O99" s="804"/>
      <c r="P99" s="804"/>
      <c r="R99" s="804"/>
    </row>
    <row r="100" spans="2:18" ht="28.5" customHeight="1" x14ac:dyDescent="0.25">
      <c r="B100" s="1090" t="str">
        <f>"per 31/12/"&amp;$G$13</f>
        <v>per 31/12/2015</v>
      </c>
      <c r="C100" s="1091"/>
      <c r="D100" s="1091"/>
      <c r="E100" s="1092"/>
      <c r="F100" s="167"/>
      <c r="G100" s="247"/>
      <c r="H100" s="247"/>
      <c r="I100" s="247"/>
      <c r="J100" s="247"/>
      <c r="K100" s="247"/>
      <c r="L100" s="247"/>
      <c r="M100" s="247"/>
      <c r="N100" s="247"/>
      <c r="O100" s="247"/>
      <c r="P100" s="247"/>
      <c r="R100" s="803">
        <f t="shared" si="5"/>
        <v>0</v>
      </c>
    </row>
    <row r="101" spans="2:18" ht="28.5" customHeight="1" x14ac:dyDescent="0.25">
      <c r="B101" s="1090" t="str">
        <f>"per 31/12/"&amp;$H$13</f>
        <v>per 31/12/2016</v>
      </c>
      <c r="C101" s="1091"/>
      <c r="D101" s="1091"/>
      <c r="E101" s="1092"/>
      <c r="F101" s="167"/>
      <c r="G101" s="247"/>
      <c r="H101" s="247"/>
      <c r="I101" s="247"/>
      <c r="J101" s="247"/>
      <c r="K101" s="247"/>
      <c r="L101" s="247"/>
      <c r="M101" s="247"/>
      <c r="N101" s="247"/>
      <c r="O101" s="247"/>
      <c r="P101" s="247"/>
      <c r="R101" s="803">
        <f t="shared" si="5"/>
        <v>0</v>
      </c>
    </row>
    <row r="102" spans="2:18" ht="28.5" customHeight="1" x14ac:dyDescent="0.25">
      <c r="B102" s="1090" t="str">
        <f>"per 31/12/"&amp;$I$13</f>
        <v>per 31/12/2017</v>
      </c>
      <c r="C102" s="1091"/>
      <c r="D102" s="1091"/>
      <c r="E102" s="1092"/>
      <c r="F102" s="167"/>
      <c r="G102" s="247">
        <f>J680</f>
        <v>0</v>
      </c>
      <c r="H102" s="247"/>
      <c r="I102" s="247"/>
      <c r="J102" s="247"/>
      <c r="K102" s="247"/>
      <c r="L102" s="247"/>
      <c r="M102" s="247"/>
      <c r="N102" s="247"/>
      <c r="O102" s="247"/>
      <c r="P102" s="247"/>
      <c r="R102" s="803">
        <f t="shared" si="5"/>
        <v>0</v>
      </c>
    </row>
    <row r="103" spans="2:18" ht="28.5" customHeight="1" x14ac:dyDescent="0.25">
      <c r="B103" s="1090" t="str">
        <f>"per 31/12/"&amp;$J$13</f>
        <v>per 31/12/2018</v>
      </c>
      <c r="C103" s="1091"/>
      <c r="D103" s="1091"/>
      <c r="E103" s="1092"/>
      <c r="F103" s="167"/>
      <c r="G103" s="247">
        <f>L685</f>
        <v>0</v>
      </c>
      <c r="H103" s="247">
        <f>L686</f>
        <v>0</v>
      </c>
      <c r="I103" s="247"/>
      <c r="J103" s="247"/>
      <c r="K103" s="247"/>
      <c r="L103" s="247"/>
      <c r="M103" s="247"/>
      <c r="N103" s="247"/>
      <c r="O103" s="247"/>
      <c r="P103" s="247"/>
      <c r="R103" s="803">
        <f t="shared" si="5"/>
        <v>0</v>
      </c>
    </row>
    <row r="104" spans="2:18" ht="28.5" customHeight="1" x14ac:dyDescent="0.25">
      <c r="B104" s="1090" t="str">
        <f>"per 31/12/"&amp;$K$13</f>
        <v>per 31/12/2019</v>
      </c>
      <c r="C104" s="1091"/>
      <c r="D104" s="1091"/>
      <c r="E104" s="1092"/>
      <c r="F104" s="167"/>
      <c r="G104" s="247">
        <f>L692</f>
        <v>0</v>
      </c>
      <c r="H104" s="247">
        <f>L693</f>
        <v>0</v>
      </c>
      <c r="I104" s="247">
        <f>L694</f>
        <v>0</v>
      </c>
      <c r="J104" s="247"/>
      <c r="K104" s="247"/>
      <c r="L104" s="247"/>
      <c r="M104" s="247"/>
      <c r="N104" s="247"/>
      <c r="O104" s="247"/>
      <c r="P104" s="247"/>
      <c r="R104" s="803">
        <f t="shared" si="5"/>
        <v>0</v>
      </c>
    </row>
    <row r="105" spans="2:18" ht="28.5" customHeight="1" x14ac:dyDescent="0.25">
      <c r="B105" s="1090" t="str">
        <f>"per 31/12/"&amp;$L$13</f>
        <v>per 31/12/2020</v>
      </c>
      <c r="C105" s="1091"/>
      <c r="D105" s="1091"/>
      <c r="E105" s="1092"/>
      <c r="F105" s="167"/>
      <c r="G105" s="247">
        <f>L700</f>
        <v>0</v>
      </c>
      <c r="H105" s="247">
        <f>L701</f>
        <v>0</v>
      </c>
      <c r="I105" s="247">
        <f>L702</f>
        <v>0</v>
      </c>
      <c r="J105" s="247">
        <f>L703</f>
        <v>0</v>
      </c>
      <c r="K105" s="247"/>
      <c r="L105" s="247"/>
      <c r="M105" s="247"/>
      <c r="N105" s="247"/>
      <c r="O105" s="247"/>
      <c r="P105" s="247"/>
      <c r="R105" s="803">
        <f t="shared" si="5"/>
        <v>0</v>
      </c>
    </row>
    <row r="106" spans="2:18" ht="28.5" customHeight="1" x14ac:dyDescent="0.25">
      <c r="B106" s="1090" t="str">
        <f>"per 31/12/"&amp;$M$13</f>
        <v>per 31/12/2021</v>
      </c>
      <c r="C106" s="1091"/>
      <c r="D106" s="1091"/>
      <c r="E106" s="1092"/>
      <c r="F106" s="167"/>
      <c r="G106" s="247">
        <f>H709</f>
        <v>0</v>
      </c>
      <c r="H106" s="247">
        <f>H710</f>
        <v>0</v>
      </c>
      <c r="I106" s="247">
        <f>H711</f>
        <v>0</v>
      </c>
      <c r="J106" s="247">
        <f>H712</f>
        <v>0</v>
      </c>
      <c r="K106" s="247">
        <f>H713</f>
        <v>0</v>
      </c>
      <c r="L106" s="247"/>
      <c r="M106" s="247"/>
      <c r="N106" s="247"/>
      <c r="O106" s="247"/>
      <c r="P106" s="247"/>
      <c r="R106" s="803">
        <f t="shared" si="5"/>
        <v>0</v>
      </c>
    </row>
    <row r="107" spans="2:18" ht="28.5" customHeight="1" x14ac:dyDescent="0.25">
      <c r="B107" s="1090" t="str">
        <f>"per 31/12/"&amp;$N$13</f>
        <v>per 31/12/2022</v>
      </c>
      <c r="C107" s="1091"/>
      <c r="D107" s="1091"/>
      <c r="E107" s="1092"/>
      <c r="F107" s="167"/>
      <c r="G107" s="247">
        <f>H719</f>
        <v>0</v>
      </c>
      <c r="H107" s="247">
        <f>H720</f>
        <v>0</v>
      </c>
      <c r="I107" s="247">
        <f>H721</f>
        <v>0</v>
      </c>
      <c r="J107" s="247">
        <f>H722</f>
        <v>0</v>
      </c>
      <c r="K107" s="247">
        <f>H723</f>
        <v>0</v>
      </c>
      <c r="L107" s="247">
        <f>H724</f>
        <v>0</v>
      </c>
      <c r="M107" s="247"/>
      <c r="N107" s="247"/>
      <c r="O107" s="247"/>
      <c r="P107" s="247"/>
      <c r="R107" s="803">
        <f t="shared" si="5"/>
        <v>0</v>
      </c>
    </row>
    <row r="108" spans="2:18" ht="28.5" customHeight="1" x14ac:dyDescent="0.25">
      <c r="B108" s="1090" t="str">
        <f>"per 31/12/"&amp;$O$13</f>
        <v>per 31/12/2023</v>
      </c>
      <c r="C108" s="1091"/>
      <c r="D108" s="1091"/>
      <c r="E108" s="1092"/>
      <c r="F108" s="167"/>
      <c r="G108" s="247"/>
      <c r="H108" s="247"/>
      <c r="I108" s="247"/>
      <c r="J108" s="247"/>
      <c r="K108" s="247"/>
      <c r="L108" s="247">
        <f>H730</f>
        <v>0</v>
      </c>
      <c r="M108" s="247">
        <f>H731</f>
        <v>0</v>
      </c>
      <c r="N108" s="247"/>
      <c r="O108" s="247"/>
      <c r="P108" s="247"/>
      <c r="R108" s="803">
        <f t="shared" si="5"/>
        <v>0</v>
      </c>
    </row>
    <row r="109" spans="2:18" ht="28.5" customHeight="1" x14ac:dyDescent="0.25">
      <c r="B109" s="1090" t="str">
        <f>"per 31/12/"&amp;$P$13</f>
        <v>per 31/12/2024</v>
      </c>
      <c r="C109" s="1091"/>
      <c r="D109" s="1091"/>
      <c r="E109" s="1092"/>
      <c r="F109" s="167"/>
      <c r="G109" s="247"/>
      <c r="H109" s="247"/>
      <c r="I109" s="247"/>
      <c r="J109" s="247"/>
      <c r="K109" s="247"/>
      <c r="L109" s="247"/>
      <c r="M109" s="247">
        <f>H737</f>
        <v>0</v>
      </c>
      <c r="N109" s="520"/>
      <c r="O109" s="247"/>
      <c r="P109" s="247"/>
      <c r="R109" s="803">
        <f t="shared" ref="R109" si="7">SUM(G109:P109)</f>
        <v>0</v>
      </c>
    </row>
    <row r="110" spans="2:18" ht="33" customHeight="1" x14ac:dyDescent="0.25">
      <c r="B110" s="1096" t="s">
        <v>357</v>
      </c>
      <c r="C110" s="1097"/>
      <c r="D110" s="1097"/>
      <c r="E110" s="1098"/>
      <c r="F110" s="167"/>
      <c r="G110" s="804"/>
      <c r="H110" s="804"/>
      <c r="I110" s="804"/>
      <c r="J110" s="804"/>
      <c r="K110" s="804"/>
      <c r="L110" s="804"/>
      <c r="M110" s="804"/>
      <c r="N110" s="804"/>
      <c r="O110" s="804"/>
      <c r="P110" s="804"/>
      <c r="R110" s="804"/>
    </row>
    <row r="111" spans="2:18" ht="28.5" customHeight="1" x14ac:dyDescent="0.25">
      <c r="B111" s="1090" t="str">
        <f>"per 31/12/"&amp;$G$13</f>
        <v>per 31/12/2015</v>
      </c>
      <c r="C111" s="1091"/>
      <c r="D111" s="1091"/>
      <c r="E111" s="1092"/>
      <c r="F111" s="167"/>
      <c r="G111" s="247"/>
      <c r="H111" s="247"/>
      <c r="I111" s="247"/>
      <c r="J111" s="247"/>
      <c r="K111" s="247"/>
      <c r="L111" s="247"/>
      <c r="M111" s="247"/>
      <c r="N111" s="247"/>
      <c r="O111" s="247"/>
      <c r="P111" s="247"/>
      <c r="R111" s="803">
        <f t="shared" ref="R111:R120" si="8">SUM(G111:P111)</f>
        <v>0</v>
      </c>
    </row>
    <row r="112" spans="2:18" ht="28.5" customHeight="1" x14ac:dyDescent="0.25">
      <c r="B112" s="1090" t="str">
        <f>"per 31/12/"&amp;$H$13</f>
        <v>per 31/12/2016</v>
      </c>
      <c r="C112" s="1091"/>
      <c r="D112" s="1091"/>
      <c r="E112" s="1092"/>
      <c r="F112" s="167"/>
      <c r="G112" s="247"/>
      <c r="H112" s="247"/>
      <c r="I112" s="247"/>
      <c r="J112" s="247"/>
      <c r="K112" s="247"/>
      <c r="L112" s="247"/>
      <c r="M112" s="247"/>
      <c r="N112" s="247"/>
      <c r="O112" s="247"/>
      <c r="P112" s="247"/>
      <c r="R112" s="803">
        <f t="shared" si="8"/>
        <v>0</v>
      </c>
    </row>
    <row r="113" spans="2:18" ht="28.5" customHeight="1" x14ac:dyDescent="0.25">
      <c r="B113" s="1090" t="str">
        <f>"per 31/12/"&amp;$I$13</f>
        <v>per 31/12/2017</v>
      </c>
      <c r="C113" s="1091"/>
      <c r="D113" s="1091"/>
      <c r="E113" s="1092"/>
      <c r="F113" s="167"/>
      <c r="G113" s="247">
        <f>J754</f>
        <v>0</v>
      </c>
      <c r="H113" s="247"/>
      <c r="I113" s="247"/>
      <c r="J113" s="247"/>
      <c r="K113" s="247"/>
      <c r="L113" s="247"/>
      <c r="M113" s="247"/>
      <c r="N113" s="247"/>
      <c r="O113" s="247"/>
      <c r="P113" s="247"/>
      <c r="R113" s="803">
        <f t="shared" si="8"/>
        <v>0</v>
      </c>
    </row>
    <row r="114" spans="2:18" ht="28.5" customHeight="1" x14ac:dyDescent="0.25">
      <c r="B114" s="1090" t="str">
        <f>"per 31/12/"&amp;$J$13</f>
        <v>per 31/12/2018</v>
      </c>
      <c r="C114" s="1091"/>
      <c r="D114" s="1091"/>
      <c r="E114" s="1092"/>
      <c r="F114" s="167"/>
      <c r="G114" s="247">
        <f>L759</f>
        <v>0</v>
      </c>
      <c r="H114" s="247">
        <f>L760</f>
        <v>0</v>
      </c>
      <c r="I114" s="247"/>
      <c r="J114" s="247"/>
      <c r="K114" s="247"/>
      <c r="L114" s="247"/>
      <c r="M114" s="247"/>
      <c r="N114" s="247"/>
      <c r="O114" s="247"/>
      <c r="P114" s="247"/>
      <c r="R114" s="803">
        <f t="shared" si="8"/>
        <v>0</v>
      </c>
    </row>
    <row r="115" spans="2:18" ht="28.5" customHeight="1" x14ac:dyDescent="0.25">
      <c r="B115" s="1090" t="str">
        <f>"per 31/12/"&amp;$K$13</f>
        <v>per 31/12/2019</v>
      </c>
      <c r="C115" s="1091"/>
      <c r="D115" s="1091"/>
      <c r="E115" s="1092"/>
      <c r="F115" s="167"/>
      <c r="G115" s="247">
        <f>L766</f>
        <v>0</v>
      </c>
      <c r="H115" s="247">
        <f>L767</f>
        <v>0</v>
      </c>
      <c r="I115" s="247">
        <f>L768</f>
        <v>0</v>
      </c>
      <c r="J115" s="247"/>
      <c r="K115" s="247"/>
      <c r="L115" s="247"/>
      <c r="M115" s="247"/>
      <c r="N115" s="247"/>
      <c r="O115" s="247"/>
      <c r="P115" s="247"/>
      <c r="R115" s="803">
        <f t="shared" si="8"/>
        <v>0</v>
      </c>
    </row>
    <row r="116" spans="2:18" ht="28.5" customHeight="1" x14ac:dyDescent="0.25">
      <c r="B116" s="1090" t="str">
        <f>"per 31/12/"&amp;$L$13</f>
        <v>per 31/12/2020</v>
      </c>
      <c r="C116" s="1091"/>
      <c r="D116" s="1091"/>
      <c r="E116" s="1092"/>
      <c r="F116" s="167"/>
      <c r="G116" s="247">
        <f>L774</f>
        <v>0</v>
      </c>
      <c r="H116" s="247">
        <f>L775</f>
        <v>0</v>
      </c>
      <c r="I116" s="247">
        <f>L776</f>
        <v>0</v>
      </c>
      <c r="J116" s="247">
        <f>L777</f>
        <v>0</v>
      </c>
      <c r="K116" s="247"/>
      <c r="L116" s="247"/>
      <c r="M116" s="247"/>
      <c r="N116" s="247"/>
      <c r="O116" s="247"/>
      <c r="P116" s="247"/>
      <c r="R116" s="803">
        <f t="shared" si="8"/>
        <v>0</v>
      </c>
    </row>
    <row r="117" spans="2:18" ht="28.5" customHeight="1" x14ac:dyDescent="0.25">
      <c r="B117" s="1090" t="str">
        <f>"per 31/12/"&amp;$M$13</f>
        <v>per 31/12/2021</v>
      </c>
      <c r="C117" s="1091"/>
      <c r="D117" s="1091"/>
      <c r="E117" s="1092"/>
      <c r="F117" s="167"/>
      <c r="G117" s="247">
        <f>H783</f>
        <v>0</v>
      </c>
      <c r="H117" s="247">
        <f>H784</f>
        <v>0</v>
      </c>
      <c r="I117" s="247">
        <f>H785</f>
        <v>0</v>
      </c>
      <c r="J117" s="247">
        <f>H786</f>
        <v>0</v>
      </c>
      <c r="K117" s="247">
        <f>H787</f>
        <v>0</v>
      </c>
      <c r="L117" s="247"/>
      <c r="M117" s="247"/>
      <c r="N117" s="247"/>
      <c r="O117" s="247"/>
      <c r="P117" s="247"/>
      <c r="R117" s="803">
        <f t="shared" si="8"/>
        <v>0</v>
      </c>
    </row>
    <row r="118" spans="2:18" ht="28.5" customHeight="1" x14ac:dyDescent="0.25">
      <c r="B118" s="1090" t="str">
        <f>"per 31/12/"&amp;$N$13</f>
        <v>per 31/12/2022</v>
      </c>
      <c r="C118" s="1091"/>
      <c r="D118" s="1091"/>
      <c r="E118" s="1092"/>
      <c r="F118" s="167"/>
      <c r="G118" s="247">
        <f>H793</f>
        <v>0</v>
      </c>
      <c r="H118" s="247">
        <f>H794</f>
        <v>0</v>
      </c>
      <c r="I118" s="247">
        <f>H795</f>
        <v>0</v>
      </c>
      <c r="J118" s="247">
        <f>H796</f>
        <v>0</v>
      </c>
      <c r="K118" s="247">
        <f>H797</f>
        <v>0</v>
      </c>
      <c r="L118" s="247">
        <f>H798</f>
        <v>0</v>
      </c>
      <c r="M118" s="247"/>
      <c r="N118" s="247"/>
      <c r="O118" s="247"/>
      <c r="P118" s="247"/>
      <c r="R118" s="803">
        <f t="shared" si="8"/>
        <v>0</v>
      </c>
    </row>
    <row r="119" spans="2:18" ht="28.5" customHeight="1" x14ac:dyDescent="0.25">
      <c r="B119" s="1090" t="str">
        <f>"per 31/12/"&amp;$O$13</f>
        <v>per 31/12/2023</v>
      </c>
      <c r="C119" s="1091"/>
      <c r="D119" s="1091"/>
      <c r="E119" s="1092"/>
      <c r="F119" s="167"/>
      <c r="G119" s="247"/>
      <c r="H119" s="247"/>
      <c r="I119" s="247"/>
      <c r="J119" s="247"/>
      <c r="K119" s="247"/>
      <c r="L119" s="247">
        <f>H804</f>
        <v>0</v>
      </c>
      <c r="M119" s="247">
        <f>H805</f>
        <v>0</v>
      </c>
      <c r="N119" s="247"/>
      <c r="O119" s="247"/>
      <c r="P119" s="247"/>
      <c r="R119" s="803">
        <f t="shared" si="8"/>
        <v>0</v>
      </c>
    </row>
    <row r="120" spans="2:18" ht="28.5" customHeight="1" x14ac:dyDescent="0.25">
      <c r="B120" s="1090" t="str">
        <f>"per 31/12/"&amp;$P$13</f>
        <v>per 31/12/2024</v>
      </c>
      <c r="C120" s="1091"/>
      <c r="D120" s="1091"/>
      <c r="E120" s="1092"/>
      <c r="F120" s="167"/>
      <c r="G120" s="247"/>
      <c r="H120" s="247"/>
      <c r="I120" s="247"/>
      <c r="J120" s="247"/>
      <c r="K120" s="247"/>
      <c r="L120" s="247"/>
      <c r="M120" s="247">
        <f>H811</f>
        <v>0</v>
      </c>
      <c r="N120" s="247">
        <f>H812</f>
        <v>0</v>
      </c>
      <c r="O120" s="247"/>
      <c r="P120" s="247"/>
      <c r="R120" s="803">
        <f t="shared" si="8"/>
        <v>0</v>
      </c>
    </row>
    <row r="121" spans="2:18" ht="33" customHeight="1" x14ac:dyDescent="0.25">
      <c r="B121" s="1096" t="s">
        <v>349</v>
      </c>
      <c r="C121" s="1097"/>
      <c r="D121" s="1097"/>
      <c r="E121" s="1098"/>
      <c r="F121" s="167"/>
      <c r="G121" s="804"/>
      <c r="H121" s="804"/>
      <c r="I121" s="804"/>
      <c r="J121" s="804"/>
      <c r="K121" s="804"/>
      <c r="L121" s="804"/>
      <c r="M121" s="804"/>
      <c r="N121" s="804"/>
      <c r="O121" s="804"/>
      <c r="P121" s="804"/>
      <c r="R121" s="804"/>
    </row>
    <row r="122" spans="2:18" ht="28.5" customHeight="1" x14ac:dyDescent="0.25">
      <c r="B122" s="1090" t="str">
        <f>"per 31/12/"&amp;$G$13</f>
        <v>per 31/12/2015</v>
      </c>
      <c r="C122" s="1091"/>
      <c r="D122" s="1091"/>
      <c r="E122" s="1092"/>
      <c r="F122" s="167"/>
      <c r="G122" s="247"/>
      <c r="H122" s="247"/>
      <c r="I122" s="247"/>
      <c r="J122" s="247"/>
      <c r="K122" s="247"/>
      <c r="L122" s="247"/>
      <c r="M122" s="247"/>
      <c r="N122" s="247"/>
      <c r="O122" s="247"/>
      <c r="P122" s="247"/>
      <c r="R122" s="803">
        <f t="shared" ref="R122:R131" si="9">SUM(G122:P122)</f>
        <v>0</v>
      </c>
    </row>
    <row r="123" spans="2:18" ht="28.5" customHeight="1" x14ac:dyDescent="0.25">
      <c r="B123" s="1090" t="str">
        <f>"per 31/12/"&amp;$H$13</f>
        <v>per 31/12/2016</v>
      </c>
      <c r="C123" s="1091"/>
      <c r="D123" s="1091"/>
      <c r="E123" s="1092"/>
      <c r="F123" s="167"/>
      <c r="G123" s="247"/>
      <c r="H123" s="247"/>
      <c r="I123" s="247"/>
      <c r="J123" s="247"/>
      <c r="K123" s="247"/>
      <c r="L123" s="247"/>
      <c r="M123" s="247"/>
      <c r="N123" s="247"/>
      <c r="O123" s="247"/>
      <c r="P123" s="247"/>
      <c r="R123" s="803">
        <f t="shared" si="9"/>
        <v>0</v>
      </c>
    </row>
    <row r="124" spans="2:18" ht="28.5" customHeight="1" x14ac:dyDescent="0.25">
      <c r="B124" s="1090" t="str">
        <f>"per 31/12/"&amp;$I$13</f>
        <v>per 31/12/2017</v>
      </c>
      <c r="C124" s="1091"/>
      <c r="D124" s="1091"/>
      <c r="E124" s="1092"/>
      <c r="F124" s="167"/>
      <c r="G124" s="247">
        <f>+J829</f>
        <v>0</v>
      </c>
      <c r="H124" s="247"/>
      <c r="I124" s="247"/>
      <c r="J124" s="247"/>
      <c r="K124" s="247"/>
      <c r="L124" s="247"/>
      <c r="M124" s="247"/>
      <c r="N124" s="247"/>
      <c r="O124" s="247"/>
      <c r="P124" s="247"/>
      <c r="R124" s="803">
        <f t="shared" si="9"/>
        <v>0</v>
      </c>
    </row>
    <row r="125" spans="2:18" ht="28.5" customHeight="1" x14ac:dyDescent="0.25">
      <c r="B125" s="1090" t="str">
        <f>"per 31/12/"&amp;$J$13</f>
        <v>per 31/12/2018</v>
      </c>
      <c r="C125" s="1091"/>
      <c r="D125" s="1091"/>
      <c r="E125" s="1092"/>
      <c r="F125" s="167"/>
      <c r="G125" s="247">
        <f>+L834</f>
        <v>0</v>
      </c>
      <c r="H125" s="247">
        <f>+L835</f>
        <v>0</v>
      </c>
      <c r="I125" s="247"/>
      <c r="J125" s="247"/>
      <c r="K125" s="247"/>
      <c r="L125" s="247"/>
      <c r="M125" s="247"/>
      <c r="N125" s="247"/>
      <c r="O125" s="247"/>
      <c r="P125" s="247"/>
      <c r="R125" s="803">
        <f t="shared" si="9"/>
        <v>0</v>
      </c>
    </row>
    <row r="126" spans="2:18" ht="28.5" customHeight="1" x14ac:dyDescent="0.25">
      <c r="B126" s="1090" t="str">
        <f>"per 31/12/"&amp;$K$13</f>
        <v>per 31/12/2019</v>
      </c>
      <c r="C126" s="1091"/>
      <c r="D126" s="1091"/>
      <c r="E126" s="1092"/>
      <c r="F126" s="167"/>
      <c r="G126" s="247">
        <f>+L841</f>
        <v>0</v>
      </c>
      <c r="H126" s="247">
        <f>+L842</f>
        <v>0</v>
      </c>
      <c r="I126" s="247">
        <f>+L843</f>
        <v>0</v>
      </c>
      <c r="J126" s="247"/>
      <c r="K126" s="247"/>
      <c r="L126" s="247"/>
      <c r="M126" s="247"/>
      <c r="N126" s="247"/>
      <c r="O126" s="247"/>
      <c r="P126" s="247"/>
      <c r="R126" s="803">
        <f t="shared" si="9"/>
        <v>0</v>
      </c>
    </row>
    <row r="127" spans="2:18" ht="28.5" customHeight="1" x14ac:dyDescent="0.25">
      <c r="B127" s="1090" t="str">
        <f>"per 31/12/"&amp;$L$13</f>
        <v>per 31/12/2020</v>
      </c>
      <c r="C127" s="1091"/>
      <c r="D127" s="1091"/>
      <c r="E127" s="1092"/>
      <c r="F127" s="167"/>
      <c r="G127" s="247">
        <f>+L849</f>
        <v>0</v>
      </c>
      <c r="H127" s="247">
        <f>+L850</f>
        <v>0</v>
      </c>
      <c r="I127" s="247">
        <f>+L851</f>
        <v>0</v>
      </c>
      <c r="J127" s="247">
        <f>+L852</f>
        <v>0</v>
      </c>
      <c r="K127" s="247"/>
      <c r="L127" s="247"/>
      <c r="M127" s="247"/>
      <c r="N127" s="247"/>
      <c r="O127" s="247"/>
      <c r="P127" s="247"/>
      <c r="R127" s="803">
        <f t="shared" si="9"/>
        <v>0</v>
      </c>
    </row>
    <row r="128" spans="2:18" ht="28.5" customHeight="1" x14ac:dyDescent="0.25">
      <c r="B128" s="1090" t="str">
        <f>"per 31/12/"&amp;$M$13</f>
        <v>per 31/12/2021</v>
      </c>
      <c r="C128" s="1091"/>
      <c r="D128" s="1091"/>
      <c r="E128" s="1092"/>
      <c r="F128" s="167"/>
      <c r="G128" s="247">
        <f>+H858</f>
        <v>0</v>
      </c>
      <c r="H128" s="247">
        <f>+H859</f>
        <v>0</v>
      </c>
      <c r="I128" s="247">
        <f>+H860</f>
        <v>0</v>
      </c>
      <c r="J128" s="247">
        <f>+H861</f>
        <v>0</v>
      </c>
      <c r="K128" s="247">
        <f>+H862</f>
        <v>0</v>
      </c>
      <c r="L128" s="247"/>
      <c r="M128" s="247"/>
      <c r="N128" s="247"/>
      <c r="O128" s="247"/>
      <c r="P128" s="247"/>
      <c r="R128" s="803">
        <f t="shared" si="9"/>
        <v>0</v>
      </c>
    </row>
    <row r="129" spans="2:18" ht="28.5" customHeight="1" x14ac:dyDescent="0.25">
      <c r="B129" s="1090" t="str">
        <f>"per 31/12/"&amp;$N$13</f>
        <v>per 31/12/2022</v>
      </c>
      <c r="C129" s="1091"/>
      <c r="D129" s="1091"/>
      <c r="E129" s="1092"/>
      <c r="F129" s="167"/>
      <c r="G129" s="247">
        <f>+H868</f>
        <v>0</v>
      </c>
      <c r="H129" s="247">
        <f>+H869</f>
        <v>0</v>
      </c>
      <c r="I129" s="247">
        <f>+H870</f>
        <v>0</v>
      </c>
      <c r="J129" s="247">
        <f>+H871</f>
        <v>0</v>
      </c>
      <c r="K129" s="247">
        <f>+H872</f>
        <v>0</v>
      </c>
      <c r="L129" s="247">
        <f>+H873</f>
        <v>0</v>
      </c>
      <c r="M129" s="247"/>
      <c r="N129" s="247"/>
      <c r="O129" s="247"/>
      <c r="P129" s="247"/>
      <c r="R129" s="803">
        <f t="shared" si="9"/>
        <v>0</v>
      </c>
    </row>
    <row r="130" spans="2:18" ht="28.5" customHeight="1" x14ac:dyDescent="0.25">
      <c r="B130" s="1090" t="str">
        <f>"per 31/12/"&amp;$O$13</f>
        <v>per 31/12/2023</v>
      </c>
      <c r="C130" s="1091"/>
      <c r="D130" s="1091"/>
      <c r="E130" s="1092"/>
      <c r="F130" s="167"/>
      <c r="G130" s="247"/>
      <c r="H130" s="247"/>
      <c r="I130" s="247"/>
      <c r="J130" s="247"/>
      <c r="K130" s="247"/>
      <c r="L130" s="247">
        <f>+H879</f>
        <v>0</v>
      </c>
      <c r="M130" s="247">
        <f>+H880</f>
        <v>0</v>
      </c>
      <c r="N130" s="247"/>
      <c r="O130" s="247"/>
      <c r="P130" s="247"/>
      <c r="R130" s="803">
        <f t="shared" si="9"/>
        <v>0</v>
      </c>
    </row>
    <row r="131" spans="2:18" ht="28.5" customHeight="1" x14ac:dyDescent="0.25">
      <c r="B131" s="1090" t="str">
        <f>"per 31/12/"&amp;$P$13</f>
        <v>per 31/12/2024</v>
      </c>
      <c r="C131" s="1091"/>
      <c r="D131" s="1091"/>
      <c r="E131" s="1092"/>
      <c r="F131" s="167"/>
      <c r="G131" s="247"/>
      <c r="H131" s="247"/>
      <c r="I131" s="247"/>
      <c r="J131" s="247"/>
      <c r="K131" s="247"/>
      <c r="L131" s="247"/>
      <c r="M131" s="247">
        <f>+H886</f>
        <v>0</v>
      </c>
      <c r="N131" s="520"/>
      <c r="O131" s="247"/>
      <c r="P131" s="247"/>
      <c r="R131" s="803">
        <f t="shared" si="9"/>
        <v>0</v>
      </c>
    </row>
    <row r="132" spans="2:18" ht="33" customHeight="1" x14ac:dyDescent="0.25">
      <c r="B132" s="1096" t="s">
        <v>352</v>
      </c>
      <c r="C132" s="1097"/>
      <c r="D132" s="1097"/>
      <c r="E132" s="1098"/>
      <c r="F132" s="167"/>
      <c r="G132" s="804"/>
      <c r="H132" s="804"/>
      <c r="I132" s="804"/>
      <c r="J132" s="804"/>
      <c r="K132" s="804"/>
      <c r="L132" s="804"/>
      <c r="M132" s="804"/>
      <c r="N132" s="804"/>
      <c r="O132" s="804"/>
      <c r="P132" s="804"/>
      <c r="R132" s="804"/>
    </row>
    <row r="133" spans="2:18" ht="28.5" customHeight="1" x14ac:dyDescent="0.25">
      <c r="B133" s="1081" t="str">
        <f>"per 31/12/"&amp;$G$13</f>
        <v>per 31/12/2015</v>
      </c>
      <c r="C133" s="1082"/>
      <c r="D133" s="1082"/>
      <c r="E133" s="1083"/>
      <c r="F133" s="167"/>
      <c r="G133" s="247"/>
      <c r="H133" s="247"/>
      <c r="I133" s="247"/>
      <c r="J133" s="247"/>
      <c r="K133" s="247"/>
      <c r="L133" s="247"/>
      <c r="M133" s="247"/>
      <c r="N133" s="247"/>
      <c r="O133" s="247"/>
      <c r="P133" s="247"/>
      <c r="R133" s="805"/>
    </row>
    <row r="134" spans="2:18" ht="28.5" customHeight="1" x14ac:dyDescent="0.25">
      <c r="B134" s="1081" t="str">
        <f>"per 31/12/"&amp;$H$13</f>
        <v>per 31/12/2016</v>
      </c>
      <c r="C134" s="1082"/>
      <c r="D134" s="1082"/>
      <c r="E134" s="1083"/>
      <c r="F134" s="167"/>
      <c r="G134" s="247"/>
      <c r="H134" s="247"/>
      <c r="I134" s="247"/>
      <c r="J134" s="247"/>
      <c r="K134" s="247"/>
      <c r="L134" s="247"/>
      <c r="M134" s="247"/>
      <c r="N134" s="247"/>
      <c r="O134" s="247"/>
      <c r="P134" s="247"/>
      <c r="R134" s="805"/>
    </row>
    <row r="135" spans="2:18" ht="28.5" customHeight="1" x14ac:dyDescent="0.25">
      <c r="B135" s="1081" t="str">
        <f>"per 31/12/"&amp;$I$13</f>
        <v>per 31/12/2017</v>
      </c>
      <c r="C135" s="1082"/>
      <c r="D135" s="1082"/>
      <c r="E135" s="1083"/>
      <c r="F135" s="167"/>
      <c r="G135" s="520"/>
      <c r="H135" s="247"/>
      <c r="I135" s="247"/>
      <c r="J135" s="247"/>
      <c r="K135" s="247"/>
      <c r="L135" s="247"/>
      <c r="M135" s="247"/>
      <c r="N135" s="247"/>
      <c r="O135" s="247"/>
      <c r="P135" s="247"/>
      <c r="R135" s="805"/>
    </row>
    <row r="136" spans="2:18" ht="28.5" customHeight="1" x14ac:dyDescent="0.25">
      <c r="B136" s="1081" t="str">
        <f>"per 31/12/"&amp;$J$13</f>
        <v>per 31/12/2018</v>
      </c>
      <c r="C136" s="1082"/>
      <c r="D136" s="1082"/>
      <c r="E136" s="1083"/>
      <c r="F136" s="167"/>
      <c r="G136" s="520"/>
      <c r="H136" s="520"/>
      <c r="I136" s="247"/>
      <c r="J136" s="247"/>
      <c r="K136" s="247"/>
      <c r="L136" s="247"/>
      <c r="M136" s="247"/>
      <c r="N136" s="247"/>
      <c r="O136" s="247"/>
      <c r="P136" s="247"/>
      <c r="R136" s="805"/>
    </row>
    <row r="137" spans="2:18" ht="28.5" customHeight="1" x14ac:dyDescent="0.25">
      <c r="B137" s="1081" t="str">
        <f>"per 31/12/"&amp;$K$13</f>
        <v>per 31/12/2019</v>
      </c>
      <c r="C137" s="1082"/>
      <c r="D137" s="1082"/>
      <c r="E137" s="1083"/>
      <c r="F137" s="167"/>
      <c r="G137" s="520"/>
      <c r="H137" s="520"/>
      <c r="I137" s="520"/>
      <c r="J137" s="247"/>
      <c r="K137" s="247"/>
      <c r="L137" s="247"/>
      <c r="M137" s="247"/>
      <c r="N137" s="247"/>
      <c r="O137" s="247"/>
      <c r="P137" s="247"/>
      <c r="R137" s="805"/>
    </row>
    <row r="138" spans="2:18" ht="28.5" customHeight="1" x14ac:dyDescent="0.25">
      <c r="B138" s="1081" t="str">
        <f>"per 31/12/"&amp;$L$13</f>
        <v>per 31/12/2020</v>
      </c>
      <c r="C138" s="1082"/>
      <c r="D138" s="1082"/>
      <c r="E138" s="1083"/>
      <c r="F138" s="167"/>
      <c r="G138" s="520"/>
      <c r="H138" s="520"/>
      <c r="I138" s="520"/>
      <c r="J138" s="520"/>
      <c r="K138" s="247"/>
      <c r="L138" s="247"/>
      <c r="M138" s="247"/>
      <c r="N138" s="247"/>
      <c r="O138" s="247"/>
      <c r="P138" s="247"/>
      <c r="R138" s="805"/>
    </row>
    <row r="139" spans="2:18" ht="28.5" customHeight="1" x14ac:dyDescent="0.25">
      <c r="B139" s="1081" t="str">
        <f>"per 31/12/"&amp;$M$13</f>
        <v>per 31/12/2021</v>
      </c>
      <c r="C139" s="1082"/>
      <c r="D139" s="1082"/>
      <c r="E139" s="1083"/>
      <c r="F139" s="167"/>
      <c r="G139" s="520"/>
      <c r="H139" s="520"/>
      <c r="I139" s="520"/>
      <c r="J139" s="520"/>
      <c r="K139" s="520"/>
      <c r="L139" s="247"/>
      <c r="M139" s="247"/>
      <c r="N139" s="247"/>
      <c r="O139" s="247"/>
      <c r="P139" s="247"/>
      <c r="R139" s="805"/>
    </row>
    <row r="140" spans="2:18" ht="28.5" customHeight="1" x14ac:dyDescent="0.25">
      <c r="B140" s="1081" t="str">
        <f>"per 31/12/"&amp;$N$13</f>
        <v>per 31/12/2022</v>
      </c>
      <c r="C140" s="1082"/>
      <c r="D140" s="1082"/>
      <c r="E140" s="1083"/>
      <c r="F140" s="167"/>
      <c r="G140" s="520"/>
      <c r="H140" s="520"/>
      <c r="I140" s="520"/>
      <c r="J140" s="520"/>
      <c r="K140" s="520"/>
      <c r="L140" s="520"/>
      <c r="M140" s="247"/>
      <c r="N140" s="247"/>
      <c r="O140" s="247"/>
      <c r="P140" s="247"/>
      <c r="R140" s="805"/>
    </row>
    <row r="141" spans="2:18" ht="28.5" customHeight="1" x14ac:dyDescent="0.25">
      <c r="B141" s="1081" t="str">
        <f>"per 31/12/"&amp;$O$13</f>
        <v>per 31/12/2023</v>
      </c>
      <c r="C141" s="1082"/>
      <c r="D141" s="1082"/>
      <c r="E141" s="1083"/>
      <c r="F141" s="167"/>
      <c r="G141" s="247"/>
      <c r="H141" s="247"/>
      <c r="I141" s="247"/>
      <c r="J141" s="247"/>
      <c r="K141" s="247"/>
      <c r="L141" s="520"/>
      <c r="M141" s="520"/>
      <c r="N141" s="247"/>
      <c r="O141" s="247"/>
      <c r="P141" s="247"/>
      <c r="R141" s="805"/>
    </row>
    <row r="142" spans="2:18" ht="28.5" customHeight="1" x14ac:dyDescent="0.25">
      <c r="B142" s="1090" t="str">
        <f>"per 31/12/"&amp;$P$13</f>
        <v>per 31/12/2024</v>
      </c>
      <c r="C142" s="1091"/>
      <c r="D142" s="1091"/>
      <c r="E142" s="1092"/>
      <c r="F142" s="167"/>
      <c r="G142" s="247"/>
      <c r="H142" s="247"/>
      <c r="I142" s="247"/>
      <c r="J142" s="247"/>
      <c r="K142" s="247"/>
      <c r="L142" s="247"/>
      <c r="M142" s="520"/>
      <c r="N142" s="247">
        <f>+H903</f>
        <v>0</v>
      </c>
      <c r="O142" s="247"/>
      <c r="P142" s="247"/>
      <c r="R142" s="803">
        <f>+N142</f>
        <v>0</v>
      </c>
    </row>
    <row r="143" spans="2:18" x14ac:dyDescent="0.25">
      <c r="G143" s="301"/>
      <c r="H143" s="301"/>
      <c r="I143" s="301"/>
      <c r="J143" s="301"/>
      <c r="K143" s="301"/>
      <c r="L143" s="301"/>
      <c r="M143" s="301"/>
      <c r="N143" s="301"/>
      <c r="O143" s="301"/>
      <c r="P143" s="301"/>
      <c r="R143" s="301"/>
    </row>
    <row r="144" spans="2:18" s="216" customFormat="1" ht="13" x14ac:dyDescent="0.25">
      <c r="B144" s="1105"/>
      <c r="C144" s="1105"/>
      <c r="D144" s="1105"/>
      <c r="E144" s="1105"/>
      <c r="G144" s="304"/>
      <c r="H144" s="304"/>
      <c r="I144" s="304"/>
      <c r="J144" s="304"/>
      <c r="K144" s="304"/>
      <c r="L144" s="304"/>
      <c r="M144" s="304"/>
      <c r="N144" s="304"/>
      <c r="O144" s="304"/>
      <c r="P144" s="304"/>
      <c r="Q144" s="205"/>
      <c r="R144" s="304"/>
    </row>
    <row r="145" spans="1:18" s="216" customFormat="1" ht="13" x14ac:dyDescent="0.25">
      <c r="B145" s="310"/>
      <c r="C145" s="311"/>
      <c r="D145" s="311"/>
      <c r="E145" s="312"/>
      <c r="F145" s="275"/>
      <c r="G145" s="784">
        <v>2015</v>
      </c>
      <c r="H145" s="165">
        <f>+G145+1</f>
        <v>2016</v>
      </c>
      <c r="I145" s="165">
        <f>+H145+1</f>
        <v>2017</v>
      </c>
      <c r="J145" s="165">
        <f>+I145+1</f>
        <v>2018</v>
      </c>
      <c r="K145" s="165">
        <f>+J145+1</f>
        <v>2019</v>
      </c>
      <c r="L145" s="165">
        <f t="shared" ref="L145:P145" si="10">+K145+1</f>
        <v>2020</v>
      </c>
      <c r="M145" s="165">
        <f t="shared" si="10"/>
        <v>2021</v>
      </c>
      <c r="N145" s="165">
        <f t="shared" si="10"/>
        <v>2022</v>
      </c>
      <c r="O145" s="165">
        <f t="shared" si="10"/>
        <v>2023</v>
      </c>
      <c r="P145" s="165">
        <f t="shared" si="10"/>
        <v>2024</v>
      </c>
      <c r="Q145" s="203"/>
      <c r="R145" s="165" t="s">
        <v>20</v>
      </c>
    </row>
    <row r="146" spans="1:18" s="212" customFormat="1" ht="26.25" customHeight="1" x14ac:dyDescent="0.25">
      <c r="B146" s="1093" t="s">
        <v>126</v>
      </c>
      <c r="C146" s="1094"/>
      <c r="D146" s="1094"/>
      <c r="E146" s="1095"/>
      <c r="F146" s="171"/>
      <c r="G146" s="170"/>
      <c r="H146" s="170"/>
      <c r="I146" s="170"/>
      <c r="J146" s="170"/>
      <c r="K146" s="170"/>
      <c r="L146" s="170"/>
      <c r="M146" s="170"/>
      <c r="N146" s="170"/>
      <c r="O146" s="170"/>
      <c r="P146" s="170"/>
      <c r="Q146" s="204"/>
      <c r="R146" s="170"/>
    </row>
    <row r="147" spans="1:18" ht="28.5" customHeight="1" x14ac:dyDescent="0.25">
      <c r="A147" s="291"/>
      <c r="B147" s="1084" t="str">
        <f>"per 31/12/"&amp;$G$13</f>
        <v>per 31/12/2015</v>
      </c>
      <c r="C147" s="1085"/>
      <c r="D147" s="1085"/>
      <c r="E147" s="1086"/>
      <c r="F147" s="313"/>
      <c r="G147" s="806"/>
      <c r="H147" s="806"/>
      <c r="I147" s="806"/>
      <c r="J147" s="806"/>
      <c r="K147" s="806"/>
      <c r="L147" s="806"/>
      <c r="M147" s="806"/>
      <c r="N147" s="806"/>
      <c r="O147" s="806"/>
      <c r="P147" s="806"/>
      <c r="R147" s="807">
        <f t="shared" ref="R147:R156" si="11">SUMIFS(R$34:R$142,$B$34:$B$142,$B147)</f>
        <v>0</v>
      </c>
    </row>
    <row r="148" spans="1:18" ht="28.5" customHeight="1" x14ac:dyDescent="0.25">
      <c r="A148" s="291"/>
      <c r="B148" s="1084" t="str">
        <f>"per 31/12/"&amp;$H$13</f>
        <v>per 31/12/2016</v>
      </c>
      <c r="C148" s="1085"/>
      <c r="D148" s="1085"/>
      <c r="E148" s="1086"/>
      <c r="F148" s="313"/>
      <c r="G148" s="806"/>
      <c r="H148" s="806"/>
      <c r="I148" s="806"/>
      <c r="J148" s="806"/>
      <c r="K148" s="806"/>
      <c r="L148" s="806"/>
      <c r="M148" s="806"/>
      <c r="N148" s="806"/>
      <c r="O148" s="806"/>
      <c r="P148" s="806"/>
      <c r="R148" s="807">
        <f t="shared" si="11"/>
        <v>0</v>
      </c>
    </row>
    <row r="149" spans="1:18" ht="28.5" customHeight="1" x14ac:dyDescent="0.25">
      <c r="A149" s="291"/>
      <c r="B149" s="1084" t="str">
        <f>"per 31/12/"&amp;$I$13</f>
        <v>per 31/12/2017</v>
      </c>
      <c r="C149" s="1085"/>
      <c r="D149" s="1085"/>
      <c r="E149" s="1086"/>
      <c r="F149" s="313"/>
      <c r="G149" s="806">
        <f>SUMIFS(G$34:G$142,$B$34:$B$142,$B149)</f>
        <v>0</v>
      </c>
      <c r="H149" s="806"/>
      <c r="I149" s="806"/>
      <c r="J149" s="806"/>
      <c r="K149" s="806"/>
      <c r="L149" s="806"/>
      <c r="M149" s="806"/>
      <c r="N149" s="806"/>
      <c r="O149" s="806"/>
      <c r="P149" s="806"/>
      <c r="R149" s="807">
        <f t="shared" si="11"/>
        <v>0</v>
      </c>
    </row>
    <row r="150" spans="1:18" ht="28.5" customHeight="1" x14ac:dyDescent="0.25">
      <c r="A150" s="291"/>
      <c r="B150" s="1084" t="str">
        <f>"per 31/12/"&amp;$J$13</f>
        <v>per 31/12/2018</v>
      </c>
      <c r="C150" s="1085"/>
      <c r="D150" s="1085"/>
      <c r="E150" s="1086"/>
      <c r="F150" s="313"/>
      <c r="G150" s="806">
        <f t="shared" ref="G150:M156" si="12">SUMIFS(G$34:G$142,$B$34:$B$142,$B150)</f>
        <v>0</v>
      </c>
      <c r="H150" s="806">
        <f t="shared" si="12"/>
        <v>0</v>
      </c>
      <c r="I150" s="806"/>
      <c r="J150" s="806"/>
      <c r="K150" s="806"/>
      <c r="L150" s="806"/>
      <c r="M150" s="806"/>
      <c r="N150" s="806"/>
      <c r="O150" s="806"/>
      <c r="P150" s="806"/>
      <c r="R150" s="807">
        <f t="shared" si="11"/>
        <v>0</v>
      </c>
    </row>
    <row r="151" spans="1:18" ht="28.5" customHeight="1" x14ac:dyDescent="0.25">
      <c r="A151" s="291"/>
      <c r="B151" s="1084" t="str">
        <f>"per 31/12/"&amp;$K$13</f>
        <v>per 31/12/2019</v>
      </c>
      <c r="C151" s="1085"/>
      <c r="D151" s="1085"/>
      <c r="E151" s="1086"/>
      <c r="F151" s="313"/>
      <c r="G151" s="806">
        <f t="shared" si="12"/>
        <v>0</v>
      </c>
      <c r="H151" s="806">
        <f t="shared" si="12"/>
        <v>0</v>
      </c>
      <c r="I151" s="806">
        <f t="shared" si="12"/>
        <v>0</v>
      </c>
      <c r="J151" s="806"/>
      <c r="K151" s="806"/>
      <c r="L151" s="806"/>
      <c r="M151" s="806"/>
      <c r="N151" s="806"/>
      <c r="O151" s="806"/>
      <c r="P151" s="806"/>
      <c r="R151" s="807">
        <f t="shared" si="11"/>
        <v>0</v>
      </c>
    </row>
    <row r="152" spans="1:18" ht="28.5" customHeight="1" x14ac:dyDescent="0.25">
      <c r="A152" s="291"/>
      <c r="B152" s="1084" t="str">
        <f>"per 31/12/"&amp;$L$13</f>
        <v>per 31/12/2020</v>
      </c>
      <c r="C152" s="1085"/>
      <c r="D152" s="1085"/>
      <c r="E152" s="1086"/>
      <c r="F152" s="313"/>
      <c r="G152" s="806">
        <f t="shared" si="12"/>
        <v>0</v>
      </c>
      <c r="H152" s="806">
        <f t="shared" si="12"/>
        <v>0</v>
      </c>
      <c r="I152" s="806">
        <f t="shared" si="12"/>
        <v>0</v>
      </c>
      <c r="J152" s="806">
        <f t="shared" si="12"/>
        <v>0</v>
      </c>
      <c r="K152" s="806"/>
      <c r="L152" s="806"/>
      <c r="M152" s="806"/>
      <c r="N152" s="806"/>
      <c r="O152" s="806"/>
      <c r="P152" s="806"/>
      <c r="R152" s="807">
        <f t="shared" si="11"/>
        <v>0</v>
      </c>
    </row>
    <row r="153" spans="1:18" ht="28.5" customHeight="1" x14ac:dyDescent="0.25">
      <c r="A153" s="291"/>
      <c r="B153" s="1084" t="str">
        <f>"per 31/12/"&amp;$M$13</f>
        <v>per 31/12/2021</v>
      </c>
      <c r="C153" s="1085"/>
      <c r="D153" s="1085"/>
      <c r="E153" s="1086"/>
      <c r="F153" s="313"/>
      <c r="G153" s="806">
        <f t="shared" si="12"/>
        <v>0</v>
      </c>
      <c r="H153" s="806">
        <f t="shared" si="12"/>
        <v>0</v>
      </c>
      <c r="I153" s="806">
        <f t="shared" si="12"/>
        <v>0</v>
      </c>
      <c r="J153" s="806">
        <f t="shared" si="12"/>
        <v>0</v>
      </c>
      <c r="K153" s="806">
        <f t="shared" si="12"/>
        <v>0</v>
      </c>
      <c r="L153" s="806"/>
      <c r="M153" s="806"/>
      <c r="N153" s="806"/>
      <c r="O153" s="806"/>
      <c r="P153" s="806"/>
      <c r="R153" s="807">
        <f t="shared" si="11"/>
        <v>0</v>
      </c>
    </row>
    <row r="154" spans="1:18" ht="28.5" customHeight="1" x14ac:dyDescent="0.25">
      <c r="A154" s="291"/>
      <c r="B154" s="1084" t="str">
        <f>"per 31/12/"&amp;$N$13</f>
        <v>per 31/12/2022</v>
      </c>
      <c r="C154" s="1085"/>
      <c r="D154" s="1085"/>
      <c r="E154" s="1086"/>
      <c r="F154" s="313"/>
      <c r="G154" s="806">
        <f t="shared" si="12"/>
        <v>0</v>
      </c>
      <c r="H154" s="806">
        <f t="shared" si="12"/>
        <v>0</v>
      </c>
      <c r="I154" s="806">
        <f t="shared" si="12"/>
        <v>0</v>
      </c>
      <c r="J154" s="806">
        <f t="shared" si="12"/>
        <v>0</v>
      </c>
      <c r="K154" s="806">
        <f t="shared" si="12"/>
        <v>0</v>
      </c>
      <c r="L154" s="806">
        <f t="shared" si="12"/>
        <v>0</v>
      </c>
      <c r="M154" s="806"/>
      <c r="N154" s="806"/>
      <c r="O154" s="806"/>
      <c r="P154" s="806"/>
      <c r="R154" s="807">
        <f t="shared" si="11"/>
        <v>0</v>
      </c>
    </row>
    <row r="155" spans="1:18" ht="28.5" customHeight="1" x14ac:dyDescent="0.25">
      <c r="A155" s="291"/>
      <c r="B155" s="1084" t="str">
        <f>"per 31/12/"&amp;$O$13</f>
        <v>per 31/12/2023</v>
      </c>
      <c r="C155" s="1085"/>
      <c r="D155" s="1085"/>
      <c r="E155" s="1086"/>
      <c r="F155" s="313"/>
      <c r="G155" s="806"/>
      <c r="H155" s="806"/>
      <c r="I155" s="806"/>
      <c r="J155" s="806"/>
      <c r="K155" s="806"/>
      <c r="L155" s="806">
        <f t="shared" si="12"/>
        <v>0</v>
      </c>
      <c r="M155" s="806">
        <f t="shared" si="12"/>
        <v>0</v>
      </c>
      <c r="N155" s="806"/>
      <c r="O155" s="806"/>
      <c r="P155" s="806"/>
      <c r="R155" s="807">
        <f t="shared" si="11"/>
        <v>0</v>
      </c>
    </row>
    <row r="156" spans="1:18" ht="28.5" customHeight="1" x14ac:dyDescent="0.25">
      <c r="A156" s="291"/>
      <c r="B156" s="1084" t="str">
        <f>"per 31/12/"&amp;$P$13</f>
        <v>per 31/12/2024</v>
      </c>
      <c r="C156" s="1085"/>
      <c r="D156" s="1085"/>
      <c r="E156" s="1086"/>
      <c r="F156" s="313"/>
      <c r="G156" s="806"/>
      <c r="H156" s="806"/>
      <c r="I156" s="806"/>
      <c r="J156" s="806"/>
      <c r="K156" s="806"/>
      <c r="L156" s="806"/>
      <c r="M156" s="806">
        <f t="shared" si="12"/>
        <v>0</v>
      </c>
      <c r="N156" s="806">
        <f>SUMIFS(N$34:N$142,$B$34:$B$142,$B156)</f>
        <v>0</v>
      </c>
      <c r="O156" s="806"/>
      <c r="P156" s="806"/>
      <c r="R156" s="807">
        <f t="shared" si="11"/>
        <v>0</v>
      </c>
    </row>
    <row r="157" spans="1:18" s="216" customFormat="1" ht="13" x14ac:dyDescent="0.25">
      <c r="B157" s="1103"/>
      <c r="C157" s="1103"/>
      <c r="D157" s="1103"/>
      <c r="E157" s="1103"/>
      <c r="G157" s="314"/>
      <c r="H157" s="314"/>
      <c r="I157" s="314"/>
      <c r="J157" s="314"/>
      <c r="K157" s="304"/>
      <c r="L157" s="304"/>
      <c r="M157" s="304"/>
      <c r="N157" s="304"/>
      <c r="O157" s="304"/>
      <c r="P157" s="304"/>
      <c r="Q157" s="205"/>
      <c r="R157" s="304"/>
    </row>
    <row r="159" spans="1:18" x14ac:dyDescent="0.25">
      <c r="G159" s="293" t="s">
        <v>41</v>
      </c>
    </row>
    <row r="160" spans="1:18" x14ac:dyDescent="0.25">
      <c r="G160" s="293" t="s">
        <v>133</v>
      </c>
    </row>
    <row r="161" spans="2:18" ht="69.75" customHeight="1" x14ac:dyDescent="0.25">
      <c r="B161" s="1078" t="s">
        <v>351</v>
      </c>
      <c r="C161" s="1079"/>
      <c r="D161" s="1079"/>
      <c r="E161" s="1080"/>
      <c r="F161" s="274"/>
      <c r="G161" s="165">
        <v>2015</v>
      </c>
      <c r="H161" s="165">
        <f>+G161+1</f>
        <v>2016</v>
      </c>
      <c r="I161" s="165">
        <f>+H161+1</f>
        <v>2017</v>
      </c>
      <c r="J161" s="165">
        <f>+I161+1</f>
        <v>2018</v>
      </c>
      <c r="K161" s="165">
        <f>+J161+1</f>
        <v>2019</v>
      </c>
      <c r="L161" s="165">
        <f t="shared" ref="L161:P161" si="13">+K161+1</f>
        <v>2020</v>
      </c>
      <c r="M161" s="165">
        <f t="shared" si="13"/>
        <v>2021</v>
      </c>
      <c r="N161" s="165">
        <f t="shared" si="13"/>
        <v>2022</v>
      </c>
      <c r="O161" s="165">
        <f t="shared" si="13"/>
        <v>2023</v>
      </c>
      <c r="P161" s="165">
        <f t="shared" si="13"/>
        <v>2024</v>
      </c>
      <c r="R161" s="165" t="s">
        <v>20</v>
      </c>
    </row>
    <row r="162" spans="2:18" s="296" customFormat="1" ht="12" customHeight="1" x14ac:dyDescent="0.25">
      <c r="B162" s="315"/>
      <c r="C162" s="315"/>
      <c r="D162" s="315"/>
      <c r="E162" s="315"/>
      <c r="F162" s="316"/>
      <c r="G162" s="317"/>
      <c r="H162" s="318"/>
      <c r="I162" s="318"/>
      <c r="J162" s="319"/>
      <c r="K162" s="319"/>
      <c r="L162" s="319"/>
      <c r="M162" s="319"/>
      <c r="N162" s="319"/>
      <c r="O162" s="319"/>
      <c r="P162" s="319"/>
      <c r="Q162" s="300"/>
      <c r="R162" s="319"/>
    </row>
    <row r="163" spans="2:18" ht="36" customHeight="1" x14ac:dyDescent="0.25">
      <c r="B163" s="1096" t="s">
        <v>201</v>
      </c>
      <c r="C163" s="1097"/>
      <c r="D163" s="1097"/>
      <c r="E163" s="1098"/>
      <c r="F163" s="167"/>
      <c r="G163" s="804"/>
      <c r="H163" s="804"/>
      <c r="I163" s="804"/>
      <c r="J163" s="804"/>
      <c r="K163" s="804"/>
      <c r="L163" s="804"/>
      <c r="M163" s="804"/>
      <c r="N163" s="804"/>
      <c r="O163" s="804"/>
      <c r="P163" s="804"/>
      <c r="R163" s="804"/>
    </row>
    <row r="164" spans="2:18" ht="28.5" customHeight="1" x14ac:dyDescent="0.25">
      <c r="B164" s="1090" t="str">
        <f>"per 31/12/"&amp;$G$13</f>
        <v>per 31/12/2015</v>
      </c>
      <c r="C164" s="1091"/>
      <c r="D164" s="1091"/>
      <c r="E164" s="1092"/>
      <c r="F164" s="167"/>
      <c r="G164" s="247">
        <f>+G$15+G34</f>
        <v>0</v>
      </c>
      <c r="H164" s="247"/>
      <c r="I164" s="247"/>
      <c r="J164" s="247"/>
      <c r="K164" s="247"/>
      <c r="L164" s="247"/>
      <c r="M164" s="247"/>
      <c r="N164" s="247"/>
      <c r="O164" s="247"/>
      <c r="P164" s="247"/>
      <c r="R164" s="803">
        <f t="shared" ref="R164:R238" si="14">SUM(G164:P164)</f>
        <v>0</v>
      </c>
    </row>
    <row r="165" spans="2:18" ht="28.5" customHeight="1" x14ac:dyDescent="0.25">
      <c r="B165" s="1090" t="str">
        <f>"per 31/12/"&amp;$H$13</f>
        <v>per 31/12/2016</v>
      </c>
      <c r="C165" s="1091"/>
      <c r="D165" s="1091"/>
      <c r="E165" s="1092"/>
      <c r="F165" s="167"/>
      <c r="G165" s="247">
        <f t="shared" ref="G165:G171" si="15">+G164+G35</f>
        <v>0</v>
      </c>
      <c r="H165" s="247">
        <f>+$H$15+H35</f>
        <v>0</v>
      </c>
      <c r="I165" s="247"/>
      <c r="J165" s="247"/>
      <c r="K165" s="247"/>
      <c r="L165" s="247"/>
      <c r="M165" s="247"/>
      <c r="N165" s="247"/>
      <c r="O165" s="247"/>
      <c r="P165" s="247"/>
      <c r="R165" s="803">
        <f t="shared" si="14"/>
        <v>0</v>
      </c>
    </row>
    <row r="166" spans="2:18" ht="28.5" customHeight="1" x14ac:dyDescent="0.25">
      <c r="B166" s="1090" t="str">
        <f>"per 31/12/"&amp;$I$13</f>
        <v>per 31/12/2017</v>
      </c>
      <c r="C166" s="1091"/>
      <c r="D166" s="1091"/>
      <c r="E166" s="1092"/>
      <c r="F166" s="167"/>
      <c r="G166" s="247">
        <f t="shared" si="15"/>
        <v>0</v>
      </c>
      <c r="H166" s="247">
        <f t="shared" ref="H166:H171" si="16">+H165+H36</f>
        <v>0</v>
      </c>
      <c r="I166" s="247">
        <f>+$I$15+I36</f>
        <v>0</v>
      </c>
      <c r="J166" s="247"/>
      <c r="K166" s="247"/>
      <c r="L166" s="247"/>
      <c r="M166" s="247"/>
      <c r="N166" s="247"/>
      <c r="O166" s="247"/>
      <c r="P166" s="247"/>
      <c r="R166" s="803">
        <f t="shared" si="14"/>
        <v>0</v>
      </c>
    </row>
    <row r="167" spans="2:18" ht="28.5" customHeight="1" x14ac:dyDescent="0.25">
      <c r="B167" s="1090" t="str">
        <f>"per 31/12/"&amp;$J$13</f>
        <v>per 31/12/2018</v>
      </c>
      <c r="C167" s="1091"/>
      <c r="D167" s="1091"/>
      <c r="E167" s="1092"/>
      <c r="F167" s="167"/>
      <c r="G167" s="247">
        <f t="shared" si="15"/>
        <v>0</v>
      </c>
      <c r="H167" s="247">
        <f t="shared" si="16"/>
        <v>0</v>
      </c>
      <c r="I167" s="247">
        <f>+I166+I37</f>
        <v>0</v>
      </c>
      <c r="J167" s="247">
        <f>+$J$15+J37</f>
        <v>0</v>
      </c>
      <c r="K167" s="247"/>
      <c r="L167" s="247"/>
      <c r="M167" s="247"/>
      <c r="N167" s="247"/>
      <c r="O167" s="247"/>
      <c r="P167" s="247"/>
      <c r="R167" s="803">
        <f t="shared" si="14"/>
        <v>0</v>
      </c>
    </row>
    <row r="168" spans="2:18" ht="28.5" customHeight="1" x14ac:dyDescent="0.25">
      <c r="B168" s="1090" t="str">
        <f>"per 31/12/"&amp;$K$13</f>
        <v>per 31/12/2019</v>
      </c>
      <c r="C168" s="1091"/>
      <c r="D168" s="1091"/>
      <c r="E168" s="1092"/>
      <c r="F168" s="167"/>
      <c r="G168" s="247">
        <f t="shared" si="15"/>
        <v>0</v>
      </c>
      <c r="H168" s="247">
        <f t="shared" si="16"/>
        <v>0</v>
      </c>
      <c r="I168" s="247">
        <f>+I167+I38</f>
        <v>0</v>
      </c>
      <c r="J168" s="247">
        <f>+J167+J38</f>
        <v>0</v>
      </c>
      <c r="K168" s="247">
        <f>+$K$15+K38</f>
        <v>0</v>
      </c>
      <c r="L168" s="247"/>
      <c r="M168" s="247"/>
      <c r="N168" s="247"/>
      <c r="O168" s="247"/>
      <c r="P168" s="247"/>
      <c r="R168" s="803">
        <f t="shared" si="14"/>
        <v>0</v>
      </c>
    </row>
    <row r="169" spans="2:18" ht="28.5" customHeight="1" x14ac:dyDescent="0.25">
      <c r="B169" s="1090" t="str">
        <f>"per 31/12/"&amp;$L$13</f>
        <v>per 31/12/2020</v>
      </c>
      <c r="C169" s="1091"/>
      <c r="D169" s="1091"/>
      <c r="E169" s="1092"/>
      <c r="F169" s="167"/>
      <c r="G169" s="247">
        <f t="shared" si="15"/>
        <v>0</v>
      </c>
      <c r="H169" s="247">
        <f t="shared" si="16"/>
        <v>0</v>
      </c>
      <c r="I169" s="247">
        <f>+I168+I39</f>
        <v>0</v>
      </c>
      <c r="J169" s="247">
        <f>+J168+J39</f>
        <v>0</v>
      </c>
      <c r="K169" s="247">
        <f>+K168+K39</f>
        <v>0</v>
      </c>
      <c r="L169" s="247">
        <f>+L$15+L39</f>
        <v>0</v>
      </c>
      <c r="M169" s="247"/>
      <c r="N169" s="247"/>
      <c r="O169" s="247"/>
      <c r="P169" s="247"/>
      <c r="R169" s="803">
        <f t="shared" si="14"/>
        <v>0</v>
      </c>
    </row>
    <row r="170" spans="2:18" ht="28.5" customHeight="1" x14ac:dyDescent="0.25">
      <c r="B170" s="1090" t="str">
        <f>"per 31/12/"&amp;$M$13</f>
        <v>per 31/12/2021</v>
      </c>
      <c r="C170" s="1091"/>
      <c r="D170" s="1091"/>
      <c r="E170" s="1092"/>
      <c r="F170" s="167"/>
      <c r="G170" s="247">
        <f t="shared" si="15"/>
        <v>0</v>
      </c>
      <c r="H170" s="247">
        <f t="shared" si="16"/>
        <v>0</v>
      </c>
      <c r="I170" s="247">
        <f>+I169+I40</f>
        <v>0</v>
      </c>
      <c r="J170" s="247">
        <f>+J169+J40</f>
        <v>0</v>
      </c>
      <c r="K170" s="247">
        <f>+K169+K40</f>
        <v>0</v>
      </c>
      <c r="L170" s="247">
        <f>+L169+L40</f>
        <v>0</v>
      </c>
      <c r="M170" s="247">
        <f>+M$15+M40</f>
        <v>0</v>
      </c>
      <c r="N170" s="247"/>
      <c r="O170" s="247"/>
      <c r="P170" s="247"/>
      <c r="R170" s="803">
        <f t="shared" si="14"/>
        <v>0</v>
      </c>
    </row>
    <row r="171" spans="2:18" ht="28.5" customHeight="1" x14ac:dyDescent="0.25">
      <c r="B171" s="1090" t="str">
        <f>"per 31/12/"&amp;$N$13</f>
        <v>per 31/12/2022</v>
      </c>
      <c r="C171" s="1091"/>
      <c r="D171" s="1091"/>
      <c r="E171" s="1092"/>
      <c r="F171" s="167"/>
      <c r="G171" s="247">
        <f t="shared" si="15"/>
        <v>0</v>
      </c>
      <c r="H171" s="247">
        <f t="shared" si="16"/>
        <v>0</v>
      </c>
      <c r="I171" s="247">
        <f>+I170+I41</f>
        <v>0</v>
      </c>
      <c r="J171" s="247">
        <f>+J170+J41</f>
        <v>0</v>
      </c>
      <c r="K171" s="247">
        <f>+K170+K41</f>
        <v>0</v>
      </c>
      <c r="L171" s="247">
        <f>+L170+L41</f>
        <v>0</v>
      </c>
      <c r="M171" s="247">
        <f>+M170+M41</f>
        <v>0</v>
      </c>
      <c r="N171" s="247">
        <f>+N$15+N41</f>
        <v>0</v>
      </c>
      <c r="O171" s="247"/>
      <c r="P171" s="247"/>
      <c r="R171" s="803">
        <f t="shared" si="14"/>
        <v>0</v>
      </c>
    </row>
    <row r="172" spans="2:18" ht="28.5" customHeight="1" x14ac:dyDescent="0.25">
      <c r="B172" s="1090" t="str">
        <f>"per 31/12/"&amp;$O$13</f>
        <v>per 31/12/2023</v>
      </c>
      <c r="C172" s="1091"/>
      <c r="D172" s="1091"/>
      <c r="E172" s="1092"/>
      <c r="F172" s="167"/>
      <c r="G172" s="247"/>
      <c r="H172" s="247"/>
      <c r="I172" s="247"/>
      <c r="J172" s="247"/>
      <c r="K172" s="247"/>
      <c r="L172" s="247">
        <f>+L171+L42</f>
        <v>0</v>
      </c>
      <c r="M172" s="247">
        <f>+M171+M42</f>
        <v>0</v>
      </c>
      <c r="N172" s="247">
        <f>+N171+N42</f>
        <v>0</v>
      </c>
      <c r="O172" s="247">
        <f>+O$15+O42</f>
        <v>0</v>
      </c>
      <c r="P172" s="247"/>
      <c r="R172" s="803">
        <f t="shared" si="14"/>
        <v>0</v>
      </c>
    </row>
    <row r="173" spans="2:18" ht="28.5" customHeight="1" x14ac:dyDescent="0.25">
      <c r="B173" s="1090" t="str">
        <f>"per 31/12/"&amp;$P$13</f>
        <v>per 31/12/2024</v>
      </c>
      <c r="C173" s="1091"/>
      <c r="D173" s="1091"/>
      <c r="E173" s="1092"/>
      <c r="F173" s="167"/>
      <c r="G173" s="247"/>
      <c r="H173" s="247"/>
      <c r="I173" s="247"/>
      <c r="J173" s="247"/>
      <c r="K173" s="247"/>
      <c r="L173" s="247"/>
      <c r="M173" s="247">
        <f>+M172+M43</f>
        <v>0</v>
      </c>
      <c r="N173" s="247">
        <f>+N172+N43</f>
        <v>0</v>
      </c>
      <c r="O173" s="247">
        <f>+O172+O43</f>
        <v>0</v>
      </c>
      <c r="P173" s="247">
        <f>+P$15+P43</f>
        <v>0</v>
      </c>
      <c r="R173" s="803">
        <f t="shared" si="14"/>
        <v>0</v>
      </c>
    </row>
    <row r="174" spans="2:18" ht="36" customHeight="1" x14ac:dyDescent="0.25">
      <c r="B174" s="1096" t="s">
        <v>347</v>
      </c>
      <c r="C174" s="1097"/>
      <c r="D174" s="1097"/>
      <c r="E174" s="1098"/>
      <c r="F174" s="167"/>
      <c r="G174" s="804"/>
      <c r="H174" s="804"/>
      <c r="I174" s="804"/>
      <c r="J174" s="804"/>
      <c r="K174" s="804"/>
      <c r="L174" s="804"/>
      <c r="M174" s="804"/>
      <c r="N174" s="804"/>
      <c r="O174" s="804"/>
      <c r="P174" s="804"/>
      <c r="R174" s="804"/>
    </row>
    <row r="175" spans="2:18" ht="28.5" customHeight="1" x14ac:dyDescent="0.25">
      <c r="B175" s="1081" t="str">
        <f>"per 31/12/"&amp;$G$13</f>
        <v>per 31/12/2015</v>
      </c>
      <c r="C175" s="1082"/>
      <c r="D175" s="1082"/>
      <c r="E175" s="1083"/>
      <c r="F175" s="167"/>
      <c r="G175" s="520"/>
      <c r="H175" s="247"/>
      <c r="I175" s="247"/>
      <c r="J175" s="247"/>
      <c r="K175" s="247"/>
      <c r="L175" s="247"/>
      <c r="M175" s="247"/>
      <c r="N175" s="247"/>
      <c r="O175" s="247"/>
      <c r="P175" s="247"/>
      <c r="R175" s="805"/>
    </row>
    <row r="176" spans="2:18" ht="28.5" customHeight="1" x14ac:dyDescent="0.25">
      <c r="B176" s="1081" t="str">
        <f>"per 31/12/"&amp;$H$13</f>
        <v>per 31/12/2016</v>
      </c>
      <c r="C176" s="1082"/>
      <c r="D176" s="1082"/>
      <c r="E176" s="1083"/>
      <c r="F176" s="167"/>
      <c r="G176" s="520"/>
      <c r="H176" s="520"/>
      <c r="I176" s="247"/>
      <c r="J176" s="247"/>
      <c r="K176" s="247"/>
      <c r="L176" s="247"/>
      <c r="M176" s="247"/>
      <c r="N176" s="247"/>
      <c r="O176" s="247"/>
      <c r="P176" s="247"/>
      <c r="R176" s="805"/>
    </row>
    <row r="177" spans="2:18" ht="28.5" customHeight="1" x14ac:dyDescent="0.25">
      <c r="B177" s="1081" t="str">
        <f>"per 31/12/"&amp;$I$13</f>
        <v>per 31/12/2017</v>
      </c>
      <c r="C177" s="1082"/>
      <c r="D177" s="1082"/>
      <c r="E177" s="1083"/>
      <c r="F177" s="167"/>
      <c r="G177" s="520"/>
      <c r="H177" s="520"/>
      <c r="I177" s="520"/>
      <c r="J177" s="247"/>
      <c r="K177" s="247"/>
      <c r="L177" s="247"/>
      <c r="M177" s="247"/>
      <c r="N177" s="247"/>
      <c r="O177" s="247"/>
      <c r="P177" s="247"/>
      <c r="R177" s="805"/>
    </row>
    <row r="178" spans="2:18" ht="28.5" customHeight="1" x14ac:dyDescent="0.25">
      <c r="B178" s="1081" t="str">
        <f>"per 31/12/"&amp;$J$13</f>
        <v>per 31/12/2018</v>
      </c>
      <c r="C178" s="1082"/>
      <c r="D178" s="1082"/>
      <c r="E178" s="1083"/>
      <c r="F178" s="167"/>
      <c r="G178" s="520"/>
      <c r="H178" s="520"/>
      <c r="I178" s="520"/>
      <c r="J178" s="520"/>
      <c r="K178" s="247"/>
      <c r="L178" s="247"/>
      <c r="M178" s="247"/>
      <c r="N178" s="247"/>
      <c r="O178" s="247"/>
      <c r="P178" s="247"/>
      <c r="R178" s="805"/>
    </row>
    <row r="179" spans="2:18" ht="28.5" customHeight="1" x14ac:dyDescent="0.25">
      <c r="B179" s="1081" t="str">
        <f>"per 31/12/"&amp;$K$13</f>
        <v>per 31/12/2019</v>
      </c>
      <c r="C179" s="1082"/>
      <c r="D179" s="1082"/>
      <c r="E179" s="1083"/>
      <c r="F179" s="167"/>
      <c r="G179" s="520"/>
      <c r="H179" s="520"/>
      <c r="I179" s="520"/>
      <c r="J179" s="520"/>
      <c r="K179" s="520"/>
      <c r="L179" s="247"/>
      <c r="M179" s="247"/>
      <c r="N179" s="247"/>
      <c r="O179" s="247"/>
      <c r="P179" s="247"/>
      <c r="R179" s="805"/>
    </row>
    <row r="180" spans="2:18" ht="28.5" customHeight="1" x14ac:dyDescent="0.25">
      <c r="B180" s="1081" t="str">
        <f>"per 31/12/"&amp;$L$13</f>
        <v>per 31/12/2020</v>
      </c>
      <c r="C180" s="1082"/>
      <c r="D180" s="1082"/>
      <c r="E180" s="1083"/>
      <c r="F180" s="167"/>
      <c r="G180" s="520"/>
      <c r="H180" s="520"/>
      <c r="I180" s="520"/>
      <c r="J180" s="520"/>
      <c r="K180" s="520"/>
      <c r="L180" s="520"/>
      <c r="M180" s="247"/>
      <c r="N180" s="247"/>
      <c r="O180" s="247"/>
      <c r="P180" s="247"/>
      <c r="R180" s="805"/>
    </row>
    <row r="181" spans="2:18" ht="28.5" customHeight="1" x14ac:dyDescent="0.25">
      <c r="B181" s="1081" t="str">
        <f>"per 31/12/"&amp;$M$13</f>
        <v>per 31/12/2021</v>
      </c>
      <c r="C181" s="1082"/>
      <c r="D181" s="1082"/>
      <c r="E181" s="1083"/>
      <c r="F181" s="167"/>
      <c r="G181" s="520"/>
      <c r="H181" s="520"/>
      <c r="I181" s="520"/>
      <c r="J181" s="520"/>
      <c r="K181" s="520"/>
      <c r="L181" s="520"/>
      <c r="M181" s="520"/>
      <c r="N181" s="247"/>
      <c r="O181" s="247"/>
      <c r="P181" s="247"/>
      <c r="R181" s="805"/>
    </row>
    <row r="182" spans="2:18" ht="28.5" customHeight="1" x14ac:dyDescent="0.25">
      <c r="B182" s="1090" t="str">
        <f>"per 31/12/"&amp;$N$13</f>
        <v>per 31/12/2022</v>
      </c>
      <c r="C182" s="1091"/>
      <c r="D182" s="1091"/>
      <c r="E182" s="1092"/>
      <c r="F182" s="167"/>
      <c r="G182" s="520"/>
      <c r="H182" s="520"/>
      <c r="I182" s="520"/>
      <c r="J182" s="520"/>
      <c r="K182" s="520"/>
      <c r="L182" s="520"/>
      <c r="M182" s="520"/>
      <c r="N182" s="247">
        <f>+N$16+N52</f>
        <v>0</v>
      </c>
      <c r="O182" s="247"/>
      <c r="P182" s="247"/>
      <c r="R182" s="803">
        <f t="shared" ref="R182:R184" si="17">SUM(G182:P182)</f>
        <v>0</v>
      </c>
    </row>
    <row r="183" spans="2:18" ht="28.5" customHeight="1" x14ac:dyDescent="0.25">
      <c r="B183" s="1090" t="str">
        <f>"per 31/12/"&amp;$O$13</f>
        <v>per 31/12/2023</v>
      </c>
      <c r="C183" s="1091"/>
      <c r="D183" s="1091"/>
      <c r="E183" s="1092"/>
      <c r="F183" s="167"/>
      <c r="G183" s="247"/>
      <c r="H183" s="247"/>
      <c r="I183" s="247"/>
      <c r="J183" s="247"/>
      <c r="K183" s="247"/>
      <c r="L183" s="520"/>
      <c r="M183" s="520"/>
      <c r="N183" s="247">
        <f>+N182+N53</f>
        <v>0</v>
      </c>
      <c r="O183" s="247">
        <f>+O$16+O53</f>
        <v>0</v>
      </c>
      <c r="P183" s="247"/>
      <c r="R183" s="803">
        <f t="shared" si="17"/>
        <v>0</v>
      </c>
    </row>
    <row r="184" spans="2:18" ht="28.5" customHeight="1" x14ac:dyDescent="0.25">
      <c r="B184" s="1090" t="str">
        <f>"per 31/12/"&amp;$P$13</f>
        <v>per 31/12/2024</v>
      </c>
      <c r="C184" s="1091"/>
      <c r="D184" s="1091"/>
      <c r="E184" s="1092"/>
      <c r="F184" s="167"/>
      <c r="G184" s="247"/>
      <c r="H184" s="247"/>
      <c r="I184" s="247"/>
      <c r="J184" s="247"/>
      <c r="K184" s="247"/>
      <c r="L184" s="247"/>
      <c r="M184" s="520"/>
      <c r="N184" s="247">
        <f>+N183+N54</f>
        <v>0</v>
      </c>
      <c r="O184" s="247">
        <f>+O183+O54</f>
        <v>0</v>
      </c>
      <c r="P184" s="247">
        <f>+P$16+P54</f>
        <v>0</v>
      </c>
      <c r="R184" s="803">
        <f t="shared" si="17"/>
        <v>0</v>
      </c>
    </row>
    <row r="185" spans="2:18" ht="27.75" customHeight="1" x14ac:dyDescent="0.25">
      <c r="B185" s="1096" t="s">
        <v>66</v>
      </c>
      <c r="C185" s="1097"/>
      <c r="D185" s="1097"/>
      <c r="E185" s="1098"/>
      <c r="F185" s="167"/>
      <c r="G185" s="804"/>
      <c r="H185" s="804"/>
      <c r="I185" s="804"/>
      <c r="J185" s="804"/>
      <c r="K185" s="804"/>
      <c r="L185" s="804"/>
      <c r="M185" s="804"/>
      <c r="N185" s="804"/>
      <c r="O185" s="804"/>
      <c r="P185" s="804"/>
      <c r="R185" s="804"/>
    </row>
    <row r="186" spans="2:18" ht="28.5" customHeight="1" x14ac:dyDescent="0.25">
      <c r="B186" s="1090" t="str">
        <f>"per 31/12/"&amp;$G$13</f>
        <v>per 31/12/2015</v>
      </c>
      <c r="C186" s="1091"/>
      <c r="D186" s="1091"/>
      <c r="E186" s="1092"/>
      <c r="F186" s="167"/>
      <c r="G186" s="247">
        <f>+G$17+G56</f>
        <v>0</v>
      </c>
      <c r="H186" s="247"/>
      <c r="I186" s="247"/>
      <c r="J186" s="247"/>
      <c r="K186" s="247"/>
      <c r="L186" s="247"/>
      <c r="M186" s="247"/>
      <c r="N186" s="247"/>
      <c r="O186" s="247"/>
      <c r="P186" s="247"/>
      <c r="R186" s="803">
        <f t="shared" si="14"/>
        <v>0</v>
      </c>
    </row>
    <row r="187" spans="2:18" ht="28.5" customHeight="1" x14ac:dyDescent="0.25">
      <c r="B187" s="1090" t="str">
        <f>"per 31/12/"&amp;$H$13</f>
        <v>per 31/12/2016</v>
      </c>
      <c r="C187" s="1091"/>
      <c r="D187" s="1091"/>
      <c r="E187" s="1092"/>
      <c r="F187" s="167"/>
      <c r="G187" s="247">
        <f t="shared" ref="G187:G193" si="18">+G186+G57</f>
        <v>0</v>
      </c>
      <c r="H187" s="247">
        <f>+H$17+H57</f>
        <v>0</v>
      </c>
      <c r="I187" s="247"/>
      <c r="J187" s="247"/>
      <c r="K187" s="247"/>
      <c r="L187" s="247"/>
      <c r="M187" s="247"/>
      <c r="N187" s="247"/>
      <c r="O187" s="247"/>
      <c r="P187" s="247"/>
      <c r="R187" s="803">
        <f t="shared" si="14"/>
        <v>0</v>
      </c>
    </row>
    <row r="188" spans="2:18" ht="28.5" customHeight="1" x14ac:dyDescent="0.25">
      <c r="B188" s="1090" t="str">
        <f>"per 31/12/"&amp;$I$13</f>
        <v>per 31/12/2017</v>
      </c>
      <c r="C188" s="1091"/>
      <c r="D188" s="1091"/>
      <c r="E188" s="1092"/>
      <c r="F188" s="167"/>
      <c r="G188" s="247">
        <f t="shared" si="18"/>
        <v>0</v>
      </c>
      <c r="H188" s="247">
        <f t="shared" ref="H188:H193" si="19">+H187+H58</f>
        <v>0</v>
      </c>
      <c r="I188" s="247">
        <f>+I$17+I58</f>
        <v>0</v>
      </c>
      <c r="J188" s="247"/>
      <c r="K188" s="247"/>
      <c r="L188" s="247"/>
      <c r="M188" s="247"/>
      <c r="N188" s="247"/>
      <c r="O188" s="247"/>
      <c r="P188" s="247"/>
      <c r="R188" s="803">
        <f t="shared" si="14"/>
        <v>0</v>
      </c>
    </row>
    <row r="189" spans="2:18" ht="28.5" customHeight="1" x14ac:dyDescent="0.25">
      <c r="B189" s="1090" t="str">
        <f>"per 31/12/"&amp;$J$13</f>
        <v>per 31/12/2018</v>
      </c>
      <c r="C189" s="1091"/>
      <c r="D189" s="1091"/>
      <c r="E189" s="1092"/>
      <c r="F189" s="167"/>
      <c r="G189" s="247">
        <f t="shared" si="18"/>
        <v>0</v>
      </c>
      <c r="H189" s="247">
        <f t="shared" si="19"/>
        <v>0</v>
      </c>
      <c r="I189" s="247">
        <f>+I188+I59</f>
        <v>0</v>
      </c>
      <c r="J189" s="247">
        <f>+J$17+J59</f>
        <v>0</v>
      </c>
      <c r="K189" s="247"/>
      <c r="L189" s="247"/>
      <c r="M189" s="247"/>
      <c r="N189" s="247"/>
      <c r="O189" s="247"/>
      <c r="P189" s="247"/>
      <c r="R189" s="803">
        <f t="shared" si="14"/>
        <v>0</v>
      </c>
    </row>
    <row r="190" spans="2:18" ht="28.5" customHeight="1" x14ac:dyDescent="0.25">
      <c r="B190" s="1090" t="str">
        <f>"per 31/12/"&amp;$K$13</f>
        <v>per 31/12/2019</v>
      </c>
      <c r="C190" s="1091"/>
      <c r="D190" s="1091"/>
      <c r="E190" s="1092"/>
      <c r="F190" s="167"/>
      <c r="G190" s="247">
        <f t="shared" si="18"/>
        <v>0</v>
      </c>
      <c r="H190" s="247">
        <f t="shared" si="19"/>
        <v>0</v>
      </c>
      <c r="I190" s="247">
        <f>+I189+I60</f>
        <v>0</v>
      </c>
      <c r="J190" s="247">
        <f>+J189+J60</f>
        <v>0</v>
      </c>
      <c r="K190" s="247">
        <f>+K$17+K60</f>
        <v>0</v>
      </c>
      <c r="L190" s="247"/>
      <c r="M190" s="247"/>
      <c r="N190" s="247"/>
      <c r="O190" s="247"/>
      <c r="P190" s="247"/>
      <c r="R190" s="803">
        <f t="shared" si="14"/>
        <v>0</v>
      </c>
    </row>
    <row r="191" spans="2:18" ht="28.5" customHeight="1" x14ac:dyDescent="0.25">
      <c r="B191" s="1090" t="str">
        <f>"per 31/12/"&amp;$L$13</f>
        <v>per 31/12/2020</v>
      </c>
      <c r="C191" s="1091"/>
      <c r="D191" s="1091"/>
      <c r="E191" s="1092"/>
      <c r="F191" s="167"/>
      <c r="G191" s="247">
        <f t="shared" si="18"/>
        <v>0</v>
      </c>
      <c r="H191" s="247">
        <f t="shared" si="19"/>
        <v>0</v>
      </c>
      <c r="I191" s="247">
        <f>+I190+I61</f>
        <v>0</v>
      </c>
      <c r="J191" s="247">
        <f>+J190+J61</f>
        <v>0</v>
      </c>
      <c r="K191" s="247">
        <f>+K190+K61</f>
        <v>0</v>
      </c>
      <c r="L191" s="247">
        <f>+L$17+L61</f>
        <v>0</v>
      </c>
      <c r="M191" s="247"/>
      <c r="N191" s="247"/>
      <c r="O191" s="247"/>
      <c r="P191" s="247"/>
      <c r="R191" s="803">
        <f t="shared" si="14"/>
        <v>0</v>
      </c>
    </row>
    <row r="192" spans="2:18" ht="28.5" customHeight="1" x14ac:dyDescent="0.25">
      <c r="B192" s="1090" t="str">
        <f>"per 31/12/"&amp;$M$13</f>
        <v>per 31/12/2021</v>
      </c>
      <c r="C192" s="1091"/>
      <c r="D192" s="1091"/>
      <c r="E192" s="1092"/>
      <c r="F192" s="167"/>
      <c r="G192" s="247">
        <f t="shared" si="18"/>
        <v>0</v>
      </c>
      <c r="H192" s="247">
        <f t="shared" si="19"/>
        <v>0</v>
      </c>
      <c r="I192" s="247">
        <f>+I191+I62</f>
        <v>0</v>
      </c>
      <c r="J192" s="247">
        <f>+J191+J62</f>
        <v>0</v>
      </c>
      <c r="K192" s="247">
        <f>+K191+K62</f>
        <v>0</v>
      </c>
      <c r="L192" s="247">
        <f>+L191+L62</f>
        <v>0</v>
      </c>
      <c r="M192" s="247">
        <f>+M$17+M62</f>
        <v>0</v>
      </c>
      <c r="N192" s="247"/>
      <c r="O192" s="247"/>
      <c r="P192" s="247"/>
      <c r="R192" s="803">
        <f t="shared" si="14"/>
        <v>0</v>
      </c>
    </row>
    <row r="193" spans="2:18" ht="28.5" customHeight="1" x14ac:dyDescent="0.25">
      <c r="B193" s="1090" t="str">
        <f>"per 31/12/"&amp;$N$13</f>
        <v>per 31/12/2022</v>
      </c>
      <c r="C193" s="1091"/>
      <c r="D193" s="1091"/>
      <c r="E193" s="1092"/>
      <c r="F193" s="167"/>
      <c r="G193" s="247">
        <f t="shared" si="18"/>
        <v>0</v>
      </c>
      <c r="H193" s="247">
        <f t="shared" si="19"/>
        <v>0</v>
      </c>
      <c r="I193" s="247">
        <f>+I192+I63</f>
        <v>0</v>
      </c>
      <c r="J193" s="247">
        <f>+J192+J63</f>
        <v>0</v>
      </c>
      <c r="K193" s="247">
        <f>+K192+K63</f>
        <v>0</v>
      </c>
      <c r="L193" s="247">
        <f>+L192+L63</f>
        <v>0</v>
      </c>
      <c r="M193" s="247">
        <f>+M192+M63</f>
        <v>0</v>
      </c>
      <c r="N193" s="247">
        <f>+N$17+N63</f>
        <v>0</v>
      </c>
      <c r="O193" s="247"/>
      <c r="P193" s="247"/>
      <c r="R193" s="803">
        <f t="shared" si="14"/>
        <v>0</v>
      </c>
    </row>
    <row r="194" spans="2:18" ht="28.5" customHeight="1" x14ac:dyDescent="0.25">
      <c r="B194" s="1090" t="str">
        <f>"per 31/12/"&amp;$O$13</f>
        <v>per 31/12/2023</v>
      </c>
      <c r="C194" s="1091"/>
      <c r="D194" s="1091"/>
      <c r="E194" s="1092"/>
      <c r="F194" s="167"/>
      <c r="G194" s="247"/>
      <c r="H194" s="247"/>
      <c r="I194" s="247"/>
      <c r="J194" s="247"/>
      <c r="K194" s="247"/>
      <c r="L194" s="247">
        <f>+L193+L64</f>
        <v>0</v>
      </c>
      <c r="M194" s="247">
        <f>+M193+M64</f>
        <v>0</v>
      </c>
      <c r="N194" s="247">
        <f>+N193+N64</f>
        <v>0</v>
      </c>
      <c r="O194" s="247">
        <f>+O$17+O64</f>
        <v>0</v>
      </c>
      <c r="P194" s="247"/>
      <c r="R194" s="803">
        <f t="shared" si="14"/>
        <v>0</v>
      </c>
    </row>
    <row r="195" spans="2:18" ht="28.5" customHeight="1" x14ac:dyDescent="0.25">
      <c r="B195" s="1090" t="str">
        <f>"per 31/12/"&amp;$P$13</f>
        <v>per 31/12/2024</v>
      </c>
      <c r="C195" s="1091"/>
      <c r="D195" s="1091"/>
      <c r="E195" s="1092"/>
      <c r="F195" s="167"/>
      <c r="G195" s="247"/>
      <c r="H195" s="247"/>
      <c r="I195" s="247"/>
      <c r="J195" s="247"/>
      <c r="K195" s="247"/>
      <c r="L195" s="247"/>
      <c r="M195" s="247">
        <f>+M194+M65</f>
        <v>0</v>
      </c>
      <c r="N195" s="247">
        <f>+N194+N65</f>
        <v>0</v>
      </c>
      <c r="O195" s="247">
        <f>+O194+O65</f>
        <v>0</v>
      </c>
      <c r="P195" s="247">
        <f>+P$17+P65</f>
        <v>0</v>
      </c>
      <c r="R195" s="803">
        <f t="shared" si="14"/>
        <v>0</v>
      </c>
    </row>
    <row r="196" spans="2:18" ht="27" customHeight="1" x14ac:dyDescent="0.25">
      <c r="B196" s="1104" t="s">
        <v>350</v>
      </c>
      <c r="C196" s="1104"/>
      <c r="D196" s="1104"/>
      <c r="E196" s="1104"/>
      <c r="F196" s="167"/>
      <c r="G196" s="804"/>
      <c r="H196" s="804"/>
      <c r="I196" s="804"/>
      <c r="J196" s="804"/>
      <c r="K196" s="804"/>
      <c r="L196" s="804"/>
      <c r="M196" s="804"/>
      <c r="N196" s="804"/>
      <c r="O196" s="804"/>
      <c r="P196" s="804"/>
      <c r="R196" s="804"/>
    </row>
    <row r="197" spans="2:18" ht="28.5" customHeight="1" x14ac:dyDescent="0.25">
      <c r="B197" s="1090" t="str">
        <f>"per 31/12/"&amp;$G$13</f>
        <v>per 31/12/2015</v>
      </c>
      <c r="C197" s="1091"/>
      <c r="D197" s="1091"/>
      <c r="E197" s="1092"/>
      <c r="F197" s="167"/>
      <c r="G197" s="247">
        <f>+G$18+G67</f>
        <v>0</v>
      </c>
      <c r="H197" s="247"/>
      <c r="I197" s="247"/>
      <c r="J197" s="247"/>
      <c r="K197" s="247"/>
      <c r="L197" s="247"/>
      <c r="M197" s="247"/>
      <c r="N197" s="247"/>
      <c r="O197" s="247"/>
      <c r="P197" s="247"/>
      <c r="R197" s="803">
        <f t="shared" ref="R197:R205" si="20">SUM(G197:P197)</f>
        <v>0</v>
      </c>
    </row>
    <row r="198" spans="2:18" ht="28.5" customHeight="1" x14ac:dyDescent="0.25">
      <c r="B198" s="1090" t="str">
        <f>"per 31/12/"&amp;$H$13</f>
        <v>per 31/12/2016</v>
      </c>
      <c r="C198" s="1091"/>
      <c r="D198" s="1091"/>
      <c r="E198" s="1092"/>
      <c r="F198" s="167"/>
      <c r="G198" s="247">
        <f t="shared" ref="G198:G204" si="21">+G197+G68</f>
        <v>0</v>
      </c>
      <c r="H198" s="247">
        <f>+H$18+H68</f>
        <v>0</v>
      </c>
      <c r="I198" s="247"/>
      <c r="J198" s="247"/>
      <c r="K198" s="247"/>
      <c r="L198" s="247"/>
      <c r="M198" s="247"/>
      <c r="N198" s="247"/>
      <c r="O198" s="247"/>
      <c r="P198" s="247"/>
      <c r="R198" s="803">
        <f t="shared" si="20"/>
        <v>0</v>
      </c>
    </row>
    <row r="199" spans="2:18" ht="28.5" customHeight="1" x14ac:dyDescent="0.25">
      <c r="B199" s="1090" t="str">
        <f>"per 31/12/"&amp;$I$13</f>
        <v>per 31/12/2017</v>
      </c>
      <c r="C199" s="1091"/>
      <c r="D199" s="1091"/>
      <c r="E199" s="1092"/>
      <c r="F199" s="167"/>
      <c r="G199" s="247">
        <f t="shared" si="21"/>
        <v>0</v>
      </c>
      <c r="H199" s="247">
        <f t="shared" ref="H199:H204" si="22">+H198+H69</f>
        <v>0</v>
      </c>
      <c r="I199" s="247">
        <f>+I$18+I69</f>
        <v>0</v>
      </c>
      <c r="J199" s="247"/>
      <c r="K199" s="247"/>
      <c r="L199" s="247"/>
      <c r="M199" s="247"/>
      <c r="N199" s="247"/>
      <c r="O199" s="247"/>
      <c r="P199" s="247"/>
      <c r="R199" s="803">
        <f t="shared" si="20"/>
        <v>0</v>
      </c>
    </row>
    <row r="200" spans="2:18" ht="28.5" customHeight="1" x14ac:dyDescent="0.25">
      <c r="B200" s="1090" t="str">
        <f>"per 31/12/"&amp;$J$13</f>
        <v>per 31/12/2018</v>
      </c>
      <c r="C200" s="1091"/>
      <c r="D200" s="1091"/>
      <c r="E200" s="1092"/>
      <c r="F200" s="167"/>
      <c r="G200" s="247">
        <f t="shared" si="21"/>
        <v>0</v>
      </c>
      <c r="H200" s="247">
        <f t="shared" si="22"/>
        <v>0</v>
      </c>
      <c r="I200" s="247">
        <f>+I199+I70</f>
        <v>0</v>
      </c>
      <c r="J200" s="247">
        <f>+J$18+J70</f>
        <v>0</v>
      </c>
      <c r="K200" s="247"/>
      <c r="L200" s="247"/>
      <c r="M200" s="247"/>
      <c r="N200" s="247"/>
      <c r="O200" s="247"/>
      <c r="P200" s="247"/>
      <c r="R200" s="803">
        <f t="shared" si="20"/>
        <v>0</v>
      </c>
    </row>
    <row r="201" spans="2:18" ht="28.5" customHeight="1" x14ac:dyDescent="0.25">
      <c r="B201" s="1090" t="str">
        <f>"per 31/12/"&amp;$K$13</f>
        <v>per 31/12/2019</v>
      </c>
      <c r="C201" s="1091"/>
      <c r="D201" s="1091"/>
      <c r="E201" s="1092"/>
      <c r="F201" s="167"/>
      <c r="G201" s="247">
        <f t="shared" si="21"/>
        <v>0</v>
      </c>
      <c r="H201" s="247">
        <f t="shared" si="22"/>
        <v>0</v>
      </c>
      <c r="I201" s="247">
        <f>+I200+I71</f>
        <v>0</v>
      </c>
      <c r="J201" s="247">
        <f>+J200+J71</f>
        <v>0</v>
      </c>
      <c r="K201" s="247">
        <f>+K$18+K71</f>
        <v>0</v>
      </c>
      <c r="L201" s="247"/>
      <c r="M201" s="247"/>
      <c r="N201" s="247"/>
      <c r="O201" s="247"/>
      <c r="P201" s="247"/>
      <c r="R201" s="803">
        <f t="shared" si="20"/>
        <v>0</v>
      </c>
    </row>
    <row r="202" spans="2:18" ht="28.5" customHeight="1" x14ac:dyDescent="0.25">
      <c r="B202" s="1090" t="str">
        <f>"per 31/12/"&amp;$L$13</f>
        <v>per 31/12/2020</v>
      </c>
      <c r="C202" s="1091"/>
      <c r="D202" s="1091"/>
      <c r="E202" s="1092"/>
      <c r="F202" s="167"/>
      <c r="G202" s="247">
        <f t="shared" si="21"/>
        <v>0</v>
      </c>
      <c r="H202" s="247">
        <f t="shared" si="22"/>
        <v>0</v>
      </c>
      <c r="I202" s="247">
        <f>+I201+I72</f>
        <v>0</v>
      </c>
      <c r="J202" s="247">
        <f>+J201+J72</f>
        <v>0</v>
      </c>
      <c r="K202" s="247">
        <f>+K201+K72</f>
        <v>0</v>
      </c>
      <c r="L202" s="247">
        <f>+L$18+L72</f>
        <v>0</v>
      </c>
      <c r="M202" s="247"/>
      <c r="N202" s="247"/>
      <c r="O202" s="247"/>
      <c r="P202" s="247"/>
      <c r="R202" s="803">
        <f t="shared" si="20"/>
        <v>0</v>
      </c>
    </row>
    <row r="203" spans="2:18" ht="28.5" customHeight="1" x14ac:dyDescent="0.25">
      <c r="B203" s="1090" t="str">
        <f>"per 31/12/"&amp;$M$13</f>
        <v>per 31/12/2021</v>
      </c>
      <c r="C203" s="1091"/>
      <c r="D203" s="1091"/>
      <c r="E203" s="1092"/>
      <c r="F203" s="167"/>
      <c r="G203" s="247">
        <f t="shared" si="21"/>
        <v>0</v>
      </c>
      <c r="H203" s="247">
        <f t="shared" si="22"/>
        <v>0</v>
      </c>
      <c r="I203" s="247">
        <f>+I202+I73</f>
        <v>0</v>
      </c>
      <c r="J203" s="247">
        <f>+J202+J73</f>
        <v>0</v>
      </c>
      <c r="K203" s="247">
        <f>+K202+K73</f>
        <v>0</v>
      </c>
      <c r="L203" s="247">
        <f>+L202+L73</f>
        <v>0</v>
      </c>
      <c r="M203" s="520"/>
      <c r="N203" s="247"/>
      <c r="O203" s="247"/>
      <c r="P203" s="247"/>
      <c r="R203" s="803">
        <f t="shared" si="20"/>
        <v>0</v>
      </c>
    </row>
    <row r="204" spans="2:18" ht="28.5" customHeight="1" x14ac:dyDescent="0.25">
      <c r="B204" s="1090" t="str">
        <f>"per 31/12/"&amp;$N$13</f>
        <v>per 31/12/2022</v>
      </c>
      <c r="C204" s="1091"/>
      <c r="D204" s="1091"/>
      <c r="E204" s="1092"/>
      <c r="F204" s="167"/>
      <c r="G204" s="247">
        <f t="shared" si="21"/>
        <v>0</v>
      </c>
      <c r="H204" s="247">
        <f t="shared" si="22"/>
        <v>0</v>
      </c>
      <c r="I204" s="247">
        <f>+I203+I74</f>
        <v>0</v>
      </c>
      <c r="J204" s="247">
        <f>+J203+J74</f>
        <v>0</v>
      </c>
      <c r="K204" s="247">
        <f>+K203+K74</f>
        <v>0</v>
      </c>
      <c r="L204" s="247">
        <f>+L203+L74</f>
        <v>0</v>
      </c>
      <c r="M204" s="520"/>
      <c r="N204" s="520"/>
      <c r="O204" s="247"/>
      <c r="P204" s="247"/>
      <c r="R204" s="803">
        <f t="shared" si="20"/>
        <v>0</v>
      </c>
    </row>
    <row r="205" spans="2:18" ht="28.5" customHeight="1" x14ac:dyDescent="0.25">
      <c r="B205" s="1090" t="str">
        <f>"per 31/12/"&amp;$O$13</f>
        <v>per 31/12/2023</v>
      </c>
      <c r="C205" s="1091"/>
      <c r="D205" s="1091"/>
      <c r="E205" s="1092"/>
      <c r="F205" s="167"/>
      <c r="G205" s="247"/>
      <c r="H205" s="247"/>
      <c r="I205" s="247"/>
      <c r="J205" s="247"/>
      <c r="K205" s="247"/>
      <c r="L205" s="247">
        <f>+L204+L75</f>
        <v>0</v>
      </c>
      <c r="M205" s="520"/>
      <c r="N205" s="520"/>
      <c r="O205" s="520"/>
      <c r="P205" s="247"/>
      <c r="R205" s="803">
        <f t="shared" si="20"/>
        <v>0</v>
      </c>
    </row>
    <row r="206" spans="2:18" ht="28.5" customHeight="1" x14ac:dyDescent="0.25">
      <c r="B206" s="1090" t="str">
        <f>"per 31/12/"&amp;$P$13</f>
        <v>per 31/12/2024</v>
      </c>
      <c r="C206" s="1091"/>
      <c r="D206" s="1091"/>
      <c r="E206" s="1092"/>
      <c r="F206" s="167"/>
      <c r="G206" s="247"/>
      <c r="H206" s="247"/>
      <c r="I206" s="247"/>
      <c r="J206" s="247"/>
      <c r="K206" s="247"/>
      <c r="L206" s="247"/>
      <c r="M206" s="520"/>
      <c r="N206" s="520"/>
      <c r="O206" s="520"/>
      <c r="P206" s="520"/>
      <c r="R206" s="805"/>
    </row>
    <row r="207" spans="2:18" ht="30" customHeight="1" x14ac:dyDescent="0.25">
      <c r="B207" s="1096" t="s">
        <v>169</v>
      </c>
      <c r="C207" s="1097"/>
      <c r="D207" s="1097"/>
      <c r="E207" s="1098"/>
      <c r="F207" s="167"/>
      <c r="G207" s="804"/>
      <c r="H207" s="804"/>
      <c r="I207" s="804"/>
      <c r="J207" s="804"/>
      <c r="K207" s="804"/>
      <c r="L207" s="804"/>
      <c r="M207" s="804"/>
      <c r="N207" s="804"/>
      <c r="O207" s="804"/>
      <c r="P207" s="804"/>
      <c r="R207" s="804"/>
    </row>
    <row r="208" spans="2:18" ht="28.5" customHeight="1" x14ac:dyDescent="0.25">
      <c r="B208" s="1090" t="str">
        <f>"per 31/12/"&amp;$G$13</f>
        <v>per 31/12/2015</v>
      </c>
      <c r="C208" s="1091"/>
      <c r="D208" s="1091"/>
      <c r="E208" s="1092"/>
      <c r="F208" s="167"/>
      <c r="G208" s="247">
        <f>+G$19+G78</f>
        <v>0</v>
      </c>
      <c r="H208" s="247"/>
      <c r="I208" s="247"/>
      <c r="J208" s="247"/>
      <c r="K208" s="247"/>
      <c r="L208" s="247"/>
      <c r="M208" s="247"/>
      <c r="N208" s="247"/>
      <c r="O208" s="247"/>
      <c r="P208" s="247"/>
      <c r="R208" s="803">
        <f t="shared" si="14"/>
        <v>0</v>
      </c>
    </row>
    <row r="209" spans="2:18" ht="28.5" customHeight="1" x14ac:dyDescent="0.25">
      <c r="B209" s="1090" t="str">
        <f>"per 31/12/"&amp;$H$13</f>
        <v>per 31/12/2016</v>
      </c>
      <c r="C209" s="1091"/>
      <c r="D209" s="1091"/>
      <c r="E209" s="1092"/>
      <c r="F209" s="167"/>
      <c r="G209" s="247">
        <f t="shared" ref="G209:G215" si="23">+G208+G79</f>
        <v>0</v>
      </c>
      <c r="H209" s="247">
        <f>+H$19+H79</f>
        <v>0</v>
      </c>
      <c r="I209" s="247"/>
      <c r="J209" s="247"/>
      <c r="K209" s="247"/>
      <c r="L209" s="247"/>
      <c r="M209" s="247"/>
      <c r="N209" s="247"/>
      <c r="O209" s="247"/>
      <c r="P209" s="247"/>
      <c r="R209" s="803">
        <f t="shared" si="14"/>
        <v>0</v>
      </c>
    </row>
    <row r="210" spans="2:18" ht="28.5" customHeight="1" x14ac:dyDescent="0.25">
      <c r="B210" s="1090" t="str">
        <f>"per 31/12/"&amp;$I$13</f>
        <v>per 31/12/2017</v>
      </c>
      <c r="C210" s="1091"/>
      <c r="D210" s="1091"/>
      <c r="E210" s="1092"/>
      <c r="F210" s="167"/>
      <c r="G210" s="247">
        <f t="shared" si="23"/>
        <v>0</v>
      </c>
      <c r="H210" s="247">
        <f t="shared" ref="H210:H215" si="24">+H209+H80</f>
        <v>0</v>
      </c>
      <c r="I210" s="247">
        <f>+I$19+I80</f>
        <v>0</v>
      </c>
      <c r="J210" s="247"/>
      <c r="K210" s="247"/>
      <c r="L210" s="247"/>
      <c r="M210" s="247"/>
      <c r="N210" s="247"/>
      <c r="O210" s="247"/>
      <c r="P210" s="247"/>
      <c r="R210" s="803">
        <f t="shared" si="14"/>
        <v>0</v>
      </c>
    </row>
    <row r="211" spans="2:18" ht="28.5" customHeight="1" x14ac:dyDescent="0.25">
      <c r="B211" s="1090" t="str">
        <f>"per 31/12/"&amp;$J$13</f>
        <v>per 31/12/2018</v>
      </c>
      <c r="C211" s="1091"/>
      <c r="D211" s="1091"/>
      <c r="E211" s="1092"/>
      <c r="F211" s="167"/>
      <c r="G211" s="247">
        <f t="shared" si="23"/>
        <v>0</v>
      </c>
      <c r="H211" s="247">
        <f t="shared" si="24"/>
        <v>0</v>
      </c>
      <c r="I211" s="247">
        <f>+I210+I81</f>
        <v>0</v>
      </c>
      <c r="J211" s="247">
        <f>+J$19+J81</f>
        <v>0</v>
      </c>
      <c r="K211" s="247"/>
      <c r="L211" s="247"/>
      <c r="M211" s="247"/>
      <c r="N211" s="247"/>
      <c r="O211" s="247"/>
      <c r="P211" s="247"/>
      <c r="R211" s="803">
        <f t="shared" si="14"/>
        <v>0</v>
      </c>
    </row>
    <row r="212" spans="2:18" ht="28.5" customHeight="1" x14ac:dyDescent="0.25">
      <c r="B212" s="1090" t="str">
        <f>"per 31/12/"&amp;$K$13</f>
        <v>per 31/12/2019</v>
      </c>
      <c r="C212" s="1091"/>
      <c r="D212" s="1091"/>
      <c r="E212" s="1092"/>
      <c r="F212" s="167"/>
      <c r="G212" s="247">
        <f t="shared" si="23"/>
        <v>0</v>
      </c>
      <c r="H212" s="247">
        <f t="shared" si="24"/>
        <v>0</v>
      </c>
      <c r="I212" s="247">
        <f>+I211+I82</f>
        <v>0</v>
      </c>
      <c r="J212" s="247">
        <f>+J211+J82</f>
        <v>0</v>
      </c>
      <c r="K212" s="247">
        <f>+K$19+K82</f>
        <v>0</v>
      </c>
      <c r="L212" s="247"/>
      <c r="M212" s="247"/>
      <c r="N212" s="247"/>
      <c r="O212" s="247"/>
      <c r="P212" s="247"/>
      <c r="R212" s="803">
        <f t="shared" si="14"/>
        <v>0</v>
      </c>
    </row>
    <row r="213" spans="2:18" ht="28.5" customHeight="1" x14ac:dyDescent="0.25">
      <c r="B213" s="1090" t="str">
        <f>"per 31/12/"&amp;$L$13</f>
        <v>per 31/12/2020</v>
      </c>
      <c r="C213" s="1091"/>
      <c r="D213" s="1091"/>
      <c r="E213" s="1092"/>
      <c r="F213" s="167"/>
      <c r="G213" s="247">
        <f t="shared" si="23"/>
        <v>0</v>
      </c>
      <c r="H213" s="247">
        <f t="shared" si="24"/>
        <v>0</v>
      </c>
      <c r="I213" s="247">
        <f>+I212+I83</f>
        <v>0</v>
      </c>
      <c r="J213" s="247">
        <f>+J212+J83</f>
        <v>0</v>
      </c>
      <c r="K213" s="247">
        <f>+K212+K83</f>
        <v>0</v>
      </c>
      <c r="L213" s="247">
        <f>+L$19+L83</f>
        <v>0</v>
      </c>
      <c r="M213" s="247"/>
      <c r="N213" s="247"/>
      <c r="O213" s="247"/>
      <c r="P213" s="247"/>
      <c r="R213" s="803">
        <f t="shared" si="14"/>
        <v>0</v>
      </c>
    </row>
    <row r="214" spans="2:18" ht="28.5" customHeight="1" x14ac:dyDescent="0.25">
      <c r="B214" s="1090" t="str">
        <f>"per 31/12/"&amp;$M$13</f>
        <v>per 31/12/2021</v>
      </c>
      <c r="C214" s="1091"/>
      <c r="D214" s="1091"/>
      <c r="E214" s="1092"/>
      <c r="F214" s="167"/>
      <c r="G214" s="247">
        <f t="shared" si="23"/>
        <v>0</v>
      </c>
      <c r="H214" s="247">
        <f t="shared" si="24"/>
        <v>0</v>
      </c>
      <c r="I214" s="247">
        <f>+I213+I84</f>
        <v>0</v>
      </c>
      <c r="J214" s="247">
        <f>+J213+J84</f>
        <v>0</v>
      </c>
      <c r="K214" s="247">
        <f>+K213+K84</f>
        <v>0</v>
      </c>
      <c r="L214" s="247">
        <f>+L213+L84</f>
        <v>0</v>
      </c>
      <c r="M214" s="520"/>
      <c r="N214" s="247"/>
      <c r="O214" s="247"/>
      <c r="P214" s="247"/>
      <c r="R214" s="803">
        <f t="shared" si="14"/>
        <v>0</v>
      </c>
    </row>
    <row r="215" spans="2:18" ht="28.5" customHeight="1" x14ac:dyDescent="0.25">
      <c r="B215" s="1090" t="str">
        <f>"per 31/12/"&amp;$N$13</f>
        <v>per 31/12/2022</v>
      </c>
      <c r="C215" s="1091"/>
      <c r="D215" s="1091"/>
      <c r="E215" s="1092"/>
      <c r="F215" s="167"/>
      <c r="G215" s="247">
        <f t="shared" si="23"/>
        <v>0</v>
      </c>
      <c r="H215" s="247">
        <f t="shared" si="24"/>
        <v>0</v>
      </c>
      <c r="I215" s="247">
        <f>+I214+I85</f>
        <v>0</v>
      </c>
      <c r="J215" s="247">
        <f>+J214+J85</f>
        <v>0</v>
      </c>
      <c r="K215" s="247">
        <f>+K214+K85</f>
        <v>0</v>
      </c>
      <c r="L215" s="247">
        <f>+L214+L85</f>
        <v>0</v>
      </c>
      <c r="M215" s="520"/>
      <c r="N215" s="520"/>
      <c r="O215" s="247"/>
      <c r="P215" s="247"/>
      <c r="R215" s="803">
        <f t="shared" si="14"/>
        <v>0</v>
      </c>
    </row>
    <row r="216" spans="2:18" ht="28.5" customHeight="1" x14ac:dyDescent="0.25">
      <c r="B216" s="1090" t="str">
        <f>"per 31/12/"&amp;$O$13</f>
        <v>per 31/12/2023</v>
      </c>
      <c r="C216" s="1091"/>
      <c r="D216" s="1091"/>
      <c r="E216" s="1092"/>
      <c r="F216" s="167"/>
      <c r="G216" s="247"/>
      <c r="H216" s="247"/>
      <c r="I216" s="247"/>
      <c r="J216" s="247"/>
      <c r="K216" s="247"/>
      <c r="L216" s="247">
        <f>+L215+L86</f>
        <v>0</v>
      </c>
      <c r="M216" s="520"/>
      <c r="N216" s="520"/>
      <c r="O216" s="520"/>
      <c r="P216" s="247"/>
      <c r="R216" s="803">
        <f t="shared" si="14"/>
        <v>0</v>
      </c>
    </row>
    <row r="217" spans="2:18" ht="28.5" customHeight="1" x14ac:dyDescent="0.25">
      <c r="B217" s="1090" t="str">
        <f>"per 31/12/"&amp;$P$13</f>
        <v>per 31/12/2024</v>
      </c>
      <c r="C217" s="1091"/>
      <c r="D217" s="1091"/>
      <c r="E217" s="1092"/>
      <c r="F217" s="167"/>
      <c r="G217" s="247"/>
      <c r="H217" s="247"/>
      <c r="I217" s="247"/>
      <c r="J217" s="247"/>
      <c r="K217" s="247"/>
      <c r="L217" s="247"/>
      <c r="M217" s="520"/>
      <c r="N217" s="520"/>
      <c r="O217" s="520"/>
      <c r="P217" s="520"/>
      <c r="R217" s="805"/>
    </row>
    <row r="218" spans="2:18" ht="30" customHeight="1" x14ac:dyDescent="0.25">
      <c r="B218" s="1096" t="s">
        <v>67</v>
      </c>
      <c r="C218" s="1097"/>
      <c r="D218" s="1097"/>
      <c r="E218" s="1098"/>
      <c r="F218" s="167"/>
      <c r="G218" s="804"/>
      <c r="H218" s="804"/>
      <c r="I218" s="804"/>
      <c r="J218" s="804"/>
      <c r="K218" s="804"/>
      <c r="L218" s="804"/>
      <c r="M218" s="804"/>
      <c r="N218" s="804"/>
      <c r="O218" s="804"/>
      <c r="P218" s="804"/>
      <c r="R218" s="804"/>
    </row>
    <row r="219" spans="2:18" ht="28.5" customHeight="1" x14ac:dyDescent="0.25">
      <c r="B219" s="1090" t="str">
        <f>"per 31/12/"&amp;$G$13</f>
        <v>per 31/12/2015</v>
      </c>
      <c r="C219" s="1091"/>
      <c r="D219" s="1091"/>
      <c r="E219" s="1092"/>
      <c r="F219" s="167"/>
      <c r="G219" s="247">
        <f>+G$20+G89</f>
        <v>0</v>
      </c>
      <c r="H219" s="247"/>
      <c r="I219" s="247"/>
      <c r="J219" s="247"/>
      <c r="K219" s="247"/>
      <c r="L219" s="247"/>
      <c r="M219" s="247"/>
      <c r="N219" s="247"/>
      <c r="O219" s="247"/>
      <c r="P219" s="247"/>
      <c r="R219" s="803">
        <f t="shared" si="14"/>
        <v>0</v>
      </c>
    </row>
    <row r="220" spans="2:18" ht="28.5" customHeight="1" x14ac:dyDescent="0.25">
      <c r="B220" s="1090" t="str">
        <f>"per 31/12/"&amp;$H$13</f>
        <v>per 31/12/2016</v>
      </c>
      <c r="C220" s="1091"/>
      <c r="D220" s="1091"/>
      <c r="E220" s="1092"/>
      <c r="F220" s="167"/>
      <c r="G220" s="247">
        <f t="shared" ref="G220:G226" si="25">+G219+G90</f>
        <v>0</v>
      </c>
      <c r="H220" s="247">
        <f>+H$20+H90</f>
        <v>0</v>
      </c>
      <c r="I220" s="247"/>
      <c r="J220" s="247"/>
      <c r="K220" s="247"/>
      <c r="L220" s="247"/>
      <c r="M220" s="247"/>
      <c r="N220" s="247"/>
      <c r="O220" s="247"/>
      <c r="P220" s="247"/>
      <c r="R220" s="803">
        <f t="shared" si="14"/>
        <v>0</v>
      </c>
    </row>
    <row r="221" spans="2:18" ht="28.5" customHeight="1" x14ac:dyDescent="0.25">
      <c r="B221" s="1090" t="str">
        <f>"per 31/12/"&amp;$I$13</f>
        <v>per 31/12/2017</v>
      </c>
      <c r="C221" s="1091"/>
      <c r="D221" s="1091"/>
      <c r="E221" s="1092"/>
      <c r="F221" s="167"/>
      <c r="G221" s="247">
        <f t="shared" si="25"/>
        <v>0</v>
      </c>
      <c r="H221" s="247">
        <f t="shared" ref="H221:H226" si="26">+H220+H91</f>
        <v>0</v>
      </c>
      <c r="I221" s="247">
        <f>+I$20+I91</f>
        <v>0</v>
      </c>
      <c r="J221" s="247"/>
      <c r="K221" s="247"/>
      <c r="L221" s="247"/>
      <c r="M221" s="247"/>
      <c r="N221" s="247"/>
      <c r="O221" s="247"/>
      <c r="P221" s="247"/>
      <c r="R221" s="803">
        <f t="shared" si="14"/>
        <v>0</v>
      </c>
    </row>
    <row r="222" spans="2:18" ht="28.5" customHeight="1" x14ac:dyDescent="0.25">
      <c r="B222" s="1090" t="str">
        <f>"per 31/12/"&amp;$J$13</f>
        <v>per 31/12/2018</v>
      </c>
      <c r="C222" s="1091"/>
      <c r="D222" s="1091"/>
      <c r="E222" s="1092"/>
      <c r="F222" s="167"/>
      <c r="G222" s="247">
        <f t="shared" si="25"/>
        <v>0</v>
      </c>
      <c r="H222" s="247">
        <f t="shared" si="26"/>
        <v>0</v>
      </c>
      <c r="I222" s="247">
        <f>+I221+I92</f>
        <v>0</v>
      </c>
      <c r="J222" s="247">
        <f>+J$20+J92</f>
        <v>0</v>
      </c>
      <c r="K222" s="247"/>
      <c r="L222" s="247"/>
      <c r="M222" s="247"/>
      <c r="N222" s="247"/>
      <c r="O222" s="247"/>
      <c r="P222" s="247"/>
      <c r="R222" s="803">
        <f t="shared" si="14"/>
        <v>0</v>
      </c>
    </row>
    <row r="223" spans="2:18" ht="28.5" customHeight="1" x14ac:dyDescent="0.25">
      <c r="B223" s="1090" t="str">
        <f>"per 31/12/"&amp;$K$13</f>
        <v>per 31/12/2019</v>
      </c>
      <c r="C223" s="1091"/>
      <c r="D223" s="1091"/>
      <c r="E223" s="1092"/>
      <c r="F223" s="167"/>
      <c r="G223" s="247">
        <f t="shared" si="25"/>
        <v>0</v>
      </c>
      <c r="H223" s="247">
        <f t="shared" si="26"/>
        <v>0</v>
      </c>
      <c r="I223" s="247">
        <f>+I222+I93</f>
        <v>0</v>
      </c>
      <c r="J223" s="247">
        <f>+J222+J93</f>
        <v>0</v>
      </c>
      <c r="K223" s="247">
        <f>+K$20+K93</f>
        <v>0</v>
      </c>
      <c r="L223" s="247"/>
      <c r="M223" s="247"/>
      <c r="N223" s="247"/>
      <c r="O223" s="247"/>
      <c r="P223" s="247"/>
      <c r="R223" s="803">
        <f t="shared" si="14"/>
        <v>0</v>
      </c>
    </row>
    <row r="224" spans="2:18" ht="28.5" customHeight="1" x14ac:dyDescent="0.25">
      <c r="B224" s="1090" t="str">
        <f>"per 31/12/"&amp;$L$13</f>
        <v>per 31/12/2020</v>
      </c>
      <c r="C224" s="1091"/>
      <c r="D224" s="1091"/>
      <c r="E224" s="1092"/>
      <c r="F224" s="167"/>
      <c r="G224" s="247">
        <f t="shared" si="25"/>
        <v>0</v>
      </c>
      <c r="H224" s="247">
        <f t="shared" si="26"/>
        <v>0</v>
      </c>
      <c r="I224" s="247">
        <f>+I223+I94</f>
        <v>0</v>
      </c>
      <c r="J224" s="247">
        <f>+J223+J94</f>
        <v>0</v>
      </c>
      <c r="K224" s="247">
        <f>+K223+K94</f>
        <v>0</v>
      </c>
      <c r="L224" s="247">
        <f>+L$20+L94</f>
        <v>0</v>
      </c>
      <c r="M224" s="247"/>
      <c r="N224" s="247"/>
      <c r="O224" s="247"/>
      <c r="P224" s="247"/>
      <c r="R224" s="803">
        <f t="shared" si="14"/>
        <v>0</v>
      </c>
    </row>
    <row r="225" spans="2:18" ht="28.5" customHeight="1" x14ac:dyDescent="0.25">
      <c r="B225" s="1090" t="str">
        <f>"per 31/12/"&amp;$M$13</f>
        <v>per 31/12/2021</v>
      </c>
      <c r="C225" s="1091"/>
      <c r="D225" s="1091"/>
      <c r="E225" s="1092"/>
      <c r="F225" s="167"/>
      <c r="G225" s="247">
        <f t="shared" si="25"/>
        <v>0</v>
      </c>
      <c r="H225" s="247">
        <f t="shared" si="26"/>
        <v>0</v>
      </c>
      <c r="I225" s="247">
        <f>+I224+I95</f>
        <v>0</v>
      </c>
      <c r="J225" s="247">
        <f>+J224+J95</f>
        <v>0</v>
      </c>
      <c r="K225" s="247">
        <f>+K224+K95</f>
        <v>0</v>
      </c>
      <c r="L225" s="247">
        <f>+L224+L95</f>
        <v>0</v>
      </c>
      <c r="M225" s="247">
        <f>+M$20+M95</f>
        <v>0</v>
      </c>
      <c r="N225" s="247"/>
      <c r="O225" s="247"/>
      <c r="P225" s="247"/>
      <c r="R225" s="803">
        <f t="shared" si="14"/>
        <v>0</v>
      </c>
    </row>
    <row r="226" spans="2:18" ht="28.5" customHeight="1" x14ac:dyDescent="0.25">
      <c r="B226" s="1090" t="str">
        <f>"per 31/12/"&amp;$N$13</f>
        <v>per 31/12/2022</v>
      </c>
      <c r="C226" s="1091"/>
      <c r="D226" s="1091"/>
      <c r="E226" s="1092"/>
      <c r="F226" s="167"/>
      <c r="G226" s="247">
        <f t="shared" si="25"/>
        <v>0</v>
      </c>
      <c r="H226" s="247">
        <f t="shared" si="26"/>
        <v>0</v>
      </c>
      <c r="I226" s="247">
        <f>+I225+I96</f>
        <v>0</v>
      </c>
      <c r="J226" s="247">
        <f>+J225+J96</f>
        <v>0</v>
      </c>
      <c r="K226" s="247">
        <f>+K225+K96</f>
        <v>0</v>
      </c>
      <c r="L226" s="247">
        <f>+L225+L96</f>
        <v>0</v>
      </c>
      <c r="M226" s="247">
        <f>+M225+M96</f>
        <v>0</v>
      </c>
      <c r="N226" s="247">
        <f>+N$20+N96</f>
        <v>0</v>
      </c>
      <c r="O226" s="247"/>
      <c r="P226" s="247"/>
      <c r="R226" s="803">
        <f t="shared" si="14"/>
        <v>0</v>
      </c>
    </row>
    <row r="227" spans="2:18" ht="28.5" customHeight="1" x14ac:dyDescent="0.25">
      <c r="B227" s="1090" t="str">
        <f>"per 31/12/"&amp;$O$13</f>
        <v>per 31/12/2023</v>
      </c>
      <c r="C227" s="1091"/>
      <c r="D227" s="1091"/>
      <c r="E227" s="1092"/>
      <c r="F227" s="167"/>
      <c r="G227" s="247"/>
      <c r="H227" s="247"/>
      <c r="I227" s="247"/>
      <c r="J227" s="247"/>
      <c r="K227" s="247"/>
      <c r="L227" s="247">
        <f>+L226+L97</f>
        <v>0</v>
      </c>
      <c r="M227" s="247">
        <f>+M226+M97</f>
        <v>0</v>
      </c>
      <c r="N227" s="247">
        <f>+N226+N97</f>
        <v>0</v>
      </c>
      <c r="O227" s="247">
        <f>+O$20+O97</f>
        <v>0</v>
      </c>
      <c r="P227" s="247"/>
      <c r="R227" s="803">
        <f t="shared" si="14"/>
        <v>0</v>
      </c>
    </row>
    <row r="228" spans="2:18" ht="28.5" customHeight="1" x14ac:dyDescent="0.25">
      <c r="B228" s="1090" t="str">
        <f>"per 31/12/"&amp;$P$13</f>
        <v>per 31/12/2024</v>
      </c>
      <c r="C228" s="1091"/>
      <c r="D228" s="1091"/>
      <c r="E228" s="1092"/>
      <c r="F228" s="167"/>
      <c r="G228" s="247"/>
      <c r="H228" s="247"/>
      <c r="I228" s="247"/>
      <c r="J228" s="247"/>
      <c r="K228" s="247"/>
      <c r="L228" s="247"/>
      <c r="M228" s="247">
        <f>+M227+M98</f>
        <v>0</v>
      </c>
      <c r="N228" s="247">
        <f>+N227+N98</f>
        <v>0</v>
      </c>
      <c r="O228" s="247">
        <f>+O227+O98</f>
        <v>0</v>
      </c>
      <c r="P228" s="247">
        <f>+P$20+P98</f>
        <v>0</v>
      </c>
      <c r="R228" s="803">
        <f t="shared" si="14"/>
        <v>0</v>
      </c>
    </row>
    <row r="229" spans="2:18" ht="26.25" customHeight="1" x14ac:dyDescent="0.25">
      <c r="B229" s="1096" t="s">
        <v>96</v>
      </c>
      <c r="C229" s="1097"/>
      <c r="D229" s="1097"/>
      <c r="E229" s="1098"/>
      <c r="F229" s="167"/>
      <c r="G229" s="804"/>
      <c r="H229" s="804"/>
      <c r="I229" s="804"/>
      <c r="J229" s="804"/>
      <c r="K229" s="804"/>
      <c r="L229" s="804"/>
      <c r="M229" s="804"/>
      <c r="N229" s="804"/>
      <c r="O229" s="804"/>
      <c r="P229" s="804"/>
      <c r="R229" s="804"/>
    </row>
    <row r="230" spans="2:18" ht="28.5" customHeight="1" x14ac:dyDescent="0.25">
      <c r="B230" s="1090" t="str">
        <f>"per 31/12/"&amp;$G$13</f>
        <v>per 31/12/2015</v>
      </c>
      <c r="C230" s="1091"/>
      <c r="D230" s="1091"/>
      <c r="E230" s="1092"/>
      <c r="F230" s="167"/>
      <c r="G230" s="247">
        <f>+G$21+G100</f>
        <v>0</v>
      </c>
      <c r="H230" s="247"/>
      <c r="I230" s="247"/>
      <c r="J230" s="247"/>
      <c r="K230" s="247"/>
      <c r="L230" s="247"/>
      <c r="M230" s="247"/>
      <c r="N230" s="247"/>
      <c r="O230" s="247"/>
      <c r="P230" s="247"/>
      <c r="R230" s="803">
        <f t="shared" si="14"/>
        <v>0</v>
      </c>
    </row>
    <row r="231" spans="2:18" ht="28.5" customHeight="1" x14ac:dyDescent="0.25">
      <c r="B231" s="1090" t="str">
        <f>"per 31/12/"&amp;$H$13</f>
        <v>per 31/12/2016</v>
      </c>
      <c r="C231" s="1091"/>
      <c r="D231" s="1091"/>
      <c r="E231" s="1092"/>
      <c r="F231" s="167"/>
      <c r="G231" s="247">
        <f t="shared" ref="G231:G237" si="27">G230+G101</f>
        <v>0</v>
      </c>
      <c r="H231" s="247">
        <f>+H$21+H101</f>
        <v>0</v>
      </c>
      <c r="I231" s="247"/>
      <c r="J231" s="247"/>
      <c r="K231" s="247"/>
      <c r="L231" s="247"/>
      <c r="M231" s="247"/>
      <c r="N231" s="247"/>
      <c r="O231" s="247"/>
      <c r="P231" s="247"/>
      <c r="R231" s="803">
        <f t="shared" si="14"/>
        <v>0</v>
      </c>
    </row>
    <row r="232" spans="2:18" ht="28.5" customHeight="1" x14ac:dyDescent="0.25">
      <c r="B232" s="1090" t="str">
        <f>"per 31/12/"&amp;$I$13</f>
        <v>per 31/12/2017</v>
      </c>
      <c r="C232" s="1091"/>
      <c r="D232" s="1091"/>
      <c r="E232" s="1092"/>
      <c r="F232" s="167"/>
      <c r="G232" s="247">
        <f t="shared" si="27"/>
        <v>0</v>
      </c>
      <c r="H232" s="247">
        <f t="shared" ref="H232:H237" si="28">H231+H102</f>
        <v>0</v>
      </c>
      <c r="I232" s="247">
        <f>+I$21+I102</f>
        <v>0</v>
      </c>
      <c r="J232" s="247"/>
      <c r="K232" s="247"/>
      <c r="L232" s="247"/>
      <c r="M232" s="247"/>
      <c r="N232" s="247"/>
      <c r="O232" s="247"/>
      <c r="P232" s="247"/>
      <c r="R232" s="803">
        <f t="shared" si="14"/>
        <v>0</v>
      </c>
    </row>
    <row r="233" spans="2:18" ht="28.5" customHeight="1" x14ac:dyDescent="0.25">
      <c r="B233" s="1090" t="str">
        <f>"per 31/12/"&amp;$J$13</f>
        <v>per 31/12/2018</v>
      </c>
      <c r="C233" s="1091"/>
      <c r="D233" s="1091"/>
      <c r="E233" s="1092"/>
      <c r="F233" s="167"/>
      <c r="G233" s="247">
        <f t="shared" si="27"/>
        <v>0</v>
      </c>
      <c r="H233" s="247">
        <f t="shared" si="28"/>
        <v>0</v>
      </c>
      <c r="I233" s="247">
        <f>I232+I103</f>
        <v>0</v>
      </c>
      <c r="J233" s="247">
        <f>+J$21+J103</f>
        <v>0</v>
      </c>
      <c r="K233" s="247"/>
      <c r="L233" s="247"/>
      <c r="M233" s="247"/>
      <c r="N233" s="247"/>
      <c r="O233" s="247"/>
      <c r="P233" s="247"/>
      <c r="R233" s="803">
        <f t="shared" si="14"/>
        <v>0</v>
      </c>
    </row>
    <row r="234" spans="2:18" ht="28.5" customHeight="1" x14ac:dyDescent="0.25">
      <c r="B234" s="1090" t="str">
        <f>"per 31/12/"&amp;$K$13</f>
        <v>per 31/12/2019</v>
      </c>
      <c r="C234" s="1091"/>
      <c r="D234" s="1091"/>
      <c r="E234" s="1092"/>
      <c r="F234" s="167"/>
      <c r="G234" s="247">
        <f t="shared" si="27"/>
        <v>0</v>
      </c>
      <c r="H234" s="247">
        <f t="shared" si="28"/>
        <v>0</v>
      </c>
      <c r="I234" s="247">
        <f>I233+I104</f>
        <v>0</v>
      </c>
      <c r="J234" s="247">
        <f>J233+J104</f>
        <v>0</v>
      </c>
      <c r="K234" s="247">
        <f>+K$21+K104</f>
        <v>0</v>
      </c>
      <c r="L234" s="247"/>
      <c r="M234" s="247"/>
      <c r="N234" s="247"/>
      <c r="O234" s="247"/>
      <c r="P234" s="247"/>
      <c r="R234" s="803">
        <f t="shared" si="14"/>
        <v>0</v>
      </c>
    </row>
    <row r="235" spans="2:18" ht="28.5" customHeight="1" x14ac:dyDescent="0.25">
      <c r="B235" s="1090" t="str">
        <f>"per 31/12/"&amp;$L$13</f>
        <v>per 31/12/2020</v>
      </c>
      <c r="C235" s="1091"/>
      <c r="D235" s="1091"/>
      <c r="E235" s="1092"/>
      <c r="F235" s="167"/>
      <c r="G235" s="247">
        <f t="shared" si="27"/>
        <v>0</v>
      </c>
      <c r="H235" s="247">
        <f t="shared" si="28"/>
        <v>0</v>
      </c>
      <c r="I235" s="247">
        <f>I234+I105</f>
        <v>0</v>
      </c>
      <c r="J235" s="247">
        <f>J234+J105</f>
        <v>0</v>
      </c>
      <c r="K235" s="247">
        <f>K234+K105</f>
        <v>0</v>
      </c>
      <c r="L235" s="247">
        <f>+L$21+L105</f>
        <v>0</v>
      </c>
      <c r="M235" s="247"/>
      <c r="N235" s="247"/>
      <c r="O235" s="247"/>
      <c r="P235" s="247"/>
      <c r="R235" s="803">
        <f t="shared" si="14"/>
        <v>0</v>
      </c>
    </row>
    <row r="236" spans="2:18" ht="28.5" customHeight="1" x14ac:dyDescent="0.25">
      <c r="B236" s="1090" t="str">
        <f>"per 31/12/"&amp;$M$13</f>
        <v>per 31/12/2021</v>
      </c>
      <c r="C236" s="1091"/>
      <c r="D236" s="1091"/>
      <c r="E236" s="1092"/>
      <c r="F236" s="167"/>
      <c r="G236" s="247">
        <f t="shared" si="27"/>
        <v>0</v>
      </c>
      <c r="H236" s="247">
        <f t="shared" si="28"/>
        <v>0</v>
      </c>
      <c r="I236" s="247">
        <f>I235+I106</f>
        <v>0</v>
      </c>
      <c r="J236" s="247">
        <f>J235+J106</f>
        <v>0</v>
      </c>
      <c r="K236" s="247">
        <f>K235+K106</f>
        <v>0</v>
      </c>
      <c r="L236" s="247">
        <f>L235+L106</f>
        <v>0</v>
      </c>
      <c r="M236" s="247">
        <f>+M$21+M106</f>
        <v>0</v>
      </c>
      <c r="N236" s="247"/>
      <c r="O236" s="247"/>
      <c r="P236" s="247"/>
      <c r="R236" s="803">
        <f t="shared" si="14"/>
        <v>0</v>
      </c>
    </row>
    <row r="237" spans="2:18" ht="28.5" customHeight="1" x14ac:dyDescent="0.25">
      <c r="B237" s="1090" t="str">
        <f>"per 31/12/"&amp;$N$13</f>
        <v>per 31/12/2022</v>
      </c>
      <c r="C237" s="1091"/>
      <c r="D237" s="1091"/>
      <c r="E237" s="1092"/>
      <c r="F237" s="167"/>
      <c r="G237" s="247">
        <f t="shared" si="27"/>
        <v>0</v>
      </c>
      <c r="H237" s="247">
        <f t="shared" si="28"/>
        <v>0</v>
      </c>
      <c r="I237" s="247">
        <f>I236+I107</f>
        <v>0</v>
      </c>
      <c r="J237" s="247">
        <f>J236+J107</f>
        <v>0</v>
      </c>
      <c r="K237" s="247">
        <f>K236+K107</f>
        <v>0</v>
      </c>
      <c r="L237" s="247">
        <f>L236+L107</f>
        <v>0</v>
      </c>
      <c r="M237" s="247">
        <f>M236+M107</f>
        <v>0</v>
      </c>
      <c r="N237" s="520"/>
      <c r="O237" s="247"/>
      <c r="P237" s="247"/>
      <c r="R237" s="803">
        <f t="shared" si="14"/>
        <v>0</v>
      </c>
    </row>
    <row r="238" spans="2:18" ht="28.5" customHeight="1" x14ac:dyDescent="0.25">
      <c r="B238" s="1090" t="str">
        <f>"per 31/12/"&amp;$O$13</f>
        <v>per 31/12/2023</v>
      </c>
      <c r="C238" s="1091"/>
      <c r="D238" s="1091"/>
      <c r="E238" s="1092"/>
      <c r="F238" s="167"/>
      <c r="G238" s="247"/>
      <c r="H238" s="247"/>
      <c r="I238" s="247"/>
      <c r="J238" s="247"/>
      <c r="K238" s="247"/>
      <c r="L238" s="247">
        <f>L237+L108</f>
        <v>0</v>
      </c>
      <c r="M238" s="247">
        <f>M237+M108</f>
        <v>0</v>
      </c>
      <c r="N238" s="520"/>
      <c r="O238" s="520"/>
      <c r="P238" s="247"/>
      <c r="R238" s="803">
        <f t="shared" si="14"/>
        <v>0</v>
      </c>
    </row>
    <row r="239" spans="2:18" ht="28.5" customHeight="1" x14ac:dyDescent="0.25">
      <c r="B239" s="1090" t="str">
        <f>"per 31/12/"&amp;$P$13</f>
        <v>per 31/12/2024</v>
      </c>
      <c r="C239" s="1091"/>
      <c r="D239" s="1091"/>
      <c r="E239" s="1092"/>
      <c r="F239" s="167"/>
      <c r="G239" s="247"/>
      <c r="H239" s="247"/>
      <c r="I239" s="247"/>
      <c r="J239" s="247"/>
      <c r="K239" s="247"/>
      <c r="L239" s="247"/>
      <c r="M239" s="247">
        <f>M238+M109</f>
        <v>0</v>
      </c>
      <c r="N239" s="520"/>
      <c r="O239" s="520"/>
      <c r="P239" s="520"/>
      <c r="R239" s="803">
        <f t="shared" ref="R239" si="29">SUM(G239:P239)</f>
        <v>0</v>
      </c>
    </row>
    <row r="240" spans="2:18" ht="33" customHeight="1" x14ac:dyDescent="0.25">
      <c r="B240" s="1096" t="s">
        <v>357</v>
      </c>
      <c r="C240" s="1097"/>
      <c r="D240" s="1097"/>
      <c r="E240" s="1098"/>
      <c r="F240" s="167"/>
      <c r="G240" s="804"/>
      <c r="H240" s="804"/>
      <c r="I240" s="804"/>
      <c r="J240" s="804"/>
      <c r="K240" s="804"/>
      <c r="L240" s="804"/>
      <c r="M240" s="804"/>
      <c r="N240" s="804"/>
      <c r="O240" s="804"/>
      <c r="P240" s="804"/>
      <c r="R240" s="804"/>
    </row>
    <row r="241" spans="2:18" ht="28.5" customHeight="1" x14ac:dyDescent="0.25">
      <c r="B241" s="1090" t="str">
        <f>"per 31/12/"&amp;$G$13</f>
        <v>per 31/12/2015</v>
      </c>
      <c r="C241" s="1091"/>
      <c r="D241" s="1091"/>
      <c r="E241" s="1092"/>
      <c r="F241" s="167"/>
      <c r="G241" s="808">
        <f>+G$22+G111</f>
        <v>0</v>
      </c>
      <c r="H241" s="247"/>
      <c r="I241" s="247"/>
      <c r="J241" s="247"/>
      <c r="K241" s="247"/>
      <c r="L241" s="247"/>
      <c r="M241" s="247"/>
      <c r="N241" s="247"/>
      <c r="O241" s="247"/>
      <c r="P241" s="247"/>
      <c r="R241" s="803">
        <f t="shared" ref="R241:R250" si="30">SUM(G241:P241)</f>
        <v>0</v>
      </c>
    </row>
    <row r="242" spans="2:18" ht="28.5" customHeight="1" x14ac:dyDescent="0.25">
      <c r="B242" s="1090" t="str">
        <f>"per 31/12/"&amp;$H$13</f>
        <v>per 31/12/2016</v>
      </c>
      <c r="C242" s="1091"/>
      <c r="D242" s="1091"/>
      <c r="E242" s="1092"/>
      <c r="F242" s="167"/>
      <c r="G242" s="247">
        <f>+G241+G112</f>
        <v>0</v>
      </c>
      <c r="H242" s="247">
        <f>+H$22+H112</f>
        <v>0</v>
      </c>
      <c r="I242" s="247"/>
      <c r="J242" s="247"/>
      <c r="K242" s="247"/>
      <c r="L242" s="247"/>
      <c r="M242" s="247"/>
      <c r="N242" s="247"/>
      <c r="O242" s="247"/>
      <c r="P242" s="247"/>
      <c r="R242" s="803">
        <f t="shared" si="30"/>
        <v>0</v>
      </c>
    </row>
    <row r="243" spans="2:18" ht="28.5" customHeight="1" x14ac:dyDescent="0.25">
      <c r="B243" s="1090" t="str">
        <f>"per 31/12/"&amp;$I$13</f>
        <v>per 31/12/2017</v>
      </c>
      <c r="C243" s="1091"/>
      <c r="D243" s="1091"/>
      <c r="E243" s="1092"/>
      <c r="F243" s="167"/>
      <c r="G243" s="247">
        <f t="shared" ref="G243:G248" si="31">+G242+G113</f>
        <v>0</v>
      </c>
      <c r="H243" s="247">
        <f t="shared" ref="H243:H248" si="32">+H242+H113</f>
        <v>0</v>
      </c>
      <c r="I243" s="247">
        <f>+I$22+I113</f>
        <v>0</v>
      </c>
      <c r="J243" s="247"/>
      <c r="K243" s="247"/>
      <c r="L243" s="247"/>
      <c r="M243" s="247"/>
      <c r="N243" s="247"/>
      <c r="O243" s="247"/>
      <c r="P243" s="247"/>
      <c r="R243" s="803">
        <f t="shared" si="30"/>
        <v>0</v>
      </c>
    </row>
    <row r="244" spans="2:18" ht="28.5" customHeight="1" x14ac:dyDescent="0.25">
      <c r="B244" s="1090" t="str">
        <f>"per 31/12/"&amp;$J$13</f>
        <v>per 31/12/2018</v>
      </c>
      <c r="C244" s="1091"/>
      <c r="D244" s="1091"/>
      <c r="E244" s="1092"/>
      <c r="F244" s="167"/>
      <c r="G244" s="247">
        <f t="shared" si="31"/>
        <v>0</v>
      </c>
      <c r="H244" s="247">
        <f t="shared" si="32"/>
        <v>0</v>
      </c>
      <c r="I244" s="247">
        <f t="shared" ref="I244:I248" si="33">+I243+I114</f>
        <v>0</v>
      </c>
      <c r="J244" s="247">
        <f>+J$22+J114</f>
        <v>0</v>
      </c>
      <c r="K244" s="247"/>
      <c r="L244" s="247"/>
      <c r="M244" s="247"/>
      <c r="N244" s="247"/>
      <c r="O244" s="247"/>
      <c r="P244" s="247"/>
      <c r="R244" s="803">
        <f t="shared" si="30"/>
        <v>0</v>
      </c>
    </row>
    <row r="245" spans="2:18" ht="28.5" customHeight="1" x14ac:dyDescent="0.25">
      <c r="B245" s="1090" t="str">
        <f>"per 31/12/"&amp;$K$13</f>
        <v>per 31/12/2019</v>
      </c>
      <c r="C245" s="1091"/>
      <c r="D245" s="1091"/>
      <c r="E245" s="1092"/>
      <c r="F245" s="167"/>
      <c r="G245" s="247">
        <f t="shared" si="31"/>
        <v>0</v>
      </c>
      <c r="H245" s="247">
        <f t="shared" si="32"/>
        <v>0</v>
      </c>
      <c r="I245" s="247">
        <f t="shared" si="33"/>
        <v>0</v>
      </c>
      <c r="J245" s="247">
        <f t="shared" ref="J245:J248" si="34">+J244+J115</f>
        <v>0</v>
      </c>
      <c r="K245" s="247">
        <f>+K$22+K115</f>
        <v>0</v>
      </c>
      <c r="L245" s="247"/>
      <c r="M245" s="247"/>
      <c r="N245" s="247"/>
      <c r="O245" s="247"/>
      <c r="P245" s="247"/>
      <c r="R245" s="803">
        <f t="shared" si="30"/>
        <v>0</v>
      </c>
    </row>
    <row r="246" spans="2:18" ht="28.5" customHeight="1" x14ac:dyDescent="0.25">
      <c r="B246" s="1090" t="str">
        <f>"per 31/12/"&amp;$L$13</f>
        <v>per 31/12/2020</v>
      </c>
      <c r="C246" s="1091"/>
      <c r="D246" s="1091"/>
      <c r="E246" s="1092"/>
      <c r="F246" s="167"/>
      <c r="G246" s="247">
        <f t="shared" si="31"/>
        <v>0</v>
      </c>
      <c r="H246" s="247">
        <f t="shared" si="32"/>
        <v>0</v>
      </c>
      <c r="I246" s="247">
        <f t="shared" si="33"/>
        <v>0</v>
      </c>
      <c r="J246" s="247">
        <f t="shared" si="34"/>
        <v>0</v>
      </c>
      <c r="K246" s="247">
        <f t="shared" ref="K246:K248" si="35">+K245+K116</f>
        <v>0</v>
      </c>
      <c r="L246" s="247">
        <f>+L$22+L116</f>
        <v>0</v>
      </c>
      <c r="M246" s="247"/>
      <c r="N246" s="247"/>
      <c r="O246" s="247"/>
      <c r="P246" s="247"/>
      <c r="R246" s="803">
        <f t="shared" si="30"/>
        <v>0</v>
      </c>
    </row>
    <row r="247" spans="2:18" ht="28.5" customHeight="1" x14ac:dyDescent="0.25">
      <c r="B247" s="1090" t="str">
        <f>"per 31/12/"&amp;$M$13</f>
        <v>per 31/12/2021</v>
      </c>
      <c r="C247" s="1091"/>
      <c r="D247" s="1091"/>
      <c r="E247" s="1092"/>
      <c r="F247" s="167"/>
      <c r="G247" s="247">
        <f t="shared" si="31"/>
        <v>0</v>
      </c>
      <c r="H247" s="247">
        <f t="shared" si="32"/>
        <v>0</v>
      </c>
      <c r="I247" s="247">
        <f t="shared" si="33"/>
        <v>0</v>
      </c>
      <c r="J247" s="247">
        <f t="shared" si="34"/>
        <v>0</v>
      </c>
      <c r="K247" s="247">
        <f t="shared" si="35"/>
        <v>0</v>
      </c>
      <c r="L247" s="247">
        <f t="shared" ref="L247:L249" si="36">+L246+L117</f>
        <v>0</v>
      </c>
      <c r="M247" s="247">
        <f>+M$22+M117</f>
        <v>0</v>
      </c>
      <c r="N247" s="247"/>
      <c r="O247" s="247"/>
      <c r="P247" s="247"/>
      <c r="R247" s="803">
        <f t="shared" si="30"/>
        <v>0</v>
      </c>
    </row>
    <row r="248" spans="2:18" ht="28.5" customHeight="1" x14ac:dyDescent="0.25">
      <c r="B248" s="1090" t="str">
        <f>"per 31/12/"&amp;$N$13</f>
        <v>per 31/12/2022</v>
      </c>
      <c r="C248" s="1091"/>
      <c r="D248" s="1091"/>
      <c r="E248" s="1092"/>
      <c r="F248" s="167"/>
      <c r="G248" s="247">
        <f t="shared" si="31"/>
        <v>0</v>
      </c>
      <c r="H248" s="247">
        <f t="shared" si="32"/>
        <v>0</v>
      </c>
      <c r="I248" s="247">
        <f t="shared" si="33"/>
        <v>0</v>
      </c>
      <c r="J248" s="247">
        <f t="shared" si="34"/>
        <v>0</v>
      </c>
      <c r="K248" s="247">
        <f t="shared" si="35"/>
        <v>0</v>
      </c>
      <c r="L248" s="247">
        <f t="shared" si="36"/>
        <v>0</v>
      </c>
      <c r="M248" s="247">
        <f t="shared" ref="M248:M250" si="37">+M247+M118</f>
        <v>0</v>
      </c>
      <c r="N248" s="247">
        <f>+N$22+N118</f>
        <v>0</v>
      </c>
      <c r="O248" s="247"/>
      <c r="P248" s="247"/>
      <c r="R248" s="803">
        <f t="shared" si="30"/>
        <v>0</v>
      </c>
    </row>
    <row r="249" spans="2:18" ht="28.5" customHeight="1" x14ac:dyDescent="0.25">
      <c r="B249" s="1090" t="str">
        <f>"per 31/12/"&amp;$O$13</f>
        <v>per 31/12/2023</v>
      </c>
      <c r="C249" s="1091"/>
      <c r="D249" s="1091"/>
      <c r="E249" s="1092"/>
      <c r="F249" s="167"/>
      <c r="G249" s="247"/>
      <c r="H249" s="247"/>
      <c r="I249" s="247"/>
      <c r="J249" s="247"/>
      <c r="K249" s="247"/>
      <c r="L249" s="247">
        <f t="shared" si="36"/>
        <v>0</v>
      </c>
      <c r="M249" s="247">
        <f t="shared" si="37"/>
        <v>0</v>
      </c>
      <c r="N249" s="247">
        <f t="shared" ref="N249:N250" si="38">+N248+N119</f>
        <v>0</v>
      </c>
      <c r="O249" s="247">
        <f>+O$22+O119</f>
        <v>0</v>
      </c>
      <c r="P249" s="247"/>
      <c r="R249" s="803">
        <f t="shared" si="30"/>
        <v>0</v>
      </c>
    </row>
    <row r="250" spans="2:18" ht="28.5" customHeight="1" x14ac:dyDescent="0.25">
      <c r="B250" s="1090" t="str">
        <f>"per 31/12/"&amp;$P$13</f>
        <v>per 31/12/2024</v>
      </c>
      <c r="C250" s="1091"/>
      <c r="D250" s="1091"/>
      <c r="E250" s="1092"/>
      <c r="F250" s="167"/>
      <c r="G250" s="247"/>
      <c r="H250" s="247"/>
      <c r="I250" s="247"/>
      <c r="J250" s="247"/>
      <c r="K250" s="247"/>
      <c r="L250" s="247"/>
      <c r="M250" s="247">
        <f t="shared" si="37"/>
        <v>0</v>
      </c>
      <c r="N250" s="247">
        <f t="shared" si="38"/>
        <v>0</v>
      </c>
      <c r="O250" s="247">
        <f>+O249+O120</f>
        <v>0</v>
      </c>
      <c r="P250" s="247">
        <f>+P$22+P120</f>
        <v>0</v>
      </c>
      <c r="R250" s="803">
        <f t="shared" si="30"/>
        <v>0</v>
      </c>
    </row>
    <row r="251" spans="2:18" ht="33" customHeight="1" x14ac:dyDescent="0.25">
      <c r="B251" s="1096" t="s">
        <v>349</v>
      </c>
      <c r="C251" s="1097"/>
      <c r="D251" s="1097"/>
      <c r="E251" s="1098"/>
      <c r="F251" s="167"/>
      <c r="G251" s="804"/>
      <c r="H251" s="804"/>
      <c r="I251" s="804"/>
      <c r="J251" s="804"/>
      <c r="K251" s="804"/>
      <c r="L251" s="804"/>
      <c r="M251" s="804"/>
      <c r="N251" s="804"/>
      <c r="O251" s="804"/>
      <c r="P251" s="804"/>
      <c r="R251" s="804"/>
    </row>
    <row r="252" spans="2:18" ht="28.5" customHeight="1" x14ac:dyDescent="0.25">
      <c r="B252" s="1090" t="str">
        <f>"per 31/12/"&amp;$G$13</f>
        <v>per 31/12/2015</v>
      </c>
      <c r="C252" s="1091"/>
      <c r="D252" s="1091"/>
      <c r="E252" s="1092"/>
      <c r="F252" s="167"/>
      <c r="G252" s="808">
        <f>+G$23+G122</f>
        <v>0</v>
      </c>
      <c r="H252" s="247"/>
      <c r="I252" s="247"/>
      <c r="J252" s="247"/>
      <c r="K252" s="247"/>
      <c r="L252" s="247"/>
      <c r="M252" s="247"/>
      <c r="N252" s="247"/>
      <c r="O252" s="247"/>
      <c r="P252" s="247"/>
      <c r="R252" s="803">
        <f t="shared" ref="R252:R261" si="39">SUM(G252:P252)</f>
        <v>0</v>
      </c>
    </row>
    <row r="253" spans="2:18" ht="28.5" customHeight="1" x14ac:dyDescent="0.25">
      <c r="B253" s="1090" t="str">
        <f>"per 31/12/"&amp;$H$13</f>
        <v>per 31/12/2016</v>
      </c>
      <c r="C253" s="1091"/>
      <c r="D253" s="1091"/>
      <c r="E253" s="1092"/>
      <c r="F253" s="167"/>
      <c r="G253" s="247">
        <f>+G252+G123</f>
        <v>0</v>
      </c>
      <c r="H253" s="247">
        <f>+H$23+H123</f>
        <v>0</v>
      </c>
      <c r="I253" s="247"/>
      <c r="J253" s="247"/>
      <c r="K253" s="247"/>
      <c r="L253" s="247"/>
      <c r="M253" s="247"/>
      <c r="N253" s="247"/>
      <c r="O253" s="247"/>
      <c r="P253" s="247"/>
      <c r="R253" s="803">
        <f t="shared" si="39"/>
        <v>0</v>
      </c>
    </row>
    <row r="254" spans="2:18" ht="28.5" customHeight="1" x14ac:dyDescent="0.25">
      <c r="B254" s="1090" t="str">
        <f>"per 31/12/"&amp;$I$13</f>
        <v>per 31/12/2017</v>
      </c>
      <c r="C254" s="1091"/>
      <c r="D254" s="1091"/>
      <c r="E254" s="1092"/>
      <c r="F254" s="167"/>
      <c r="G254" s="247">
        <f t="shared" ref="G254:G259" si="40">+G253+G124</f>
        <v>0</v>
      </c>
      <c r="H254" s="247">
        <f t="shared" ref="H254:H259" si="41">+H253+H124</f>
        <v>0</v>
      </c>
      <c r="I254" s="247">
        <f>+I$23+I124</f>
        <v>0</v>
      </c>
      <c r="J254" s="247"/>
      <c r="K254" s="247"/>
      <c r="L254" s="247"/>
      <c r="M254" s="247"/>
      <c r="N254" s="247"/>
      <c r="O254" s="247"/>
      <c r="P254" s="247"/>
      <c r="R254" s="803">
        <f t="shared" si="39"/>
        <v>0</v>
      </c>
    </row>
    <row r="255" spans="2:18" ht="28.5" customHeight="1" x14ac:dyDescent="0.25">
      <c r="B255" s="1090" t="str">
        <f>"per 31/12/"&amp;$J$13</f>
        <v>per 31/12/2018</v>
      </c>
      <c r="C255" s="1091"/>
      <c r="D255" s="1091"/>
      <c r="E255" s="1092"/>
      <c r="F255" s="167"/>
      <c r="G255" s="247">
        <f t="shared" si="40"/>
        <v>0</v>
      </c>
      <c r="H255" s="247">
        <f t="shared" si="41"/>
        <v>0</v>
      </c>
      <c r="I255" s="247">
        <f t="shared" ref="I255:I259" si="42">+I254+I125</f>
        <v>0</v>
      </c>
      <c r="J255" s="247">
        <f>+J$23+J125</f>
        <v>0</v>
      </c>
      <c r="K255" s="247"/>
      <c r="L255" s="247"/>
      <c r="M255" s="247"/>
      <c r="N255" s="247"/>
      <c r="O255" s="247"/>
      <c r="P255" s="247"/>
      <c r="R255" s="803">
        <f t="shared" si="39"/>
        <v>0</v>
      </c>
    </row>
    <row r="256" spans="2:18" ht="28.5" customHeight="1" x14ac:dyDescent="0.25">
      <c r="B256" s="1090" t="str">
        <f>"per 31/12/"&amp;$K$13</f>
        <v>per 31/12/2019</v>
      </c>
      <c r="C256" s="1091"/>
      <c r="D256" s="1091"/>
      <c r="E256" s="1092"/>
      <c r="F256" s="167"/>
      <c r="G256" s="247">
        <f t="shared" si="40"/>
        <v>0</v>
      </c>
      <c r="H256" s="247">
        <f t="shared" si="41"/>
        <v>0</v>
      </c>
      <c r="I256" s="247">
        <f t="shared" si="42"/>
        <v>0</v>
      </c>
      <c r="J256" s="247">
        <f t="shared" ref="J256:J259" si="43">+J255+J126</f>
        <v>0</v>
      </c>
      <c r="K256" s="247">
        <f>+K$23+K126</f>
        <v>0</v>
      </c>
      <c r="L256" s="247"/>
      <c r="M256" s="247"/>
      <c r="N256" s="247"/>
      <c r="O256" s="247"/>
      <c r="P256" s="247"/>
      <c r="R256" s="803">
        <f t="shared" si="39"/>
        <v>0</v>
      </c>
    </row>
    <row r="257" spans="2:18" ht="28.5" customHeight="1" x14ac:dyDescent="0.25">
      <c r="B257" s="1090" t="str">
        <f>"per 31/12/"&amp;$L$13</f>
        <v>per 31/12/2020</v>
      </c>
      <c r="C257" s="1091"/>
      <c r="D257" s="1091"/>
      <c r="E257" s="1092"/>
      <c r="F257" s="167"/>
      <c r="G257" s="247">
        <f t="shared" si="40"/>
        <v>0</v>
      </c>
      <c r="H257" s="247">
        <f t="shared" si="41"/>
        <v>0</v>
      </c>
      <c r="I257" s="247">
        <f t="shared" si="42"/>
        <v>0</v>
      </c>
      <c r="J257" s="247">
        <f t="shared" si="43"/>
        <v>0</v>
      </c>
      <c r="K257" s="247">
        <f t="shared" ref="K257:K259" si="44">+K256+K127</f>
        <v>0</v>
      </c>
      <c r="L257" s="247">
        <f>+L$23+L127</f>
        <v>0</v>
      </c>
      <c r="M257" s="247"/>
      <c r="N257" s="247"/>
      <c r="O257" s="247"/>
      <c r="P257" s="247"/>
      <c r="R257" s="803">
        <f t="shared" si="39"/>
        <v>0</v>
      </c>
    </row>
    <row r="258" spans="2:18" ht="28.5" customHeight="1" x14ac:dyDescent="0.25">
      <c r="B258" s="1090" t="str">
        <f>"per 31/12/"&amp;$M$13</f>
        <v>per 31/12/2021</v>
      </c>
      <c r="C258" s="1091"/>
      <c r="D258" s="1091"/>
      <c r="E258" s="1092"/>
      <c r="F258" s="167"/>
      <c r="G258" s="247">
        <f t="shared" si="40"/>
        <v>0</v>
      </c>
      <c r="H258" s="247">
        <f t="shared" si="41"/>
        <v>0</v>
      </c>
      <c r="I258" s="247">
        <f t="shared" si="42"/>
        <v>0</v>
      </c>
      <c r="J258" s="247">
        <f t="shared" si="43"/>
        <v>0</v>
      </c>
      <c r="K258" s="247">
        <f t="shared" si="44"/>
        <v>0</v>
      </c>
      <c r="L258" s="247">
        <f t="shared" ref="L258:L260" si="45">+L257+L128</f>
        <v>0</v>
      </c>
      <c r="M258" s="247">
        <f>+M$23+M128</f>
        <v>0</v>
      </c>
      <c r="N258" s="247"/>
      <c r="O258" s="247"/>
      <c r="P258" s="247"/>
      <c r="R258" s="803">
        <f t="shared" si="39"/>
        <v>0</v>
      </c>
    </row>
    <row r="259" spans="2:18" ht="28.5" customHeight="1" x14ac:dyDescent="0.25">
      <c r="B259" s="1090" t="str">
        <f>"per 31/12/"&amp;$N$13</f>
        <v>per 31/12/2022</v>
      </c>
      <c r="C259" s="1091"/>
      <c r="D259" s="1091"/>
      <c r="E259" s="1092"/>
      <c r="F259" s="167"/>
      <c r="G259" s="247">
        <f t="shared" si="40"/>
        <v>0</v>
      </c>
      <c r="H259" s="247">
        <f t="shared" si="41"/>
        <v>0</v>
      </c>
      <c r="I259" s="247">
        <f t="shared" si="42"/>
        <v>0</v>
      </c>
      <c r="J259" s="247">
        <f t="shared" si="43"/>
        <v>0</v>
      </c>
      <c r="K259" s="247">
        <f t="shared" si="44"/>
        <v>0</v>
      </c>
      <c r="L259" s="247">
        <f t="shared" si="45"/>
        <v>0</v>
      </c>
      <c r="M259" s="247">
        <f t="shared" ref="M259:M261" si="46">+M258+M129</f>
        <v>0</v>
      </c>
      <c r="N259" s="520"/>
      <c r="O259" s="247"/>
      <c r="P259" s="247"/>
      <c r="R259" s="803">
        <f t="shared" si="39"/>
        <v>0</v>
      </c>
    </row>
    <row r="260" spans="2:18" ht="28.5" customHeight="1" x14ac:dyDescent="0.25">
      <c r="B260" s="1090" t="str">
        <f>"per 31/12/"&amp;$O$13</f>
        <v>per 31/12/2023</v>
      </c>
      <c r="C260" s="1091"/>
      <c r="D260" s="1091"/>
      <c r="E260" s="1092"/>
      <c r="F260" s="167"/>
      <c r="G260" s="247"/>
      <c r="H260" s="247"/>
      <c r="I260" s="247"/>
      <c r="J260" s="247"/>
      <c r="K260" s="247"/>
      <c r="L260" s="247">
        <f t="shared" si="45"/>
        <v>0</v>
      </c>
      <c r="M260" s="247">
        <f t="shared" si="46"/>
        <v>0</v>
      </c>
      <c r="N260" s="520"/>
      <c r="O260" s="520"/>
      <c r="P260" s="247"/>
      <c r="R260" s="803">
        <f t="shared" si="39"/>
        <v>0</v>
      </c>
    </row>
    <row r="261" spans="2:18" ht="28.5" customHeight="1" x14ac:dyDescent="0.25">
      <c r="B261" s="1090" t="str">
        <f>"per 31/12/"&amp;$P$13</f>
        <v>per 31/12/2024</v>
      </c>
      <c r="C261" s="1091"/>
      <c r="D261" s="1091"/>
      <c r="E261" s="1092"/>
      <c r="F261" s="167"/>
      <c r="G261" s="247"/>
      <c r="H261" s="247"/>
      <c r="I261" s="247"/>
      <c r="J261" s="247"/>
      <c r="K261" s="247"/>
      <c r="L261" s="247"/>
      <c r="M261" s="247">
        <f t="shared" si="46"/>
        <v>0</v>
      </c>
      <c r="N261" s="520"/>
      <c r="O261" s="520"/>
      <c r="P261" s="520"/>
      <c r="R261" s="803">
        <f t="shared" si="39"/>
        <v>0</v>
      </c>
    </row>
    <row r="262" spans="2:18" ht="33" customHeight="1" x14ac:dyDescent="0.25">
      <c r="B262" s="1096" t="s">
        <v>352</v>
      </c>
      <c r="C262" s="1097"/>
      <c r="D262" s="1097"/>
      <c r="E262" s="1098"/>
      <c r="F262" s="167"/>
      <c r="G262" s="804"/>
      <c r="H262" s="804"/>
      <c r="I262" s="804"/>
      <c r="J262" s="804"/>
      <c r="K262" s="804"/>
      <c r="L262" s="804"/>
      <c r="M262" s="804"/>
      <c r="N262" s="804"/>
      <c r="O262" s="804"/>
      <c r="P262" s="804"/>
      <c r="R262" s="804"/>
    </row>
    <row r="263" spans="2:18" ht="28.5" customHeight="1" x14ac:dyDescent="0.25">
      <c r="B263" s="1081" t="str">
        <f>"per 31/12/"&amp;$G$13</f>
        <v>per 31/12/2015</v>
      </c>
      <c r="C263" s="1082"/>
      <c r="D263" s="1082"/>
      <c r="E263" s="1083"/>
      <c r="F263" s="167"/>
      <c r="G263" s="809"/>
      <c r="H263" s="247"/>
      <c r="I263" s="247"/>
      <c r="J263" s="247"/>
      <c r="K263" s="247"/>
      <c r="L263" s="247"/>
      <c r="M263" s="247"/>
      <c r="N263" s="247"/>
      <c r="O263" s="247"/>
      <c r="P263" s="247"/>
      <c r="R263" s="805"/>
    </row>
    <row r="264" spans="2:18" ht="28.5" customHeight="1" x14ac:dyDescent="0.25">
      <c r="B264" s="1081" t="str">
        <f>"per 31/12/"&amp;$H$13</f>
        <v>per 31/12/2016</v>
      </c>
      <c r="C264" s="1082"/>
      <c r="D264" s="1082"/>
      <c r="E264" s="1083"/>
      <c r="F264" s="167"/>
      <c r="G264" s="520"/>
      <c r="H264" s="520"/>
      <c r="I264" s="247"/>
      <c r="J264" s="247"/>
      <c r="K264" s="247"/>
      <c r="L264" s="247"/>
      <c r="M264" s="247"/>
      <c r="N264" s="247"/>
      <c r="O264" s="247"/>
      <c r="P264" s="247"/>
      <c r="R264" s="805"/>
    </row>
    <row r="265" spans="2:18" ht="28.5" customHeight="1" x14ac:dyDescent="0.25">
      <c r="B265" s="1081" t="str">
        <f>"per 31/12/"&amp;$I$13</f>
        <v>per 31/12/2017</v>
      </c>
      <c r="C265" s="1082"/>
      <c r="D265" s="1082"/>
      <c r="E265" s="1083"/>
      <c r="F265" s="167"/>
      <c r="G265" s="520"/>
      <c r="H265" s="520"/>
      <c r="I265" s="520"/>
      <c r="J265" s="247"/>
      <c r="K265" s="247"/>
      <c r="L265" s="247"/>
      <c r="M265" s="247"/>
      <c r="N265" s="247"/>
      <c r="O265" s="247"/>
      <c r="P265" s="247"/>
      <c r="R265" s="805"/>
    </row>
    <row r="266" spans="2:18" ht="28.5" customHeight="1" x14ac:dyDescent="0.25">
      <c r="B266" s="1081" t="str">
        <f>"per 31/12/"&amp;$J$13</f>
        <v>per 31/12/2018</v>
      </c>
      <c r="C266" s="1082"/>
      <c r="D266" s="1082"/>
      <c r="E266" s="1083"/>
      <c r="F266" s="167"/>
      <c r="G266" s="520"/>
      <c r="H266" s="520"/>
      <c r="I266" s="520"/>
      <c r="J266" s="520"/>
      <c r="K266" s="247"/>
      <c r="L266" s="247"/>
      <c r="M266" s="247"/>
      <c r="N266" s="247"/>
      <c r="O266" s="247"/>
      <c r="P266" s="247"/>
      <c r="R266" s="805"/>
    </row>
    <row r="267" spans="2:18" ht="28.5" customHeight="1" x14ac:dyDescent="0.25">
      <c r="B267" s="1081" t="str">
        <f>"per 31/12/"&amp;$K$13</f>
        <v>per 31/12/2019</v>
      </c>
      <c r="C267" s="1082"/>
      <c r="D267" s="1082"/>
      <c r="E267" s="1083"/>
      <c r="F267" s="167"/>
      <c r="G267" s="520"/>
      <c r="H267" s="520"/>
      <c r="I267" s="520"/>
      <c r="J267" s="520"/>
      <c r="K267" s="520"/>
      <c r="L267" s="247"/>
      <c r="M267" s="247"/>
      <c r="N267" s="247"/>
      <c r="O267" s="247"/>
      <c r="P267" s="247"/>
      <c r="R267" s="805"/>
    </row>
    <row r="268" spans="2:18" ht="28.5" customHeight="1" x14ac:dyDescent="0.25">
      <c r="B268" s="1081" t="str">
        <f>"per 31/12/"&amp;$L$13</f>
        <v>per 31/12/2020</v>
      </c>
      <c r="C268" s="1082"/>
      <c r="D268" s="1082"/>
      <c r="E268" s="1083"/>
      <c r="F268" s="167"/>
      <c r="G268" s="520"/>
      <c r="H268" s="520"/>
      <c r="I268" s="520"/>
      <c r="J268" s="520"/>
      <c r="K268" s="520"/>
      <c r="L268" s="520"/>
      <c r="M268" s="247"/>
      <c r="N268" s="247"/>
      <c r="O268" s="247"/>
      <c r="P268" s="247"/>
      <c r="R268" s="805"/>
    </row>
    <row r="269" spans="2:18" ht="28.5" customHeight="1" x14ac:dyDescent="0.25">
      <c r="B269" s="1081" t="str">
        <f>"per 31/12/"&amp;$M$13</f>
        <v>per 31/12/2021</v>
      </c>
      <c r="C269" s="1082"/>
      <c r="D269" s="1082"/>
      <c r="E269" s="1083"/>
      <c r="F269" s="167"/>
      <c r="G269" s="520"/>
      <c r="H269" s="520"/>
      <c r="I269" s="520"/>
      <c r="J269" s="520"/>
      <c r="K269" s="520"/>
      <c r="L269" s="520"/>
      <c r="M269" s="520"/>
      <c r="N269" s="247"/>
      <c r="O269" s="247"/>
      <c r="P269" s="247"/>
      <c r="R269" s="805"/>
    </row>
    <row r="270" spans="2:18" ht="28.5" customHeight="1" x14ac:dyDescent="0.25">
      <c r="B270" s="1090" t="str">
        <f>"per 31/12/"&amp;$N$13</f>
        <v>per 31/12/2022</v>
      </c>
      <c r="C270" s="1091"/>
      <c r="D270" s="1091"/>
      <c r="E270" s="1092"/>
      <c r="F270" s="167"/>
      <c r="G270" s="520"/>
      <c r="H270" s="520"/>
      <c r="I270" s="520"/>
      <c r="J270" s="520"/>
      <c r="K270" s="520"/>
      <c r="L270" s="520"/>
      <c r="M270" s="520"/>
      <c r="N270" s="247">
        <f>+N$24+N140</f>
        <v>0</v>
      </c>
      <c r="O270" s="247"/>
      <c r="P270" s="247"/>
      <c r="R270" s="803">
        <f t="shared" ref="R270:R272" si="47">SUM(G270:P270)</f>
        <v>0</v>
      </c>
    </row>
    <row r="271" spans="2:18" ht="28.5" customHeight="1" x14ac:dyDescent="0.25">
      <c r="B271" s="1090" t="str">
        <f>"per 31/12/"&amp;$O$13</f>
        <v>per 31/12/2023</v>
      </c>
      <c r="C271" s="1091"/>
      <c r="D271" s="1091"/>
      <c r="E271" s="1092"/>
      <c r="F271" s="167"/>
      <c r="G271" s="247"/>
      <c r="H271" s="247"/>
      <c r="I271" s="247"/>
      <c r="J271" s="247"/>
      <c r="K271" s="247"/>
      <c r="L271" s="520"/>
      <c r="M271" s="520"/>
      <c r="N271" s="247">
        <f t="shared" ref="N271:N272" si="48">+N270+N141</f>
        <v>0</v>
      </c>
      <c r="O271" s="247">
        <f>+O$24+O141</f>
        <v>0</v>
      </c>
      <c r="P271" s="247"/>
      <c r="R271" s="803">
        <f t="shared" si="47"/>
        <v>0</v>
      </c>
    </row>
    <row r="272" spans="2:18" ht="28.5" customHeight="1" x14ac:dyDescent="0.25">
      <c r="B272" s="1090" t="str">
        <f>"per 31/12/"&amp;$P$13</f>
        <v>per 31/12/2024</v>
      </c>
      <c r="C272" s="1091"/>
      <c r="D272" s="1091"/>
      <c r="E272" s="1092"/>
      <c r="F272" s="167"/>
      <c r="G272" s="247"/>
      <c r="H272" s="247"/>
      <c r="I272" s="247"/>
      <c r="J272" s="247"/>
      <c r="K272" s="247"/>
      <c r="L272" s="247"/>
      <c r="M272" s="520"/>
      <c r="N272" s="247">
        <f t="shared" si="48"/>
        <v>0</v>
      </c>
      <c r="O272" s="247">
        <f>+O271+O142</f>
        <v>0</v>
      </c>
      <c r="P272" s="247">
        <f>+P$24+P142</f>
        <v>0</v>
      </c>
      <c r="R272" s="803">
        <f t="shared" si="47"/>
        <v>0</v>
      </c>
    </row>
    <row r="273" spans="1:18" ht="13" x14ac:dyDescent="0.25">
      <c r="G273" s="301"/>
      <c r="H273" s="301"/>
      <c r="I273" s="301"/>
      <c r="J273" s="301"/>
      <c r="K273" s="301"/>
      <c r="L273" s="301"/>
      <c r="M273" s="301"/>
      <c r="N273" s="301"/>
      <c r="O273" s="301"/>
      <c r="P273" s="301"/>
      <c r="R273" s="302"/>
    </row>
    <row r="274" spans="1:18" s="216" customFormat="1" ht="13" x14ac:dyDescent="0.25">
      <c r="B274" s="310"/>
      <c r="C274" s="311"/>
      <c r="D274" s="311"/>
      <c r="E274" s="312"/>
      <c r="F274" s="275"/>
      <c r="G274" s="784">
        <v>2015</v>
      </c>
      <c r="H274" s="165">
        <f>+G274+1</f>
        <v>2016</v>
      </c>
      <c r="I274" s="165">
        <f>+H274+1</f>
        <v>2017</v>
      </c>
      <c r="J274" s="165">
        <f>+I274+1</f>
        <v>2018</v>
      </c>
      <c r="K274" s="165">
        <f>+J274+1</f>
        <v>2019</v>
      </c>
      <c r="L274" s="165">
        <f t="shared" ref="L274:P274" si="49">+K274+1</f>
        <v>2020</v>
      </c>
      <c r="M274" s="165">
        <f t="shared" si="49"/>
        <v>2021</v>
      </c>
      <c r="N274" s="165">
        <f t="shared" si="49"/>
        <v>2022</v>
      </c>
      <c r="O274" s="165">
        <f t="shared" si="49"/>
        <v>2023</v>
      </c>
      <c r="P274" s="165">
        <f t="shared" si="49"/>
        <v>2024</v>
      </c>
      <c r="Q274" s="203"/>
      <c r="R274" s="165" t="s">
        <v>20</v>
      </c>
    </row>
    <row r="275" spans="1:18" ht="20.25" customHeight="1" x14ac:dyDescent="0.25">
      <c r="B275" s="1093" t="s">
        <v>125</v>
      </c>
      <c r="C275" s="1094"/>
      <c r="D275" s="1094"/>
      <c r="E275" s="1095"/>
      <c r="F275" s="169"/>
      <c r="G275" s="170"/>
      <c r="H275" s="170"/>
      <c r="I275" s="170"/>
      <c r="J275" s="170"/>
      <c r="K275" s="170"/>
      <c r="L275" s="170"/>
      <c r="M275" s="170"/>
      <c r="N275" s="170"/>
      <c r="O275" s="170"/>
      <c r="P275" s="170"/>
      <c r="R275" s="170"/>
    </row>
    <row r="276" spans="1:18" ht="28.5" customHeight="1" x14ac:dyDescent="0.25">
      <c r="A276" s="203">
        <v>2015</v>
      </c>
      <c r="B276" s="1084" t="str">
        <f>"per 31/12/"&amp;$G$13</f>
        <v>per 31/12/2015</v>
      </c>
      <c r="C276" s="1085"/>
      <c r="D276" s="1085"/>
      <c r="E276" s="1086"/>
      <c r="F276" s="313"/>
      <c r="G276" s="806">
        <f>SUMIFS(G$164:G$272,$B$164:$B$272,$B276)</f>
        <v>0</v>
      </c>
      <c r="H276" s="806"/>
      <c r="I276" s="806"/>
      <c r="J276" s="806"/>
      <c r="K276" s="806"/>
      <c r="L276" s="806"/>
      <c r="M276" s="806"/>
      <c r="N276" s="806"/>
      <c r="O276" s="806"/>
      <c r="P276" s="806"/>
      <c r="R276" s="807">
        <f t="shared" ref="R276:R285" si="50">SUMIFS(R$164:R$272,$B$164:$B$272,$B276)</f>
        <v>0</v>
      </c>
    </row>
    <row r="277" spans="1:18" ht="28.5" customHeight="1" x14ac:dyDescent="0.25">
      <c r="A277" s="203">
        <v>2016</v>
      </c>
      <c r="B277" s="1084" t="str">
        <f>"per 31/12/"&amp;$H$13</f>
        <v>per 31/12/2016</v>
      </c>
      <c r="C277" s="1085"/>
      <c r="D277" s="1085"/>
      <c r="E277" s="1086"/>
      <c r="F277" s="313"/>
      <c r="G277" s="806">
        <f t="shared" ref="G277:N285" si="51">SUMIFS(G$164:G$272,$B$164:$B$272,$B277)</f>
        <v>0</v>
      </c>
      <c r="H277" s="806">
        <f t="shared" si="51"/>
        <v>0</v>
      </c>
      <c r="I277" s="806"/>
      <c r="J277" s="806"/>
      <c r="K277" s="806"/>
      <c r="L277" s="806"/>
      <c r="M277" s="806"/>
      <c r="N277" s="806"/>
      <c r="O277" s="806"/>
      <c r="P277" s="806"/>
      <c r="R277" s="807">
        <f t="shared" si="50"/>
        <v>0</v>
      </c>
    </row>
    <row r="278" spans="1:18" ht="28.5" customHeight="1" x14ac:dyDescent="0.25">
      <c r="A278" s="203">
        <v>2017</v>
      </c>
      <c r="B278" s="1084" t="str">
        <f>"per 31/12/"&amp;$I$13</f>
        <v>per 31/12/2017</v>
      </c>
      <c r="C278" s="1085"/>
      <c r="D278" s="1085"/>
      <c r="E278" s="1086"/>
      <c r="F278" s="313"/>
      <c r="G278" s="806">
        <f t="shared" si="51"/>
        <v>0</v>
      </c>
      <c r="H278" s="806">
        <f t="shared" si="51"/>
        <v>0</v>
      </c>
      <c r="I278" s="806">
        <f t="shared" si="51"/>
        <v>0</v>
      </c>
      <c r="J278" s="806"/>
      <c r="K278" s="806"/>
      <c r="L278" s="806"/>
      <c r="M278" s="806"/>
      <c r="N278" s="806"/>
      <c r="O278" s="806"/>
      <c r="P278" s="806"/>
      <c r="R278" s="807">
        <f t="shared" si="50"/>
        <v>0</v>
      </c>
    </row>
    <row r="279" spans="1:18" ht="28.5" customHeight="1" x14ac:dyDescent="0.25">
      <c r="A279" s="203">
        <v>2018</v>
      </c>
      <c r="B279" s="1084" t="str">
        <f>"per 31/12/"&amp;$J$13</f>
        <v>per 31/12/2018</v>
      </c>
      <c r="C279" s="1085"/>
      <c r="D279" s="1085"/>
      <c r="E279" s="1086"/>
      <c r="F279" s="313"/>
      <c r="G279" s="806">
        <f t="shared" si="51"/>
        <v>0</v>
      </c>
      <c r="H279" s="806">
        <f t="shared" si="51"/>
        <v>0</v>
      </c>
      <c r="I279" s="806">
        <f t="shared" si="51"/>
        <v>0</v>
      </c>
      <c r="J279" s="806">
        <f t="shared" si="51"/>
        <v>0</v>
      </c>
      <c r="K279" s="806"/>
      <c r="L279" s="806"/>
      <c r="M279" s="806"/>
      <c r="N279" s="806"/>
      <c r="O279" s="806"/>
      <c r="P279" s="806"/>
      <c r="R279" s="807">
        <f t="shared" si="50"/>
        <v>0</v>
      </c>
    </row>
    <row r="280" spans="1:18" ht="28.5" customHeight="1" x14ac:dyDescent="0.25">
      <c r="A280" s="203">
        <v>2019</v>
      </c>
      <c r="B280" s="1084" t="str">
        <f>"per 31/12/"&amp;$K$13</f>
        <v>per 31/12/2019</v>
      </c>
      <c r="C280" s="1085"/>
      <c r="D280" s="1085"/>
      <c r="E280" s="1086"/>
      <c r="F280" s="313"/>
      <c r="G280" s="806">
        <f t="shared" si="51"/>
        <v>0</v>
      </c>
      <c r="H280" s="806">
        <f t="shared" si="51"/>
        <v>0</v>
      </c>
      <c r="I280" s="806">
        <f t="shared" si="51"/>
        <v>0</v>
      </c>
      <c r="J280" s="806">
        <f t="shared" si="51"/>
        <v>0</v>
      </c>
      <c r="K280" s="806">
        <f t="shared" si="51"/>
        <v>0</v>
      </c>
      <c r="L280" s="806"/>
      <c r="M280" s="806"/>
      <c r="N280" s="806"/>
      <c r="O280" s="806"/>
      <c r="P280" s="806"/>
      <c r="R280" s="807">
        <f t="shared" si="50"/>
        <v>0</v>
      </c>
    </row>
    <row r="281" spans="1:18" ht="28.5" customHeight="1" x14ac:dyDescent="0.25">
      <c r="A281" s="203">
        <v>2020</v>
      </c>
      <c r="B281" s="1084" t="str">
        <f>"per 31/12/"&amp;$L$13</f>
        <v>per 31/12/2020</v>
      </c>
      <c r="C281" s="1085"/>
      <c r="D281" s="1085"/>
      <c r="E281" s="1086"/>
      <c r="F281" s="313"/>
      <c r="G281" s="806">
        <f t="shared" si="51"/>
        <v>0</v>
      </c>
      <c r="H281" s="806">
        <f t="shared" si="51"/>
        <v>0</v>
      </c>
      <c r="I281" s="806">
        <f t="shared" si="51"/>
        <v>0</v>
      </c>
      <c r="J281" s="806">
        <f t="shared" si="51"/>
        <v>0</v>
      </c>
      <c r="K281" s="806">
        <f t="shared" si="51"/>
        <v>0</v>
      </c>
      <c r="L281" s="806">
        <f t="shared" si="51"/>
        <v>0</v>
      </c>
      <c r="M281" s="806"/>
      <c r="N281" s="806"/>
      <c r="O281" s="806"/>
      <c r="P281" s="806"/>
      <c r="R281" s="807">
        <f t="shared" si="50"/>
        <v>0</v>
      </c>
    </row>
    <row r="282" spans="1:18" ht="28.5" customHeight="1" x14ac:dyDescent="0.25">
      <c r="A282" s="203">
        <v>2021</v>
      </c>
      <c r="B282" s="1084" t="str">
        <f>"per 31/12/"&amp;$M$13</f>
        <v>per 31/12/2021</v>
      </c>
      <c r="C282" s="1085"/>
      <c r="D282" s="1085"/>
      <c r="E282" s="1086"/>
      <c r="F282" s="313"/>
      <c r="G282" s="806">
        <f t="shared" si="51"/>
        <v>0</v>
      </c>
      <c r="H282" s="806">
        <f t="shared" si="51"/>
        <v>0</v>
      </c>
      <c r="I282" s="806">
        <f t="shared" si="51"/>
        <v>0</v>
      </c>
      <c r="J282" s="806">
        <f t="shared" si="51"/>
        <v>0</v>
      </c>
      <c r="K282" s="806">
        <f t="shared" si="51"/>
        <v>0</v>
      </c>
      <c r="L282" s="806">
        <f t="shared" si="51"/>
        <v>0</v>
      </c>
      <c r="M282" s="806">
        <f t="shared" si="51"/>
        <v>0</v>
      </c>
      <c r="N282" s="806"/>
      <c r="O282" s="806"/>
      <c r="P282" s="806"/>
      <c r="R282" s="807">
        <f t="shared" si="50"/>
        <v>0</v>
      </c>
    </row>
    <row r="283" spans="1:18" ht="28.5" customHeight="1" x14ac:dyDescent="0.25">
      <c r="A283" s="203">
        <v>2022</v>
      </c>
      <c r="B283" s="1084" t="str">
        <f>"per 31/12/"&amp;$N$13</f>
        <v>per 31/12/2022</v>
      </c>
      <c r="C283" s="1085"/>
      <c r="D283" s="1085"/>
      <c r="E283" s="1086"/>
      <c r="F283" s="313"/>
      <c r="G283" s="806">
        <f t="shared" si="51"/>
        <v>0</v>
      </c>
      <c r="H283" s="806">
        <f t="shared" si="51"/>
        <v>0</v>
      </c>
      <c r="I283" s="806">
        <f t="shared" si="51"/>
        <v>0</v>
      </c>
      <c r="J283" s="806">
        <f t="shared" si="51"/>
        <v>0</v>
      </c>
      <c r="K283" s="806">
        <f t="shared" si="51"/>
        <v>0</v>
      </c>
      <c r="L283" s="806">
        <f t="shared" si="51"/>
        <v>0</v>
      </c>
      <c r="M283" s="806">
        <f t="shared" si="51"/>
        <v>0</v>
      </c>
      <c r="N283" s="806">
        <f t="shared" si="51"/>
        <v>0</v>
      </c>
      <c r="O283" s="806"/>
      <c r="P283" s="806"/>
      <c r="R283" s="807">
        <f t="shared" si="50"/>
        <v>0</v>
      </c>
    </row>
    <row r="284" spans="1:18" ht="28.5" customHeight="1" x14ac:dyDescent="0.25">
      <c r="A284" s="203">
        <v>2023</v>
      </c>
      <c r="B284" s="1084" t="str">
        <f>"per 31/12/"&amp;$O$13</f>
        <v>per 31/12/2023</v>
      </c>
      <c r="C284" s="1085"/>
      <c r="D284" s="1085"/>
      <c r="E284" s="1086"/>
      <c r="F284" s="313"/>
      <c r="G284" s="806"/>
      <c r="H284" s="806"/>
      <c r="I284" s="806"/>
      <c r="J284" s="806"/>
      <c r="K284" s="806"/>
      <c r="L284" s="806">
        <f t="shared" si="51"/>
        <v>0</v>
      </c>
      <c r="M284" s="806">
        <f t="shared" si="51"/>
        <v>0</v>
      </c>
      <c r="N284" s="806">
        <f t="shared" si="51"/>
        <v>0</v>
      </c>
      <c r="O284" s="806">
        <f t="shared" ref="O284:O285" si="52">SUMIFS(O$164:O$272,$B$164:$B$272,$B284)</f>
        <v>0</v>
      </c>
      <c r="P284" s="806"/>
      <c r="R284" s="807">
        <f t="shared" si="50"/>
        <v>0</v>
      </c>
    </row>
    <row r="285" spans="1:18" ht="28.5" customHeight="1" x14ac:dyDescent="0.25">
      <c r="A285" s="203">
        <v>2024</v>
      </c>
      <c r="B285" s="1084" t="str">
        <f>"per 31/12/"&amp;$P$13</f>
        <v>per 31/12/2024</v>
      </c>
      <c r="C285" s="1085"/>
      <c r="D285" s="1085"/>
      <c r="E285" s="1086"/>
      <c r="F285" s="313"/>
      <c r="G285" s="806"/>
      <c r="H285" s="806"/>
      <c r="I285" s="806"/>
      <c r="J285" s="806"/>
      <c r="K285" s="806"/>
      <c r="L285" s="806"/>
      <c r="M285" s="806">
        <f t="shared" si="51"/>
        <v>0</v>
      </c>
      <c r="N285" s="806">
        <f t="shared" si="51"/>
        <v>0</v>
      </c>
      <c r="O285" s="806">
        <f t="shared" si="52"/>
        <v>0</v>
      </c>
      <c r="P285" s="806">
        <f>SUMIFS(P$164:P$272,$B$164:$B$272,$B285)</f>
        <v>0</v>
      </c>
      <c r="R285" s="807">
        <f t="shared" si="50"/>
        <v>0</v>
      </c>
    </row>
    <row r="286" spans="1:18" s="216" customFormat="1" ht="13" x14ac:dyDescent="0.25">
      <c r="B286" s="1103" t="s">
        <v>97</v>
      </c>
      <c r="C286" s="1103"/>
      <c r="D286" s="1103"/>
      <c r="E286" s="1103"/>
      <c r="G286" s="304">
        <f>IF($E$2="ex-ante",(INDEX(G$276:G$285,MATCH($D$2,$A$276:$A$285,0),1))-T4A!C32,IF($E$2="ex-post",(INDEX(G$276:G$285,MATCH($D$2,$A$276:$A$285,0),1))-T4A!C32+SUMIFS(T4A!C$38:C$47,T4A!$B$38:$B$47,$D$2+1),"FOUT"))</f>
        <v>0</v>
      </c>
      <c r="H286" s="304">
        <f>IF($E$2="ex-ante",(INDEX(H$276:H$285,MATCH($D$2,$A$276:$A$285,0),1))-T4A!D32,IF($E$2="ex-post",(INDEX(H$276:H$285,MATCH($D$2,$A$276:$A$285,0),1))-T4A!D32+SUMIFS(T4A!D$38:D$47,T4A!$B$38:$B$47,$D$2+1),"FOUT"))</f>
        <v>0</v>
      </c>
      <c r="I286" s="304">
        <f>IF($E$2="ex-ante",(INDEX(I$276:I$285,MATCH($D$2,$A$276:$A$285,0),1))-T4A!E32,IF($E$2="ex-post",(INDEX(I$276:I$285,MATCH($D$2,$A$276:$A$285,0),1))-T4A!E32+SUMIFS(T4A!E$38:E$47,T4A!$B$38:$B$47,$D$2+1),"FOUT"))</f>
        <v>0</v>
      </c>
      <c r="J286" s="304">
        <f>IF($E$2="ex-ante",(INDEX(J$276:J$285,MATCH($D$2,$A$276:$A$285,0),1))-T4A!F32,IF($E$2="ex-post",(INDEX(J$276:J$285,MATCH($D$2,$A$276:$A$285,0),1))-T4A!F32+SUMIFS(T4A!F$38:F$47,T4A!$B$38:$B$47,$D$2+1),"FOUT"))</f>
        <v>0</v>
      </c>
      <c r="K286" s="304">
        <f>IF($E$2="ex-ante",(INDEX(K$276:K$285,MATCH($D$2,$A$276:$A$285,0),1))-T4A!G32,IF($E$2="ex-post",(INDEX(K$276:K$285,MATCH($D$2,$A$276:$A$285,0),1))-T4A!G32+SUMIFS(T4A!G$38:G$47,T4A!$B$38:$B$47,$D$2+1),"FOUT"))</f>
        <v>0</v>
      </c>
      <c r="L286" s="304">
        <f>IF($E$2="ex-ante",(INDEX(L$276:L$285,MATCH($D$2,$A$276:$A$285,0),1))-T4A!H32,IF($E$2="ex-post",(INDEX(L$276:L$285,MATCH($D$2,$A$276:$A$285,0),1))-T4A!H32+SUMIFS(T4A!H$38:H$47,T4A!$B$38:$B$47,$D$2+1),"FOUT"))</f>
        <v>0</v>
      </c>
      <c r="M286" s="304">
        <f>IF($E$2="ex-ante",(INDEX(M$276:M$285,MATCH($D$2,$A$276:$A$285,0),1))-T4A!I32,IF($E$2="ex-post",(INDEX(M$276:M$285,MATCH($D$2,$A$276:$A$285,0),1))-T4A!I32+SUMIFS(T4A!I$38:I$47,T4A!$B$38:$B$47,$D$2+1),"FOUT"))</f>
        <v>0</v>
      </c>
      <c r="N286" s="304">
        <f>IF($E$2="ex-ante",(INDEX(N$276:N$285,MATCH($D$2,$A$276:$A$285,0),1))-T4A!J32,IF($E$2="ex-post",(INDEX(N$276:N$285,MATCH($D$2,$A$276:$A$285,0),1))-T4A!J32+SUMIFS(T4A!J$38:J$47,T4A!$B$38:$B$47,$D$2+1),"FOUT"))</f>
        <v>0</v>
      </c>
      <c r="O286" s="304">
        <f>IF($E$2="ex-ante",(INDEX(O$276:O$285,MATCH($D$2,$A$276:$A$285,0),1))-T4A!K32,IF($E$2="ex-post",(INDEX(O$276:O$285,MATCH($D$2,$A$276:$A$285,0),1))-T4A!K32+SUMIFS(T4A!K$38:K$47,T4A!$B$38:$B$47,$D$2+1),"FOUT"))</f>
        <v>0</v>
      </c>
      <c r="P286" s="304">
        <f>IF($E$2="ex-ante",(INDEX(P$276:P$285,MATCH($D$2,$A$276:$A$285,0),1))-T4A!L32,IF($E$2="ex-post",(INDEX(P$276:P$285,MATCH($D$2,$A$276:$A$285,0),1))-T4A!L32+SUMIFS(T4A!L$38:L$47,T4A!$B$38:$B$47,$D$2+1),"FOUT"))</f>
        <v>0</v>
      </c>
      <c r="Q286" s="205"/>
      <c r="R286" s="304">
        <f>IF($E$2="ex-ante",(INDEX(R$276:R$285,MATCH($D$2,$A$276:$A$285,0),1))-T4A!N32,IF($E$2="ex-post",(INDEX(R$276:R$285,MATCH($D$2,$A$276:$A$285,0),1))-T4A!N32+SUMIFS(T4A!N$38:N$47,T4A!$B$38:$B$47,$D$2+1),"FOUT"))</f>
        <v>0</v>
      </c>
    </row>
    <row r="287" spans="1:18" ht="13" x14ac:dyDescent="0.25">
      <c r="B287" s="305"/>
      <c r="C287" s="305"/>
      <c r="D287" s="305"/>
      <c r="E287" s="305"/>
      <c r="F287" s="306"/>
      <c r="G287" s="307"/>
      <c r="H287" s="307"/>
      <c r="I287" s="307"/>
      <c r="J287" s="307"/>
      <c r="K287" s="307"/>
      <c r="L287" s="307"/>
      <c r="M287" s="307"/>
      <c r="N287" s="307"/>
      <c r="O287" s="307"/>
      <c r="P287" s="307"/>
      <c r="R287" s="307"/>
    </row>
    <row r="288" spans="1:18" ht="13" x14ac:dyDescent="0.25">
      <c r="B288" s="305"/>
      <c r="C288" s="305"/>
      <c r="D288" s="305"/>
      <c r="E288" s="305"/>
      <c r="F288" s="306"/>
      <c r="G288" s="307"/>
      <c r="H288" s="307"/>
      <c r="I288" s="307"/>
      <c r="J288" s="307"/>
      <c r="K288" s="307"/>
      <c r="L288" s="307"/>
      <c r="M288" s="307"/>
      <c r="N288" s="307"/>
      <c r="O288" s="307"/>
      <c r="P288" s="307"/>
      <c r="R288" s="307"/>
    </row>
    <row r="289" spans="2:18" ht="13" x14ac:dyDescent="0.25">
      <c r="B289" s="305"/>
      <c r="C289" s="305"/>
      <c r="D289" s="305"/>
      <c r="E289" s="305"/>
      <c r="F289" s="306"/>
      <c r="G289" s="308" t="s">
        <v>32</v>
      </c>
      <c r="H289" s="307"/>
      <c r="I289" s="307"/>
      <c r="J289" s="307"/>
      <c r="K289" s="307"/>
      <c r="L289" s="307"/>
      <c r="M289" s="307"/>
      <c r="N289" s="307"/>
      <c r="O289" s="307"/>
      <c r="P289" s="307"/>
      <c r="R289" s="307"/>
    </row>
    <row r="290" spans="2:18" ht="13" x14ac:dyDescent="0.25">
      <c r="G290" s="308" t="s">
        <v>33</v>
      </c>
      <c r="H290" s="307"/>
      <c r="I290" s="307"/>
      <c r="J290" s="307"/>
    </row>
    <row r="291" spans="2:18" ht="71.150000000000006" customHeight="1" x14ac:dyDescent="0.25">
      <c r="B291" s="1087" t="s">
        <v>65</v>
      </c>
      <c r="C291" s="1088"/>
      <c r="D291" s="1088"/>
      <c r="E291" s="1089"/>
      <c r="F291" s="167"/>
      <c r="G291" s="165" t="str">
        <f>"Afbouw van het regulatoir saldo inzake exogene kosten op te nemen in het toegelaten inkomen voor boekjaar "&amp;D2</f>
        <v>Afbouw van het regulatoir saldo inzake exogene kosten op te nemen in het toegelaten inkomen voor boekjaar 2022</v>
      </c>
      <c r="H291" s="307"/>
      <c r="I291" s="307"/>
      <c r="J291" s="307"/>
    </row>
    <row r="292" spans="2:18" ht="13" x14ac:dyDescent="0.25">
      <c r="B292" s="320"/>
      <c r="C292" s="297"/>
      <c r="D292" s="297"/>
      <c r="E292" s="297"/>
      <c r="F292" s="298"/>
      <c r="G292" s="787"/>
      <c r="H292" s="307"/>
      <c r="I292" s="307"/>
      <c r="J292" s="307"/>
    </row>
    <row r="293" spans="2:18" ht="25" customHeight="1" x14ac:dyDescent="0.25">
      <c r="B293" s="1099" t="s">
        <v>369</v>
      </c>
      <c r="C293" s="1099"/>
      <c r="D293" s="1099"/>
      <c r="E293" s="1099"/>
      <c r="F293" s="167"/>
      <c r="G293" s="247">
        <f>IF($B$7="elektriciteit",VLOOKUP($D$2,B370:C373,2,FALSE)+VLOOKUP($D$2,B386:C389,2,FALSE)+VLOOKUP($D$2,B461:C464,2,FALSE)+VLOOKUP($D$2,B527:C530,2,FALSE)+VLOOKUP($D$2,B594:C597,2,FALSE)+VLOOKUP($D$2,B743:C746,2,FALSE)+VLOOKUP($D$2,B892:C895,2,FALSE),IF($B$7="gas",VLOOKUP($D$2,B370:C373,2,FALSE)+VLOOKUP($D$2,B594:C597,2,FALSE),"FOUT"))</f>
        <v>0</v>
      </c>
      <c r="H293" s="307"/>
      <c r="I293" s="307"/>
      <c r="J293" s="307"/>
    </row>
    <row r="294" spans="2:18" ht="25" customHeight="1" x14ac:dyDescent="0.25">
      <c r="B294" s="1099" t="s">
        <v>353</v>
      </c>
      <c r="C294" s="1099"/>
      <c r="D294" s="1099"/>
      <c r="E294" s="1099"/>
      <c r="F294" s="167"/>
      <c r="G294" s="247">
        <f>IF($B$7="elektriciteit",0,IF($B$7="gas",VLOOKUP($D$2,B461:C464,2,FALSE),"FOUT"))</f>
        <v>0</v>
      </c>
      <c r="H294" s="307"/>
      <c r="I294" s="307"/>
      <c r="J294" s="307"/>
    </row>
    <row r="295" spans="2:18" ht="25" customHeight="1" x14ac:dyDescent="0.25">
      <c r="B295" s="1099" t="s">
        <v>354</v>
      </c>
      <c r="C295" s="1099"/>
      <c r="D295" s="1099"/>
      <c r="E295" s="1099"/>
      <c r="F295" s="167"/>
      <c r="G295" s="247">
        <f>VLOOKUP($D$2,B669:C672,2,FALSE)</f>
        <v>0</v>
      </c>
      <c r="H295" s="307"/>
      <c r="I295" s="307"/>
      <c r="J295" s="307"/>
    </row>
    <row r="296" spans="2:18" ht="25" customHeight="1" x14ac:dyDescent="0.25">
      <c r="B296" s="1099" t="s">
        <v>356</v>
      </c>
      <c r="C296" s="1099"/>
      <c r="D296" s="1099"/>
      <c r="E296" s="1099"/>
      <c r="F296" s="167"/>
      <c r="G296" s="247">
        <f>VLOOKUP($D$2,B818:C821,2,FALSE)</f>
        <v>0</v>
      </c>
      <c r="H296" s="307"/>
      <c r="I296" s="307"/>
      <c r="J296" s="307"/>
    </row>
    <row r="297" spans="2:18" ht="22.5" customHeight="1" x14ac:dyDescent="0.25">
      <c r="B297" s="1099" t="s">
        <v>355</v>
      </c>
      <c r="C297" s="1099"/>
      <c r="D297" s="1099"/>
      <c r="E297" s="1099"/>
      <c r="F297" s="167"/>
      <c r="G297" s="247">
        <f>IF($B$7="elektriciteit",VLOOKUP($D$2,B908:C911,2,FALSE),IF($B$7="gas",0,"FOUT"))</f>
        <v>0</v>
      </c>
      <c r="H297" s="307"/>
      <c r="I297" s="307"/>
      <c r="J297" s="307"/>
    </row>
    <row r="298" spans="2:18" ht="13" x14ac:dyDescent="0.25">
      <c r="H298" s="307"/>
      <c r="I298" s="307"/>
      <c r="J298" s="307"/>
    </row>
    <row r="299" spans="2:18" ht="22.5" customHeight="1" x14ac:dyDescent="0.25">
      <c r="B299" s="1106" t="s">
        <v>22</v>
      </c>
      <c r="C299" s="1107"/>
      <c r="D299" s="1107"/>
      <c r="E299" s="1108"/>
      <c r="F299" s="181"/>
      <c r="G299" s="168">
        <f>SUM(G293:G297)</f>
        <v>0</v>
      </c>
      <c r="H299" s="307"/>
      <c r="I299" s="307"/>
      <c r="J299" s="307"/>
    </row>
    <row r="300" spans="2:18" x14ac:dyDescent="0.25">
      <c r="Q300" s="206"/>
    </row>
    <row r="301" spans="2:18" x14ac:dyDescent="0.25">
      <c r="Q301" s="206"/>
    </row>
    <row r="302" spans="2:18" ht="13" x14ac:dyDescent="0.25">
      <c r="B302" s="321" t="s">
        <v>201</v>
      </c>
      <c r="C302" s="322"/>
      <c r="D302" s="322"/>
      <c r="E302" s="322"/>
      <c r="F302" s="323"/>
      <c r="G302" s="323"/>
      <c r="H302" s="323"/>
      <c r="I302" s="323"/>
      <c r="J302" s="323"/>
      <c r="K302" s="323"/>
      <c r="L302" s="323"/>
      <c r="M302" s="323"/>
      <c r="N302" s="323"/>
      <c r="O302" s="323"/>
      <c r="P302" s="323"/>
      <c r="Q302" s="324"/>
      <c r="R302" s="323"/>
    </row>
    <row r="303" spans="2:18" x14ac:dyDescent="0.25">
      <c r="Q303" s="206"/>
    </row>
    <row r="304" spans="2:18" ht="13" x14ac:dyDescent="0.25">
      <c r="B304" s="273" t="s">
        <v>139</v>
      </c>
      <c r="F304" s="810">
        <v>2017</v>
      </c>
      <c r="Q304" s="206"/>
    </row>
    <row r="305" spans="2:17" x14ac:dyDescent="0.25">
      <c r="P305" s="206"/>
      <c r="Q305" s="166"/>
    </row>
    <row r="306" spans="2:17" ht="82.5" customHeight="1" x14ac:dyDescent="0.25">
      <c r="B306" s="1078" t="s">
        <v>140</v>
      </c>
      <c r="C306" s="1079"/>
      <c r="D306" s="1079"/>
      <c r="E306" s="1080"/>
      <c r="F306" s="274"/>
      <c r="G306" s="165" t="str">
        <f>"Nog af te bouwen regulatoir saldo einde "&amp;F304-1</f>
        <v>Nog af te bouwen regulatoir saldo einde 2016</v>
      </c>
      <c r="H306" s="165" t="str">
        <f>"Afbouw oudste openstaande regulatoir saldo vanaf boekjaar "&amp;F304-3&amp;" en vroeger, door aanwending van compensatie met regulatoir saldo ontstaan over boekjaar "&amp;F304-2</f>
        <v>Afbouw oudste openstaande regulatoir saldo vanaf boekjaar 2014 en vroeger, door aanwending van compensatie met regulatoir saldo ontstaan over boekjaar 2015</v>
      </c>
      <c r="I306" s="165" t="str">
        <f>"Nog af te bouwen regulatoir saldo na compensatie einde "&amp;F304-1</f>
        <v>Nog af te bouwen regulatoir saldo na compensatie einde 2016</v>
      </c>
      <c r="J306" s="165" t="str">
        <f>"Aanwending van 60% van het geaccumuleerd regulatoir saldo door te rekenen volgens de tariefmethodologie in het boekjaar "&amp;F304</f>
        <v>Aanwending van 60% van het geaccumuleerd regulatoir saldo door te rekenen volgens de tariefmethodologie in het boekjaar 2017</v>
      </c>
      <c r="K306" s="165" t="str">
        <f>"Nog af te bouwen regulatoir saldo einde "&amp;F304</f>
        <v>Nog af te bouwen regulatoir saldo einde 2017</v>
      </c>
      <c r="L306" s="220"/>
      <c r="M306" s="220"/>
      <c r="N306" s="220"/>
      <c r="O306" s="220"/>
      <c r="P306" s="206"/>
      <c r="Q306" s="166"/>
    </row>
    <row r="307" spans="2:17" ht="13" x14ac:dyDescent="0.25">
      <c r="B307" s="1075">
        <v>2015</v>
      </c>
      <c r="C307" s="1076"/>
      <c r="D307" s="1076"/>
      <c r="E307" s="1077"/>
      <c r="F307" s="275"/>
      <c r="G307" s="176">
        <f>G165</f>
        <v>0</v>
      </c>
      <c r="H307" s="521">
        <v>0</v>
      </c>
      <c r="I307" s="176">
        <f>+G307+H307</f>
        <v>0</v>
      </c>
      <c r="J307" s="176">
        <f>-I307*0.6</f>
        <v>0</v>
      </c>
      <c r="K307" s="811">
        <f>+J307+G307</f>
        <v>0</v>
      </c>
      <c r="L307" s="812"/>
      <c r="M307" s="812"/>
      <c r="N307" s="812"/>
      <c r="O307" s="812"/>
      <c r="P307" s="206"/>
      <c r="Q307" s="166"/>
    </row>
    <row r="308" spans="2:17" x14ac:dyDescent="0.25">
      <c r="P308" s="206"/>
      <c r="Q308" s="166"/>
    </row>
    <row r="309" spans="2:17" ht="13" x14ac:dyDescent="0.25">
      <c r="B309" s="273" t="s">
        <v>139</v>
      </c>
      <c r="F309" s="810">
        <v>2018</v>
      </c>
      <c r="Q309" s="206"/>
    </row>
    <row r="310" spans="2:17" x14ac:dyDescent="0.25">
      <c r="Q310" s="206"/>
    </row>
    <row r="311" spans="2:17" ht="80.150000000000006" customHeight="1" x14ac:dyDescent="0.25">
      <c r="B311" s="1078" t="s">
        <v>140</v>
      </c>
      <c r="C311" s="1079"/>
      <c r="D311" s="1079"/>
      <c r="E311" s="1080"/>
      <c r="F311" s="274"/>
      <c r="G311" s="165" t="str">
        <f>"Nog af te bouwen regulatoir saldo einde "&amp;F309-1</f>
        <v>Nog af te bouwen regulatoir saldo einde 2017</v>
      </c>
      <c r="H311" s="165" t="str">
        <f>"Afbouw oudste openstaande regulatoir saldo vanaf boekjaar "&amp;F309-3&amp;" en vroeger, door aanwending van compensatie met regulatoir saldo ontstaan over boekjaar "&amp;F309-2</f>
        <v>Afbouw oudste openstaande regulatoir saldo vanaf boekjaar 2015 en vroeger, door aanwending van compensatie met regulatoir saldo ontstaan over boekjaar 2016</v>
      </c>
      <c r="I311" s="165" t="str">
        <f>"Nog af te bouwen regulatoir saldo na compensatie einde "&amp;F309-1</f>
        <v>Nog af te bouwen regulatoir saldo na compensatie einde 2017</v>
      </c>
      <c r="J311" s="165" t="str">
        <f>"60% van het geaccumuleerd regulatoir saldo door te rekenen volgens de tariefmethodologie in het boekjaar "&amp;F309</f>
        <v>60% van het geaccumuleerd regulatoir saldo door te rekenen volgens de tariefmethodologie in het boekjaar 2018</v>
      </c>
      <c r="K311" s="165" t="str">
        <f>"Aanwending van 60% van het geaccumuleerd regulatoir saldo door te rekenen volgens de tariefmethodologie in het boekjaar "&amp;F309</f>
        <v>Aanwending van 60% van het geaccumuleerd regulatoir saldo door te rekenen volgens de tariefmethodologie in het boekjaar 2018</v>
      </c>
      <c r="L311" s="165" t="str">
        <f>"Totale afbouw over "&amp;F309</f>
        <v>Totale afbouw over 2018</v>
      </c>
      <c r="M311" s="165" t="str">
        <f>"Nog af te bouwen regulatoir saldo einde "&amp;F309</f>
        <v>Nog af te bouwen regulatoir saldo einde 2018</v>
      </c>
      <c r="N311" s="206"/>
      <c r="Q311" s="166"/>
    </row>
    <row r="312" spans="2:17" ht="13" x14ac:dyDescent="0.25">
      <c r="B312" s="1075">
        <v>2015</v>
      </c>
      <c r="C312" s="1076"/>
      <c r="D312" s="1076"/>
      <c r="E312" s="1077"/>
      <c r="F312" s="275"/>
      <c r="G312" s="176">
        <f>K307</f>
        <v>0</v>
      </c>
      <c r="H312" s="521">
        <f>IF(SIGN(G313*K307)&lt;0,IF(G312&lt;&gt;0,-SIGN(G312)*MIN(ABS(G313),ABS(G312)),0),0)</f>
        <v>0</v>
      </c>
      <c r="I312" s="176">
        <f>+G312+H312</f>
        <v>0</v>
      </c>
      <c r="J312" s="806"/>
      <c r="K312" s="521">
        <f>-MIN(ABS(I312),ABS(J314))*SIGN(I312)</f>
        <v>0</v>
      </c>
      <c r="L312" s="813">
        <f>+K312+H312</f>
        <v>0</v>
      </c>
      <c r="M312" s="176">
        <f>+I312+K312</f>
        <v>0</v>
      </c>
      <c r="N312" s="206"/>
      <c r="Q312" s="166"/>
    </row>
    <row r="313" spans="2:17" ht="13" x14ac:dyDescent="0.25">
      <c r="B313" s="1075">
        <v>2016</v>
      </c>
      <c r="C313" s="1076"/>
      <c r="D313" s="1076"/>
      <c r="E313" s="1077"/>
      <c r="F313" s="275"/>
      <c r="G313" s="176">
        <f>H166</f>
        <v>0</v>
      </c>
      <c r="H313" s="813">
        <f>IF(SIGN(G313*K307)&lt;0,-H312,0)</f>
        <v>0</v>
      </c>
      <c r="I313" s="176">
        <f>+G313+H313</f>
        <v>0</v>
      </c>
      <c r="J313" s="806"/>
      <c r="K313" s="521">
        <f>-MIN(ABS(I313),ABS(J314-K312))*SIGN(I313)</f>
        <v>0</v>
      </c>
      <c r="L313" s="813">
        <f>+K313+H313</f>
        <v>0</v>
      </c>
      <c r="M313" s="176">
        <f>+I313+K313</f>
        <v>0</v>
      </c>
      <c r="N313" s="206"/>
      <c r="Q313" s="166"/>
    </row>
    <row r="314" spans="2:17" s="273" customFormat="1" ht="13" x14ac:dyDescent="0.25">
      <c r="G314" s="276">
        <f>SUM(G312:G313)</f>
        <v>0</v>
      </c>
      <c r="H314" s="168">
        <f>SUM(H312:H313)</f>
        <v>0</v>
      </c>
      <c r="I314" s="276">
        <f>SUM(I312:I313)</f>
        <v>0</v>
      </c>
      <c r="J314" s="276">
        <f>-I314*0.6</f>
        <v>0</v>
      </c>
      <c r="K314" s="168">
        <f>SUM(K312:K313)</f>
        <v>0</v>
      </c>
      <c r="L314" s="528"/>
      <c r="M314" s="276">
        <f>SUM(M312:M313)</f>
        <v>0</v>
      </c>
    </row>
    <row r="315" spans="2:17" x14ac:dyDescent="0.25">
      <c r="Q315" s="166"/>
    </row>
    <row r="316" spans="2:17" ht="13" x14ac:dyDescent="0.25">
      <c r="B316" s="273" t="s">
        <v>139</v>
      </c>
      <c r="F316" s="810">
        <v>2019</v>
      </c>
      <c r="Q316" s="166"/>
    </row>
    <row r="317" spans="2:17" x14ac:dyDescent="0.25">
      <c r="Q317" s="166"/>
    </row>
    <row r="318" spans="2:17" ht="75.75" customHeight="1" x14ac:dyDescent="0.25">
      <c r="B318" s="1078" t="s">
        <v>140</v>
      </c>
      <c r="C318" s="1079"/>
      <c r="D318" s="1079"/>
      <c r="E318" s="1080"/>
      <c r="F318" s="274"/>
      <c r="G318" s="165" t="str">
        <f>"Nog af te bouwen regulatoir saldo einde "&amp;F316-1</f>
        <v>Nog af te bouwen regulatoir saldo einde 2018</v>
      </c>
      <c r="H318" s="165" t="str">
        <f>"Afbouw oudste openstaande regulatoir saldo vanaf boekjaar "&amp;F316-3&amp;" en vroeger, door aanwending van compensatie met regulatoir saldo ontstaan over boekjaar "&amp;F316-2</f>
        <v>Afbouw oudste openstaande regulatoir saldo vanaf boekjaar 2016 en vroeger, door aanwending van compensatie met regulatoir saldo ontstaan over boekjaar 2017</v>
      </c>
      <c r="I318" s="165" t="str">
        <f>"Nog af te bouwen regulatoir saldo na compensatie einde "&amp;F316-1</f>
        <v>Nog af te bouwen regulatoir saldo na compensatie einde 2018</v>
      </c>
      <c r="J318" s="165" t="str">
        <f>"60% van het geaccumuleerd regulatoir saldo door te rekenen volgens de tariefmethodologie in het boekjaar "&amp;F316</f>
        <v>60% van het geaccumuleerd regulatoir saldo door te rekenen volgens de tariefmethodologie in het boekjaar 2019</v>
      </c>
      <c r="K318" s="165" t="str">
        <f>"Aanwending van het 60% van het geaccumuleerd regulatoir saldo door te rekenen volgens de tariefmethodologie in het boekjaar "&amp;F316</f>
        <v>Aanwending van het 60% van het geaccumuleerd regulatoir saldo door te rekenen volgens de tariefmethodologie in het boekjaar 2019</v>
      </c>
      <c r="L318" s="165" t="str">
        <f>"Totale afbouw over "&amp;F316</f>
        <v>Totale afbouw over 2019</v>
      </c>
      <c r="M318" s="165" t="str">
        <f>"Nog af te bouwen regulatoir saldo einde "&amp;F316</f>
        <v>Nog af te bouwen regulatoir saldo einde 2019</v>
      </c>
      <c r="N318" s="206"/>
      <c r="Q318" s="166"/>
    </row>
    <row r="319" spans="2:17" ht="13" x14ac:dyDescent="0.25">
      <c r="B319" s="1075">
        <v>2015</v>
      </c>
      <c r="C319" s="1076"/>
      <c r="D319" s="1076"/>
      <c r="E319" s="1077"/>
      <c r="F319" s="275"/>
      <c r="G319" s="176">
        <f>+M312</f>
        <v>0</v>
      </c>
      <c r="H319" s="813">
        <f>IF(SIGN(G321*M314)&lt;0,IF(G319&lt;&gt;0,-SIGN(G319)*MIN(ABS(G321),ABS(G319)),0),0)</f>
        <v>0</v>
      </c>
      <c r="I319" s="176">
        <f>+G319+H319</f>
        <v>0</v>
      </c>
      <c r="J319" s="806"/>
      <c r="K319" s="521">
        <f>-MIN(ABS(I319),ABS(J322))*SIGN(I319)</f>
        <v>0</v>
      </c>
      <c r="L319" s="813">
        <f>+K319+H319</f>
        <v>0</v>
      </c>
      <c r="M319" s="176">
        <f>+I319+K319</f>
        <v>0</v>
      </c>
      <c r="N319" s="206"/>
      <c r="Q319" s="166"/>
    </row>
    <row r="320" spans="2:17" ht="13" x14ac:dyDescent="0.25">
      <c r="B320" s="1075">
        <v>2016</v>
      </c>
      <c r="C320" s="1076"/>
      <c r="D320" s="1076">
        <v>2016</v>
      </c>
      <c r="E320" s="1077"/>
      <c r="F320" s="275"/>
      <c r="G320" s="176">
        <f>+M313</f>
        <v>0</v>
      </c>
      <c r="H320" s="813">
        <f>IF(SIGN(G321*M314)&lt;0,IF(G320&lt;&gt;0,-SIGN(G320)*MIN(ABS(G321-H319),ABS(G320)),0),0)</f>
        <v>0</v>
      </c>
      <c r="I320" s="176">
        <f>+G320+H320</f>
        <v>0</v>
      </c>
      <c r="J320" s="806"/>
      <c r="K320" s="521">
        <f>-MIN(ABS(I320),ABS(J322-K319))*SIGN(I320)</f>
        <v>0</v>
      </c>
      <c r="L320" s="813">
        <f>+K320+H320</f>
        <v>0</v>
      </c>
      <c r="M320" s="176">
        <f>+I320+K320</f>
        <v>0</v>
      </c>
      <c r="N320" s="206"/>
      <c r="Q320" s="166"/>
    </row>
    <row r="321" spans="2:17" ht="13" x14ac:dyDescent="0.25">
      <c r="B321" s="1075">
        <v>2017</v>
      </c>
      <c r="C321" s="1076"/>
      <c r="D321" s="1076"/>
      <c r="E321" s="1077"/>
      <c r="F321" s="275"/>
      <c r="G321" s="176">
        <f>I167</f>
        <v>0</v>
      </c>
      <c r="H321" s="813">
        <f>IF(SIGN(G321*M314)&lt;0,-SUM(H319:H320),0)</f>
        <v>0</v>
      </c>
      <c r="I321" s="176">
        <f>+G321+H321</f>
        <v>0</v>
      </c>
      <c r="J321" s="806"/>
      <c r="K321" s="521">
        <f>-MIN(ABS(I321),ABS(J322-K319-K320))*SIGN(I321)</f>
        <v>0</v>
      </c>
      <c r="L321" s="813">
        <f>+K321+H321</f>
        <v>0</v>
      </c>
      <c r="M321" s="176">
        <f>+I321+K321</f>
        <v>0</v>
      </c>
      <c r="N321" s="206"/>
      <c r="Q321" s="166"/>
    </row>
    <row r="322" spans="2:17" s="273" customFormat="1" ht="13" x14ac:dyDescent="0.25">
      <c r="G322" s="276">
        <f>SUM(G319:G321)</f>
        <v>0</v>
      </c>
      <c r="H322" s="168">
        <f>SUM(H319:H321)</f>
        <v>0</v>
      </c>
      <c r="I322" s="276">
        <f>SUM(I319:I321)</f>
        <v>0</v>
      </c>
      <c r="J322" s="276">
        <f>-I322*0.6</f>
        <v>0</v>
      </c>
      <c r="K322" s="168">
        <f>SUM(K319:K321)</f>
        <v>0</v>
      </c>
      <c r="L322" s="528"/>
      <c r="M322" s="276">
        <f>SUM(M319:M321)</f>
        <v>0</v>
      </c>
    </row>
    <row r="323" spans="2:17" x14ac:dyDescent="0.25">
      <c r="Q323" s="166"/>
    </row>
    <row r="324" spans="2:17" ht="13" x14ac:dyDescent="0.25">
      <c r="B324" s="273" t="s">
        <v>139</v>
      </c>
      <c r="F324" s="810">
        <v>2020</v>
      </c>
      <c r="Q324" s="166"/>
    </row>
    <row r="325" spans="2:17" x14ac:dyDescent="0.25">
      <c r="Q325" s="166"/>
    </row>
    <row r="326" spans="2:17" ht="78" customHeight="1" x14ac:dyDescent="0.25">
      <c r="B326" s="1078" t="s">
        <v>140</v>
      </c>
      <c r="C326" s="1079"/>
      <c r="D326" s="1079"/>
      <c r="E326" s="1080"/>
      <c r="F326" s="274"/>
      <c r="G326" s="165" t="str">
        <f>"Nog af te bouwen regulatoir saldo einde "&amp;F324-1</f>
        <v>Nog af te bouwen regulatoir saldo einde 2019</v>
      </c>
      <c r="H326" s="165" t="str">
        <f>"Afbouw oudste openstaande regulatoir saldo vanaf boekjaar "&amp;F324-3&amp;" en vroeger, door aanwending van compensatie met regulatoir saldo ontstaan over boekjaar "&amp;F324-2</f>
        <v>Afbouw oudste openstaande regulatoir saldo vanaf boekjaar 2017 en vroeger, door aanwending van compensatie met regulatoir saldo ontstaan over boekjaar 2018</v>
      </c>
      <c r="I326" s="165" t="str">
        <f>"Nog af te bouwen regulatoir saldo na compensatie einde "&amp;F324-1</f>
        <v>Nog af te bouwen regulatoir saldo na compensatie einde 2019</v>
      </c>
      <c r="J326" s="165" t="str">
        <f>"60% van het geaccumuleerd regulatoir saldo door te rekenen volgens de tariefmethodologie in het boekjaar "&amp;F324</f>
        <v>60% van het geaccumuleerd regulatoir saldo door te rekenen volgens de tariefmethodologie in het boekjaar 2020</v>
      </c>
      <c r="K326" s="165" t="str">
        <f>"Aanwending van het 60% van het geaccumuleerd regulatoir saldo door te rekenen volgens de tariefmethodologie in het boekjaar "&amp;F324</f>
        <v>Aanwending van het 60% van het geaccumuleerd regulatoir saldo door te rekenen volgens de tariefmethodologie in het boekjaar 2020</v>
      </c>
      <c r="L326" s="165" t="str">
        <f>"Totale afbouw over "&amp;F324</f>
        <v>Totale afbouw over 2020</v>
      </c>
      <c r="M326" s="165" t="str">
        <f>"Nog af te bouwen regulatoir saldo einde "&amp;F324</f>
        <v>Nog af te bouwen regulatoir saldo einde 2020</v>
      </c>
      <c r="N326" s="206"/>
      <c r="Q326" s="166"/>
    </row>
    <row r="327" spans="2:17" ht="13" x14ac:dyDescent="0.25">
      <c r="B327" s="1075">
        <v>2015</v>
      </c>
      <c r="C327" s="1076"/>
      <c r="D327" s="1076"/>
      <c r="E327" s="1077"/>
      <c r="F327" s="275"/>
      <c r="G327" s="176">
        <f>+M319</f>
        <v>0</v>
      </c>
      <c r="H327" s="813">
        <f>IF(SIGN(G330*M322)&lt;0,IF(G327&lt;&gt;0,-SIGN(G327)*MIN(ABS(G330),ABS(G327)),0),0)</f>
        <v>0</v>
      </c>
      <c r="I327" s="176">
        <f>+G327+H327</f>
        <v>0</v>
      </c>
      <c r="J327" s="806"/>
      <c r="K327" s="521">
        <f>-MIN(ABS(I327),ABS(J331))*SIGN(I327)</f>
        <v>0</v>
      </c>
      <c r="L327" s="813">
        <f>+K327+H327</f>
        <v>0</v>
      </c>
      <c r="M327" s="176">
        <f>+I327+K327</f>
        <v>0</v>
      </c>
      <c r="N327" s="206"/>
      <c r="Q327" s="166"/>
    </row>
    <row r="328" spans="2:17" ht="13" x14ac:dyDescent="0.25">
      <c r="B328" s="1075">
        <v>2016</v>
      </c>
      <c r="C328" s="1076"/>
      <c r="D328" s="1076"/>
      <c r="E328" s="1077"/>
      <c r="F328" s="275"/>
      <c r="G328" s="176">
        <f>+M320</f>
        <v>0</v>
      </c>
      <c r="H328" s="813">
        <f>IF(SIGN(G330*M322)&lt;0,IF(G328&lt;&gt;0,-SIGN(G328)*MIN(ABS(G330-H327),ABS(G328)),0),0)</f>
        <v>0</v>
      </c>
      <c r="I328" s="176">
        <f>+G328+H328</f>
        <v>0</v>
      </c>
      <c r="J328" s="806"/>
      <c r="K328" s="521">
        <f>-MIN(ABS(I328),ABS(J331-K327))*SIGN(I328)</f>
        <v>0</v>
      </c>
      <c r="L328" s="813">
        <f>+K328+H328</f>
        <v>0</v>
      </c>
      <c r="M328" s="176">
        <f>+I328+K328</f>
        <v>0</v>
      </c>
      <c r="N328" s="206"/>
      <c r="Q328" s="166"/>
    </row>
    <row r="329" spans="2:17" ht="13" x14ac:dyDescent="0.25">
      <c r="B329" s="1075">
        <v>2017</v>
      </c>
      <c r="C329" s="1076"/>
      <c r="D329" s="1076">
        <v>2016</v>
      </c>
      <c r="E329" s="1077"/>
      <c r="F329" s="275"/>
      <c r="G329" s="176">
        <f>+M321</f>
        <v>0</v>
      </c>
      <c r="H329" s="813">
        <f>IF(SIGN(G330*M322)&lt;0,IF(G329&lt;&gt;0,-SIGN(G329)*MIN(ABS(G330-H327-H328),ABS(G329)),0),0)</f>
        <v>0</v>
      </c>
      <c r="I329" s="176">
        <f>+G329+H329</f>
        <v>0</v>
      </c>
      <c r="J329" s="806"/>
      <c r="K329" s="521">
        <f>-MIN(ABS(I329),ABS(J331-K327-K328))*SIGN(I329)</f>
        <v>0</v>
      </c>
      <c r="L329" s="813">
        <f>+K329+H329</f>
        <v>0</v>
      </c>
      <c r="M329" s="176">
        <f>+I329+K329</f>
        <v>0</v>
      </c>
      <c r="N329" s="206"/>
      <c r="Q329" s="166"/>
    </row>
    <row r="330" spans="2:17" ht="13" x14ac:dyDescent="0.25">
      <c r="B330" s="1075">
        <v>2018</v>
      </c>
      <c r="C330" s="1076"/>
      <c r="D330" s="1076"/>
      <c r="E330" s="1077"/>
      <c r="F330" s="275"/>
      <c r="G330" s="176">
        <f>J168</f>
        <v>0</v>
      </c>
      <c r="H330" s="813">
        <f>IF(SIGN(G330*M322)&lt;0,-SUM(H327:H329),0)</f>
        <v>0</v>
      </c>
      <c r="I330" s="176">
        <f>+G330+H330</f>
        <v>0</v>
      </c>
      <c r="J330" s="806"/>
      <c r="K330" s="521">
        <f>-MIN(ABS(I330),ABS(J331-K327-K328-K329))*SIGN(I330)</f>
        <v>0</v>
      </c>
      <c r="L330" s="813">
        <f>+K330+H330</f>
        <v>0</v>
      </c>
      <c r="M330" s="176">
        <f>+I330+K330</f>
        <v>0</v>
      </c>
      <c r="N330" s="206"/>
      <c r="Q330" s="166"/>
    </row>
    <row r="331" spans="2:17" s="273" customFormat="1" ht="13" x14ac:dyDescent="0.25">
      <c r="G331" s="276">
        <f>SUM(G327:G330)</f>
        <v>0</v>
      </c>
      <c r="H331" s="168">
        <f>SUM(H327:H330)</f>
        <v>0</v>
      </c>
      <c r="I331" s="276">
        <f>SUM(I327:I330)</f>
        <v>0</v>
      </c>
      <c r="J331" s="276">
        <f>-I331*0.6</f>
        <v>0</v>
      </c>
      <c r="K331" s="168">
        <f>SUM(K327:K330)</f>
        <v>0</v>
      </c>
      <c r="L331" s="168"/>
      <c r="M331" s="276">
        <f>SUM(M327:M330)</f>
        <v>0</v>
      </c>
    </row>
    <row r="332" spans="2:17" x14ac:dyDescent="0.25">
      <c r="K332" s="214"/>
      <c r="L332" s="214"/>
      <c r="Q332" s="166"/>
    </row>
    <row r="333" spans="2:17" ht="13" x14ac:dyDescent="0.25">
      <c r="B333" s="273" t="s">
        <v>139</v>
      </c>
      <c r="F333" s="810">
        <v>2021</v>
      </c>
      <c r="Q333" s="166"/>
    </row>
    <row r="334" spans="2:17" x14ac:dyDescent="0.25">
      <c r="Q334" s="166"/>
    </row>
    <row r="335" spans="2:17" ht="78" customHeight="1" x14ac:dyDescent="0.25">
      <c r="B335" s="1078" t="s">
        <v>140</v>
      </c>
      <c r="C335" s="1079"/>
      <c r="D335" s="1079"/>
      <c r="E335" s="1080"/>
      <c r="F335" s="274"/>
      <c r="G335" s="165" t="str">
        <f>"Nog af te bouwen regulatoir saldo einde "&amp;F333-1</f>
        <v>Nog af te bouwen regulatoir saldo einde 2020</v>
      </c>
      <c r="H335" s="165" t="str">
        <f>"50% van het oorspronkelijk regulatoir saldo door te rekenen volgens de tariefmethodologie in het boekjaar "&amp;F333</f>
        <v>50% van het oorspronkelijk regulatoir saldo door te rekenen volgens de tariefmethodologie in het boekjaar 2021</v>
      </c>
      <c r="I335" s="165" t="str">
        <f>"Nog af te bouwen regulatoir saldo einde "&amp;F333</f>
        <v>Nog af te bouwen regulatoir saldo einde 2021</v>
      </c>
      <c r="J335" s="206"/>
      <c r="Q335" s="166"/>
    </row>
    <row r="336" spans="2:17" ht="13" x14ac:dyDescent="0.25">
      <c r="B336" s="1075">
        <v>2015</v>
      </c>
      <c r="C336" s="1076"/>
      <c r="D336" s="1076"/>
      <c r="E336" s="1077"/>
      <c r="F336" s="275"/>
      <c r="G336" s="176">
        <f>M327</f>
        <v>0</v>
      </c>
      <c r="H336" s="176">
        <f>-G336*0.5</f>
        <v>0</v>
      </c>
      <c r="I336" s="176">
        <f>+G336+H336</f>
        <v>0</v>
      </c>
      <c r="J336" s="206"/>
      <c r="Q336" s="166"/>
    </row>
    <row r="337" spans="2:17" ht="13" x14ac:dyDescent="0.25">
      <c r="B337" s="1075">
        <v>2016</v>
      </c>
      <c r="C337" s="1076"/>
      <c r="D337" s="1076"/>
      <c r="E337" s="1077"/>
      <c r="F337" s="275"/>
      <c r="G337" s="176">
        <f t="shared" ref="G337:G339" si="53">M328</f>
        <v>0</v>
      </c>
      <c r="H337" s="176">
        <f t="shared" ref="H337:H340" si="54">-G337*0.5</f>
        <v>0</v>
      </c>
      <c r="I337" s="176">
        <f t="shared" ref="I337:I340" si="55">+G337+H337</f>
        <v>0</v>
      </c>
      <c r="J337" s="206"/>
      <c r="Q337" s="166"/>
    </row>
    <row r="338" spans="2:17" ht="13" x14ac:dyDescent="0.25">
      <c r="B338" s="1075">
        <v>2017</v>
      </c>
      <c r="C338" s="1076"/>
      <c r="D338" s="1076">
        <v>2016</v>
      </c>
      <c r="E338" s="1077"/>
      <c r="F338" s="275"/>
      <c r="G338" s="176">
        <f t="shared" si="53"/>
        <v>0</v>
      </c>
      <c r="H338" s="176">
        <f t="shared" si="54"/>
        <v>0</v>
      </c>
      <c r="I338" s="176">
        <f t="shared" si="55"/>
        <v>0</v>
      </c>
      <c r="J338" s="206"/>
      <c r="Q338" s="166"/>
    </row>
    <row r="339" spans="2:17" ht="13" x14ac:dyDescent="0.25">
      <c r="B339" s="1075">
        <v>2018</v>
      </c>
      <c r="C339" s="1076"/>
      <c r="D339" s="1076"/>
      <c r="E339" s="1077"/>
      <c r="F339" s="275"/>
      <c r="G339" s="176">
        <f t="shared" si="53"/>
        <v>0</v>
      </c>
      <c r="H339" s="176">
        <f t="shared" si="54"/>
        <v>0</v>
      </c>
      <c r="I339" s="176">
        <f t="shared" si="55"/>
        <v>0</v>
      </c>
      <c r="J339" s="206"/>
      <c r="Q339" s="166"/>
    </row>
    <row r="340" spans="2:17" ht="13" x14ac:dyDescent="0.25">
      <c r="B340" s="1075">
        <v>2019</v>
      </c>
      <c r="C340" s="1076"/>
      <c r="D340" s="1076"/>
      <c r="E340" s="1077"/>
      <c r="F340" s="275"/>
      <c r="G340" s="176">
        <f>K169</f>
        <v>0</v>
      </c>
      <c r="H340" s="176">
        <f t="shared" si="54"/>
        <v>0</v>
      </c>
      <c r="I340" s="176">
        <f t="shared" si="55"/>
        <v>0</v>
      </c>
      <c r="J340" s="206"/>
      <c r="Q340" s="166"/>
    </row>
    <row r="341" spans="2:17" s="273" customFormat="1" ht="13" x14ac:dyDescent="0.25">
      <c r="G341" s="276">
        <f>SUM(G336:G340)</f>
        <v>0</v>
      </c>
      <c r="H341" s="276">
        <f>SUM(H336:H340)</f>
        <v>0</v>
      </c>
      <c r="I341" s="276">
        <f>SUM(I336:I340)</f>
        <v>0</v>
      </c>
    </row>
    <row r="342" spans="2:17" x14ac:dyDescent="0.25">
      <c r="Q342" s="166"/>
    </row>
    <row r="343" spans="2:17" ht="13" x14ac:dyDescent="0.25">
      <c r="B343" s="273" t="s">
        <v>139</v>
      </c>
      <c r="F343" s="810">
        <v>2022</v>
      </c>
      <c r="Q343" s="166"/>
    </row>
    <row r="344" spans="2:17" x14ac:dyDescent="0.25">
      <c r="Q344" s="166"/>
    </row>
    <row r="345" spans="2:17" ht="78" customHeight="1" x14ac:dyDescent="0.25">
      <c r="B345" s="1078" t="s">
        <v>140</v>
      </c>
      <c r="C345" s="1079"/>
      <c r="D345" s="1079"/>
      <c r="E345" s="1080"/>
      <c r="F345" s="274"/>
      <c r="G345" s="165" t="str">
        <f>"Nog af te bouwen regulatoir saldo einde "&amp;F343-1</f>
        <v>Nog af te bouwen regulatoir saldo einde 2021</v>
      </c>
      <c r="H345" s="165" t="str">
        <f>"50% van het oorspronkelijk regulatoir saldo door te rekenen volgens de tariefmethodologie in het boekjaar "&amp;F343</f>
        <v>50% van het oorspronkelijk regulatoir saldo door te rekenen volgens de tariefmethodologie in het boekjaar 2022</v>
      </c>
      <c r="I345" s="165" t="str">
        <f>"Nog af te bouwen regulatoir saldo einde "&amp;F343</f>
        <v>Nog af te bouwen regulatoir saldo einde 2022</v>
      </c>
      <c r="J345" s="206"/>
      <c r="Q345" s="166"/>
    </row>
    <row r="346" spans="2:17" ht="13" x14ac:dyDescent="0.25">
      <c r="B346" s="1075">
        <v>2015</v>
      </c>
      <c r="C346" s="1076"/>
      <c r="D346" s="1076"/>
      <c r="E346" s="1077"/>
      <c r="F346" s="275"/>
      <c r="G346" s="176">
        <f>+I336</f>
        <v>0</v>
      </c>
      <c r="H346" s="176">
        <f>-G336*0.5</f>
        <v>0</v>
      </c>
      <c r="I346" s="176">
        <f>+G346+H346</f>
        <v>0</v>
      </c>
      <c r="J346" s="206"/>
      <c r="Q346" s="166"/>
    </row>
    <row r="347" spans="2:17" ht="13" x14ac:dyDescent="0.25">
      <c r="B347" s="1075">
        <v>2016</v>
      </c>
      <c r="C347" s="1076"/>
      <c r="D347" s="1076"/>
      <c r="E347" s="1077"/>
      <c r="F347" s="275"/>
      <c r="G347" s="176">
        <f t="shared" ref="G347:G350" si="56">+I337</f>
        <v>0</v>
      </c>
      <c r="H347" s="176">
        <f t="shared" ref="H347:H350" si="57">-G337*0.5</f>
        <v>0</v>
      </c>
      <c r="I347" s="176">
        <f t="shared" ref="I347:I350" si="58">+G347+H347</f>
        <v>0</v>
      </c>
      <c r="J347" s="206"/>
      <c r="Q347" s="166"/>
    </row>
    <row r="348" spans="2:17" ht="13" x14ac:dyDescent="0.25">
      <c r="B348" s="1075">
        <v>2017</v>
      </c>
      <c r="C348" s="1076"/>
      <c r="D348" s="1076">
        <v>2016</v>
      </c>
      <c r="E348" s="1077"/>
      <c r="F348" s="275"/>
      <c r="G348" s="176">
        <f t="shared" si="56"/>
        <v>0</v>
      </c>
      <c r="H348" s="176">
        <f t="shared" si="57"/>
        <v>0</v>
      </c>
      <c r="I348" s="176">
        <f t="shared" si="58"/>
        <v>0</v>
      </c>
      <c r="J348" s="206"/>
      <c r="Q348" s="166"/>
    </row>
    <row r="349" spans="2:17" ht="13" x14ac:dyDescent="0.25">
      <c r="B349" s="1075">
        <v>2018</v>
      </c>
      <c r="C349" s="1076"/>
      <c r="D349" s="1076"/>
      <c r="E349" s="1077"/>
      <c r="F349" s="275"/>
      <c r="G349" s="176">
        <f t="shared" si="56"/>
        <v>0</v>
      </c>
      <c r="H349" s="176">
        <f t="shared" si="57"/>
        <v>0</v>
      </c>
      <c r="I349" s="176">
        <f t="shared" si="58"/>
        <v>0</v>
      </c>
      <c r="J349" s="206"/>
      <c r="Q349" s="166"/>
    </row>
    <row r="350" spans="2:17" ht="13" x14ac:dyDescent="0.25">
      <c r="B350" s="1075">
        <v>2019</v>
      </c>
      <c r="C350" s="1076"/>
      <c r="D350" s="1076"/>
      <c r="E350" s="1077"/>
      <c r="F350" s="275"/>
      <c r="G350" s="176">
        <f t="shared" si="56"/>
        <v>0</v>
      </c>
      <c r="H350" s="176">
        <f t="shared" si="57"/>
        <v>0</v>
      </c>
      <c r="I350" s="176">
        <f t="shared" si="58"/>
        <v>0</v>
      </c>
      <c r="J350" s="206"/>
      <c r="Q350" s="166"/>
    </row>
    <row r="351" spans="2:17" ht="13" x14ac:dyDescent="0.25">
      <c r="B351" s="1075">
        <v>2020</v>
      </c>
      <c r="C351" s="1076"/>
      <c r="D351" s="1076"/>
      <c r="E351" s="1077"/>
      <c r="F351" s="275"/>
      <c r="G351" s="176">
        <f>L170</f>
        <v>0</v>
      </c>
      <c r="H351" s="176">
        <f t="shared" ref="H351" si="59">-G351*0.5</f>
        <v>0</v>
      </c>
      <c r="I351" s="176">
        <f t="shared" ref="I351" si="60">+G351+H351</f>
        <v>0</v>
      </c>
      <c r="J351" s="206"/>
      <c r="Q351" s="166"/>
    </row>
    <row r="352" spans="2:17" s="273" customFormat="1" ht="13" x14ac:dyDescent="0.25">
      <c r="G352" s="276">
        <f>SUM(G346:G351)</f>
        <v>0</v>
      </c>
      <c r="H352" s="276">
        <f t="shared" ref="H352:I352" si="61">SUM(H346:H351)</f>
        <v>0</v>
      </c>
      <c r="I352" s="276">
        <f t="shared" si="61"/>
        <v>0</v>
      </c>
    </row>
    <row r="353" spans="2:17" x14ac:dyDescent="0.25">
      <c r="Q353" s="166"/>
    </row>
    <row r="354" spans="2:17" ht="13" x14ac:dyDescent="0.25">
      <c r="B354" s="273" t="s">
        <v>139</v>
      </c>
      <c r="F354" s="810">
        <v>2023</v>
      </c>
      <c r="Q354" s="166"/>
    </row>
    <row r="355" spans="2:17" x14ac:dyDescent="0.25">
      <c r="Q355" s="166"/>
    </row>
    <row r="356" spans="2:17" ht="78" customHeight="1" x14ac:dyDescent="0.25">
      <c r="B356" s="1078" t="s">
        <v>140</v>
      </c>
      <c r="C356" s="1079"/>
      <c r="D356" s="1079"/>
      <c r="E356" s="1080"/>
      <c r="F356" s="274"/>
      <c r="G356" s="165" t="str">
        <f>"Nog af te bouwen regulatoir saldo einde "&amp;F354-1</f>
        <v>Nog af te bouwen regulatoir saldo einde 2022</v>
      </c>
      <c r="H356" s="165" t="str">
        <f>"50% van het oorspronkelijk regulatoir saldo door te rekenen volgens de tariefmethodologie in het boekjaar "&amp;F354</f>
        <v>50% van het oorspronkelijk regulatoir saldo door te rekenen volgens de tariefmethodologie in het boekjaar 2023</v>
      </c>
      <c r="I356" s="165" t="str">
        <f>"Nog af te bouwen regulatoir saldo einde "&amp;F354</f>
        <v>Nog af te bouwen regulatoir saldo einde 2023</v>
      </c>
      <c r="J356" s="206"/>
      <c r="Q356" s="166"/>
    </row>
    <row r="357" spans="2:17" ht="13" x14ac:dyDescent="0.25">
      <c r="B357" s="1075">
        <v>2020</v>
      </c>
      <c r="C357" s="1076"/>
      <c r="D357" s="1076"/>
      <c r="E357" s="1077"/>
      <c r="F357" s="275"/>
      <c r="G357" s="176">
        <f>+I351</f>
        <v>0</v>
      </c>
      <c r="H357" s="176">
        <f>-G351*0.5</f>
        <v>0</v>
      </c>
      <c r="I357" s="176">
        <f t="shared" ref="I357" si="62">+G357+H357</f>
        <v>0</v>
      </c>
      <c r="J357" s="206"/>
      <c r="Q357" s="166"/>
    </row>
    <row r="358" spans="2:17" ht="13" x14ac:dyDescent="0.25">
      <c r="B358" s="1075">
        <v>2021</v>
      </c>
      <c r="C358" s="1076"/>
      <c r="D358" s="1076"/>
      <c r="E358" s="1077"/>
      <c r="F358" s="275"/>
      <c r="G358" s="176">
        <f>M171</f>
        <v>0</v>
      </c>
      <c r="H358" s="176">
        <f t="shared" ref="H358" si="63">-G358*0.5</f>
        <v>0</v>
      </c>
      <c r="I358" s="176">
        <f t="shared" ref="I358" si="64">+G358+H358</f>
        <v>0</v>
      </c>
      <c r="J358" s="206"/>
      <c r="Q358" s="166"/>
    </row>
    <row r="359" spans="2:17" s="273" customFormat="1" ht="13" x14ac:dyDescent="0.25">
      <c r="G359" s="276">
        <f>SUM(G357:G358)</f>
        <v>0</v>
      </c>
      <c r="H359" s="276">
        <f>SUM(H357:H358)</f>
        <v>0</v>
      </c>
      <c r="I359" s="276">
        <f>SUM(I357:I358)</f>
        <v>0</v>
      </c>
    </row>
    <row r="360" spans="2:17" x14ac:dyDescent="0.25">
      <c r="Q360" s="166"/>
    </row>
    <row r="361" spans="2:17" ht="13" x14ac:dyDescent="0.25">
      <c r="B361" s="273" t="s">
        <v>139</v>
      </c>
      <c r="F361" s="810">
        <v>2024</v>
      </c>
      <c r="Q361" s="166"/>
    </row>
    <row r="362" spans="2:17" x14ac:dyDescent="0.25">
      <c r="Q362" s="166"/>
    </row>
    <row r="363" spans="2:17" ht="78" customHeight="1" x14ac:dyDescent="0.25">
      <c r="B363" s="1078" t="s">
        <v>140</v>
      </c>
      <c r="C363" s="1079"/>
      <c r="D363" s="1079"/>
      <c r="E363" s="1080"/>
      <c r="F363" s="274"/>
      <c r="G363" s="165" t="str">
        <f>"Nog af te bouwen regulatoir saldo einde "&amp;F361-1</f>
        <v>Nog af te bouwen regulatoir saldo einde 2023</v>
      </c>
      <c r="H363" s="165" t="str">
        <f>"50% van het oorspronkelijk regulatoir saldo door te rekenen volgens de tariefmethodologie in het boekjaar "&amp;F361</f>
        <v>50% van het oorspronkelijk regulatoir saldo door te rekenen volgens de tariefmethodologie in het boekjaar 2024</v>
      </c>
      <c r="I363" s="165" t="str">
        <f>"Nog af te bouwen regulatoir saldo einde "&amp;F361</f>
        <v>Nog af te bouwen regulatoir saldo einde 2024</v>
      </c>
      <c r="J363" s="206"/>
      <c r="Q363" s="166"/>
    </row>
    <row r="364" spans="2:17" ht="13" x14ac:dyDescent="0.25">
      <c r="B364" s="1075">
        <v>2021</v>
      </c>
      <c r="C364" s="1076"/>
      <c r="D364" s="1076"/>
      <c r="E364" s="1077"/>
      <c r="F364" s="275"/>
      <c r="G364" s="176">
        <f>+I358</f>
        <v>0</v>
      </c>
      <c r="H364" s="176">
        <f>-G358*0.5</f>
        <v>0</v>
      </c>
      <c r="I364" s="176">
        <f t="shared" ref="I364:I365" si="65">+G364+H364</f>
        <v>0</v>
      </c>
      <c r="J364" s="206"/>
      <c r="Q364" s="166"/>
    </row>
    <row r="365" spans="2:17" ht="13" x14ac:dyDescent="0.25">
      <c r="B365" s="1075">
        <v>2022</v>
      </c>
      <c r="C365" s="1076"/>
      <c r="D365" s="1076"/>
      <c r="E365" s="1077"/>
      <c r="F365" s="275"/>
      <c r="G365" s="176">
        <f>N172</f>
        <v>0</v>
      </c>
      <c r="H365" s="176">
        <f t="shared" ref="H365" si="66">-G365*0.5</f>
        <v>0</v>
      </c>
      <c r="I365" s="176">
        <f t="shared" si="65"/>
        <v>0</v>
      </c>
      <c r="J365" s="206"/>
      <c r="Q365" s="166"/>
    </row>
    <row r="366" spans="2:17" s="273" customFormat="1" ht="13" x14ac:dyDescent="0.25">
      <c r="G366" s="276">
        <f>SUM(G364:G365)</f>
        <v>0</v>
      </c>
      <c r="H366" s="276">
        <f>SUM(H364:H365)</f>
        <v>0</v>
      </c>
      <c r="I366" s="276">
        <f>SUM(I364:I365)</f>
        <v>0</v>
      </c>
    </row>
    <row r="367" spans="2:17" ht="13" x14ac:dyDescent="0.25">
      <c r="B367" s="273" t="s">
        <v>201</v>
      </c>
      <c r="Q367" s="166"/>
    </row>
    <row r="368" spans="2:17" ht="13" x14ac:dyDescent="0.25">
      <c r="B368" s="273" t="s">
        <v>141</v>
      </c>
      <c r="C368" s="216"/>
      <c r="D368" s="216"/>
      <c r="E368" s="216"/>
      <c r="Q368" s="166"/>
    </row>
    <row r="369" spans="2:18" ht="13" x14ac:dyDescent="0.25">
      <c r="B369" s="273"/>
      <c r="C369" s="216"/>
      <c r="D369" s="216"/>
      <c r="E369" s="216"/>
      <c r="Q369" s="166"/>
    </row>
    <row r="370" spans="2:18" ht="13" x14ac:dyDescent="0.25">
      <c r="B370" s="275">
        <f>F333</f>
        <v>2021</v>
      </c>
      <c r="C370" s="279">
        <f>+H341</f>
        <v>0</v>
      </c>
      <c r="D370" s="216"/>
      <c r="E370" s="216"/>
      <c r="Q370" s="166"/>
    </row>
    <row r="371" spans="2:18" ht="13" x14ac:dyDescent="0.25">
      <c r="B371" s="275">
        <v>2022</v>
      </c>
      <c r="C371" s="279">
        <f>+H352</f>
        <v>0</v>
      </c>
      <c r="D371" s="216"/>
      <c r="E371" s="216"/>
      <c r="Q371" s="166"/>
    </row>
    <row r="372" spans="2:18" ht="13" x14ac:dyDescent="0.25">
      <c r="B372" s="275">
        <v>2023</v>
      </c>
      <c r="C372" s="279">
        <f>+H359</f>
        <v>0</v>
      </c>
      <c r="D372" s="216"/>
      <c r="E372" s="216"/>
      <c r="Q372" s="166"/>
    </row>
    <row r="373" spans="2:18" ht="13" x14ac:dyDescent="0.25">
      <c r="B373" s="275">
        <v>2024</v>
      </c>
      <c r="C373" s="279">
        <f>+H366</f>
        <v>0</v>
      </c>
      <c r="D373" s="216"/>
      <c r="E373" s="216"/>
      <c r="Q373" s="166"/>
    </row>
    <row r="374" spans="2:18" x14ac:dyDescent="0.25">
      <c r="Q374" s="206"/>
    </row>
    <row r="375" spans="2:18" x14ac:dyDescent="0.25">
      <c r="Q375" s="206"/>
    </row>
    <row r="376" spans="2:18" ht="13" x14ac:dyDescent="0.25">
      <c r="B376" s="321" t="s">
        <v>347</v>
      </c>
      <c r="C376" s="322"/>
      <c r="D376" s="322"/>
      <c r="E376" s="322"/>
      <c r="F376" s="323"/>
      <c r="G376" s="323"/>
      <c r="H376" s="323"/>
      <c r="I376" s="323"/>
      <c r="J376" s="323"/>
      <c r="K376" s="323"/>
      <c r="L376" s="323"/>
      <c r="M376" s="323"/>
      <c r="N376" s="323"/>
      <c r="O376" s="323"/>
      <c r="P376" s="323"/>
      <c r="Q376" s="324"/>
      <c r="R376" s="323"/>
    </row>
    <row r="377" spans="2:18" x14ac:dyDescent="0.25">
      <c r="Q377" s="206"/>
    </row>
    <row r="378" spans="2:18" ht="13" x14ac:dyDescent="0.25">
      <c r="B378" s="273" t="s">
        <v>139</v>
      </c>
      <c r="F378" s="810">
        <v>2024</v>
      </c>
      <c r="Q378" s="166"/>
    </row>
    <row r="379" spans="2:18" x14ac:dyDescent="0.25">
      <c r="Q379" s="166"/>
    </row>
    <row r="380" spans="2:18" ht="78" customHeight="1" x14ac:dyDescent="0.25">
      <c r="B380" s="1078" t="s">
        <v>140</v>
      </c>
      <c r="C380" s="1079"/>
      <c r="D380" s="1079"/>
      <c r="E380" s="1080"/>
      <c r="F380" s="274"/>
      <c r="G380" s="165" t="str">
        <f>"Nog af te bouwen regulatoir saldo einde "&amp;F378-1</f>
        <v>Nog af te bouwen regulatoir saldo einde 2023</v>
      </c>
      <c r="H380" s="165" t="str">
        <f>"50% van het oorspronkelijk regulatoir saldo door te rekenen volgens de tariefmethodologie in het boekjaar "&amp;F378</f>
        <v>50% van het oorspronkelijk regulatoir saldo door te rekenen volgens de tariefmethodologie in het boekjaar 2024</v>
      </c>
      <c r="I380" s="165" t="str">
        <f>"Nog af te bouwen regulatoir saldo einde "&amp;F378</f>
        <v>Nog af te bouwen regulatoir saldo einde 2024</v>
      </c>
      <c r="J380" s="206"/>
      <c r="Q380" s="166"/>
    </row>
    <row r="381" spans="2:18" ht="13" x14ac:dyDescent="0.25">
      <c r="B381" s="1075">
        <v>2022</v>
      </c>
      <c r="C381" s="1076"/>
      <c r="D381" s="1076"/>
      <c r="E381" s="1077"/>
      <c r="F381" s="275"/>
      <c r="G381" s="176">
        <f>N183</f>
        <v>0</v>
      </c>
      <c r="H381" s="176">
        <f t="shared" ref="H381" si="67">-G381*0.5</f>
        <v>0</v>
      </c>
      <c r="I381" s="176">
        <f t="shared" ref="I381" si="68">+G381+H381</f>
        <v>0</v>
      </c>
      <c r="J381" s="206"/>
      <c r="Q381" s="166"/>
    </row>
    <row r="382" spans="2:18" s="273" customFormat="1" ht="13" x14ac:dyDescent="0.25">
      <c r="G382" s="276">
        <f>SUM(G381:G381)</f>
        <v>0</v>
      </c>
      <c r="H382" s="276">
        <f>SUM(H381:H381)</f>
        <v>0</v>
      </c>
      <c r="I382" s="276">
        <f>SUM(I381:I381)</f>
        <v>0</v>
      </c>
    </row>
    <row r="383" spans="2:18" ht="13" x14ac:dyDescent="0.25">
      <c r="B383" s="273" t="s">
        <v>347</v>
      </c>
      <c r="C383" s="216"/>
      <c r="D383" s="216"/>
      <c r="E383" s="216"/>
      <c r="Q383" s="166"/>
    </row>
    <row r="384" spans="2:18" ht="13" x14ac:dyDescent="0.25">
      <c r="B384" s="273" t="s">
        <v>141</v>
      </c>
      <c r="C384" s="216"/>
      <c r="D384" s="216"/>
      <c r="E384" s="216"/>
      <c r="Q384" s="166"/>
    </row>
    <row r="385" spans="2:17" ht="13" x14ac:dyDescent="0.25">
      <c r="B385" s="273"/>
      <c r="C385" s="216"/>
      <c r="D385" s="216"/>
      <c r="E385" s="216"/>
      <c r="Q385" s="166"/>
    </row>
    <row r="386" spans="2:17" ht="13" x14ac:dyDescent="0.25">
      <c r="B386" s="336">
        <v>2021</v>
      </c>
      <c r="C386" s="337">
        <v>0</v>
      </c>
      <c r="D386" s="216"/>
      <c r="E386" s="216"/>
      <c r="Q386" s="166"/>
    </row>
    <row r="387" spans="2:17" ht="13" x14ac:dyDescent="0.25">
      <c r="B387" s="336">
        <v>2022</v>
      </c>
      <c r="C387" s="337">
        <v>0</v>
      </c>
      <c r="D387" s="216"/>
      <c r="E387" s="216"/>
      <c r="Q387" s="166"/>
    </row>
    <row r="388" spans="2:17" ht="13" x14ac:dyDescent="0.25">
      <c r="B388" s="336">
        <v>2023</v>
      </c>
      <c r="C388" s="337">
        <v>0</v>
      </c>
      <c r="D388" s="216"/>
      <c r="E388" s="216"/>
      <c r="Q388" s="166"/>
    </row>
    <row r="389" spans="2:17" ht="13" x14ac:dyDescent="0.25">
      <c r="B389" s="275">
        <v>2024</v>
      </c>
      <c r="C389" s="279">
        <f>+H382</f>
        <v>0</v>
      </c>
      <c r="D389" s="216"/>
      <c r="E389" s="216"/>
      <c r="Q389" s="166"/>
    </row>
    <row r="390" spans="2:17" x14ac:dyDescent="0.25">
      <c r="Q390" s="166"/>
    </row>
    <row r="391" spans="2:17" x14ac:dyDescent="0.25">
      <c r="Q391" s="166"/>
    </row>
    <row r="392" spans="2:17" ht="13" x14ac:dyDescent="0.25">
      <c r="B392" s="321" t="s">
        <v>66</v>
      </c>
      <c r="C392" s="322"/>
      <c r="D392" s="322"/>
      <c r="E392" s="322"/>
      <c r="F392" s="323"/>
      <c r="G392" s="323"/>
      <c r="H392" s="323"/>
      <c r="I392" s="323"/>
      <c r="J392" s="323"/>
      <c r="K392" s="323"/>
      <c r="L392" s="323"/>
      <c r="M392" s="323"/>
      <c r="Q392" s="166"/>
    </row>
    <row r="393" spans="2:17" x14ac:dyDescent="0.25">
      <c r="Q393" s="166"/>
    </row>
    <row r="394" spans="2:17" ht="13" x14ac:dyDescent="0.25">
      <c r="B394" s="273" t="s">
        <v>139</v>
      </c>
      <c r="F394" s="810">
        <v>2017</v>
      </c>
      <c r="Q394" s="166"/>
    </row>
    <row r="395" spans="2:17" x14ac:dyDescent="0.25">
      <c r="L395" s="206"/>
      <c r="Q395" s="166"/>
    </row>
    <row r="396" spans="2:17" ht="80.150000000000006" customHeight="1" x14ac:dyDescent="0.25">
      <c r="B396" s="1078" t="s">
        <v>140</v>
      </c>
      <c r="C396" s="1079"/>
      <c r="D396" s="1079"/>
      <c r="E396" s="1080"/>
      <c r="F396" s="274"/>
      <c r="G396" s="165" t="str">
        <f>"Nog af te bouwen regulatoir saldo einde "&amp;F394-1</f>
        <v>Nog af te bouwen regulatoir saldo einde 2016</v>
      </c>
      <c r="H396" s="165" t="str">
        <f>"Afbouw oudste openstaande regulatoir saldo vanaf boekjaar "&amp;F394-3&amp;" en vroeger, door aanwending van compensatie met regulatoir saldo ontstaan over boekjaar "&amp;F394-2</f>
        <v>Afbouw oudste openstaande regulatoir saldo vanaf boekjaar 2014 en vroeger, door aanwending van compensatie met regulatoir saldo ontstaan over boekjaar 2015</v>
      </c>
      <c r="I396" s="165" t="str">
        <f>"Nog af te bouwen regulatoir saldo na compensatie einde "&amp;F394-1</f>
        <v>Nog af te bouwen regulatoir saldo na compensatie einde 2016</v>
      </c>
      <c r="J396" s="165" t="str">
        <f>"Aanwending van 60% van het geaccumuleerd regulatoir saldo door te rekenen volgens de tariefmethodologie in het boekjaar "&amp;F394</f>
        <v>Aanwending van 60% van het geaccumuleerd regulatoir saldo door te rekenen volgens de tariefmethodologie in het boekjaar 2017</v>
      </c>
      <c r="K396" s="165" t="str">
        <f>"Nog af te bouwen regulatoir saldo einde "&amp;F394</f>
        <v>Nog af te bouwen regulatoir saldo einde 2017</v>
      </c>
      <c r="L396" s="206"/>
      <c r="Q396" s="166"/>
    </row>
    <row r="397" spans="2:17" ht="13" x14ac:dyDescent="0.25">
      <c r="B397" s="1075">
        <v>2015</v>
      </c>
      <c r="C397" s="1076"/>
      <c r="D397" s="1076"/>
      <c r="E397" s="1077"/>
      <c r="F397" s="275"/>
      <c r="G397" s="176">
        <f>G187</f>
        <v>0</v>
      </c>
      <c r="H397" s="521">
        <v>0</v>
      </c>
      <c r="I397" s="176">
        <f>+G397+H397</f>
        <v>0</v>
      </c>
      <c r="J397" s="176">
        <f>-I397*0.6</f>
        <v>0</v>
      </c>
      <c r="K397" s="811">
        <f>+J397+G397</f>
        <v>0</v>
      </c>
      <c r="L397" s="206"/>
      <c r="Q397" s="166"/>
    </row>
    <row r="398" spans="2:17" x14ac:dyDescent="0.25">
      <c r="L398" s="206"/>
      <c r="Q398" s="166"/>
    </row>
    <row r="399" spans="2:17" ht="13" x14ac:dyDescent="0.25">
      <c r="B399" s="273" t="s">
        <v>139</v>
      </c>
      <c r="F399" s="810">
        <v>2018</v>
      </c>
      <c r="Q399" s="166"/>
    </row>
    <row r="400" spans="2:17" x14ac:dyDescent="0.25">
      <c r="Q400" s="166"/>
    </row>
    <row r="401" spans="2:17" ht="80.150000000000006" customHeight="1" x14ac:dyDescent="0.25">
      <c r="B401" s="1078" t="s">
        <v>140</v>
      </c>
      <c r="C401" s="1079"/>
      <c r="D401" s="1079"/>
      <c r="E401" s="1080"/>
      <c r="F401" s="274"/>
      <c r="G401" s="165" t="str">
        <f>"Nog af te bouwen regulatoir saldo einde "&amp;F399-1</f>
        <v>Nog af te bouwen regulatoir saldo einde 2017</v>
      </c>
      <c r="H401" s="165" t="str">
        <f>"Afbouw oudste openstaande regulatoir saldo vanaf boekjaar "&amp;F399-3&amp;" en vroeger, door aanwending van compensatie met regulatoir saldo ontstaan over boekjaar "&amp;F399-2</f>
        <v>Afbouw oudste openstaande regulatoir saldo vanaf boekjaar 2015 en vroeger, door aanwending van compensatie met regulatoir saldo ontstaan over boekjaar 2016</v>
      </c>
      <c r="I401" s="165" t="str">
        <f>"Nog af te bouwen regulatoir saldo na compensatie einde "&amp;F399-1</f>
        <v>Nog af te bouwen regulatoir saldo na compensatie einde 2017</v>
      </c>
      <c r="J401" s="165" t="str">
        <f>"60% van het geaccumuleerd regulatoir saldo door te rekenen volgens de tariefmethodologie in het boekjaar "&amp;F399</f>
        <v>60% van het geaccumuleerd regulatoir saldo door te rekenen volgens de tariefmethodologie in het boekjaar 2018</v>
      </c>
      <c r="K401" s="165" t="str">
        <f>"Aanwending van het 60% van het geaccumuleerd regulatoir saldo door te rekenen volgens de tariefmethodologie in het boekjaar "&amp;F399</f>
        <v>Aanwending van het 60% van het geaccumuleerd regulatoir saldo door te rekenen volgens de tariefmethodologie in het boekjaar 2018</v>
      </c>
      <c r="L401" s="165" t="str">
        <f>"Totale afbouw over "&amp;F399</f>
        <v>Totale afbouw over 2018</v>
      </c>
      <c r="M401" s="165" t="str">
        <f>"Nog af te bouwen regulatoir saldo einde "&amp;F399</f>
        <v>Nog af te bouwen regulatoir saldo einde 2018</v>
      </c>
      <c r="N401" s="206"/>
      <c r="Q401" s="166"/>
    </row>
    <row r="402" spans="2:17" ht="13" x14ac:dyDescent="0.25">
      <c r="B402" s="1075">
        <v>2015</v>
      </c>
      <c r="C402" s="1076"/>
      <c r="D402" s="1076"/>
      <c r="E402" s="1077"/>
      <c r="F402" s="275"/>
      <c r="G402" s="176">
        <f>K397</f>
        <v>0</v>
      </c>
      <c r="H402" s="521">
        <f>IF(SIGN(G403*K397)&lt;0,IF(G402&lt;&gt;0,-SIGN(G402)*MIN(ABS(G403),ABS(G402)),0),0)</f>
        <v>0</v>
      </c>
      <c r="I402" s="176">
        <f>+G402+H402</f>
        <v>0</v>
      </c>
      <c r="J402" s="806"/>
      <c r="K402" s="521">
        <f>-MIN(ABS(I402),ABS(J404))*SIGN(I402)</f>
        <v>0</v>
      </c>
      <c r="L402" s="813">
        <f>+K402+H402</f>
        <v>0</v>
      </c>
      <c r="M402" s="176">
        <f>+I402+K402</f>
        <v>0</v>
      </c>
      <c r="N402" s="206"/>
      <c r="Q402" s="166"/>
    </row>
    <row r="403" spans="2:17" ht="13" x14ac:dyDescent="0.25">
      <c r="B403" s="1075">
        <v>2016</v>
      </c>
      <c r="C403" s="1076"/>
      <c r="D403" s="1076"/>
      <c r="E403" s="1077"/>
      <c r="F403" s="275"/>
      <c r="G403" s="176">
        <f>H188</f>
        <v>0</v>
      </c>
      <c r="H403" s="813">
        <f>IF(SIGN(G403*K397)&lt;0,-H402,0)</f>
        <v>0</v>
      </c>
      <c r="I403" s="176">
        <f>+G403+H403</f>
        <v>0</v>
      </c>
      <c r="J403" s="806"/>
      <c r="K403" s="521">
        <f>-MIN(ABS(I403),ABS(J404-K402))*SIGN(I403)</f>
        <v>0</v>
      </c>
      <c r="L403" s="813">
        <f>+K403+H403</f>
        <v>0</v>
      </c>
      <c r="M403" s="176">
        <f>+I403+K403</f>
        <v>0</v>
      </c>
      <c r="N403" s="206"/>
      <c r="Q403" s="166"/>
    </row>
    <row r="404" spans="2:17" s="273" customFormat="1" ht="13" x14ac:dyDescent="0.25">
      <c r="G404" s="276">
        <f>SUM(G402:G403)</f>
        <v>0</v>
      </c>
      <c r="H404" s="168">
        <f>SUM(H402:H403)</f>
        <v>0</v>
      </c>
      <c r="I404" s="276">
        <f>SUM(I402:I403)</f>
        <v>0</v>
      </c>
      <c r="J404" s="276">
        <f>-I404*0.6</f>
        <v>0</v>
      </c>
      <c r="K404" s="168">
        <f>SUM(K402:K403)</f>
        <v>0</v>
      </c>
      <c r="L404" s="528"/>
      <c r="M404" s="276">
        <f>SUM(M402:M403)</f>
        <v>0</v>
      </c>
    </row>
    <row r="405" spans="2:17" x14ac:dyDescent="0.25">
      <c r="Q405" s="166"/>
    </row>
    <row r="406" spans="2:17" ht="13" x14ac:dyDescent="0.25">
      <c r="B406" s="273" t="s">
        <v>139</v>
      </c>
      <c r="F406" s="810">
        <v>2019</v>
      </c>
      <c r="Q406" s="166"/>
    </row>
    <row r="407" spans="2:17" x14ac:dyDescent="0.25">
      <c r="Q407" s="166"/>
    </row>
    <row r="408" spans="2:17" ht="80.150000000000006" customHeight="1" x14ac:dyDescent="0.25">
      <c r="B408" s="1078" t="s">
        <v>140</v>
      </c>
      <c r="C408" s="1079"/>
      <c r="D408" s="1079"/>
      <c r="E408" s="1080"/>
      <c r="F408" s="274"/>
      <c r="G408" s="165" t="str">
        <f>"Nog af te bouwen regulatoir saldo einde "&amp;F406-1</f>
        <v>Nog af te bouwen regulatoir saldo einde 2018</v>
      </c>
      <c r="H408" s="165" t="str">
        <f>"Afbouw oudste openstaande regulatoir saldo vanaf boekjaar "&amp;F406-3&amp;" en vroeger, door aanwending van compensatie met regulatoir saldo ontstaan over boekjaar "&amp;F406-2</f>
        <v>Afbouw oudste openstaande regulatoir saldo vanaf boekjaar 2016 en vroeger, door aanwending van compensatie met regulatoir saldo ontstaan over boekjaar 2017</v>
      </c>
      <c r="I408" s="165" t="str">
        <f>"Nog af te bouwen regulatoir saldo na compensatie einde "&amp;F406-1</f>
        <v>Nog af te bouwen regulatoir saldo na compensatie einde 2018</v>
      </c>
      <c r="J408" s="165" t="str">
        <f>"60% van het geaccumuleerd regulatoir saldo door te rekenen volgens de tariefmethodologie in het boekjaar "&amp;F406</f>
        <v>60% van het geaccumuleerd regulatoir saldo door te rekenen volgens de tariefmethodologie in het boekjaar 2019</v>
      </c>
      <c r="K408" s="165" t="str">
        <f>"Aanwending van het 60% van het geaccumuleerd regulatoir saldo door te rekenen volgens de tariefmethodologie in het boekjaar "&amp;F406</f>
        <v>Aanwending van het 60% van het geaccumuleerd regulatoir saldo door te rekenen volgens de tariefmethodologie in het boekjaar 2019</v>
      </c>
      <c r="L408" s="165" t="str">
        <f>"Totale afbouw over "&amp;F406</f>
        <v>Totale afbouw over 2019</v>
      </c>
      <c r="M408" s="165" t="str">
        <f>"Nog af te bouwen regulatoir saldo einde "&amp;F406</f>
        <v>Nog af te bouwen regulatoir saldo einde 2019</v>
      </c>
      <c r="N408" s="206"/>
      <c r="Q408" s="166"/>
    </row>
    <row r="409" spans="2:17" ht="13" x14ac:dyDescent="0.25">
      <c r="B409" s="1075">
        <v>2015</v>
      </c>
      <c r="C409" s="1076"/>
      <c r="D409" s="1076"/>
      <c r="E409" s="1077"/>
      <c r="F409" s="275"/>
      <c r="G409" s="176">
        <f>+M402</f>
        <v>0</v>
      </c>
      <c r="H409" s="813">
        <f>IF(SIGN(G411*M404)&lt;0,IF(G409&lt;&gt;0,-SIGN(G409)*MIN(ABS(G411),ABS(G409)),0),0)</f>
        <v>0</v>
      </c>
      <c r="I409" s="176">
        <f>+G409+H409</f>
        <v>0</v>
      </c>
      <c r="J409" s="806"/>
      <c r="K409" s="521">
        <f>-MIN(ABS(I409),ABS(J412))*SIGN(I409)</f>
        <v>0</v>
      </c>
      <c r="L409" s="813">
        <f>+K409+H409</f>
        <v>0</v>
      </c>
      <c r="M409" s="176">
        <f>+I409+K409</f>
        <v>0</v>
      </c>
      <c r="N409" s="206"/>
      <c r="Q409" s="166"/>
    </row>
    <row r="410" spans="2:17" ht="13" x14ac:dyDescent="0.25">
      <c r="B410" s="1075">
        <v>2016</v>
      </c>
      <c r="C410" s="1076"/>
      <c r="D410" s="1076">
        <v>2016</v>
      </c>
      <c r="E410" s="1077"/>
      <c r="F410" s="275"/>
      <c r="G410" s="176">
        <f>+M403</f>
        <v>0</v>
      </c>
      <c r="H410" s="813">
        <f>IF(SIGN(G411*M404)&lt;0,IF(G410&lt;&gt;0,-SIGN(G410)*MIN(ABS(G411-H409),ABS(G410)),0),0)</f>
        <v>0</v>
      </c>
      <c r="I410" s="176">
        <f>+G410+H410</f>
        <v>0</v>
      </c>
      <c r="J410" s="806"/>
      <c r="K410" s="521">
        <f>-MIN(ABS(I410),ABS(J412-K409))*SIGN(I410)</f>
        <v>0</v>
      </c>
      <c r="L410" s="813">
        <f>+K410+H410</f>
        <v>0</v>
      </c>
      <c r="M410" s="176">
        <f>+I410+K410</f>
        <v>0</v>
      </c>
      <c r="N410" s="206"/>
      <c r="Q410" s="166"/>
    </row>
    <row r="411" spans="2:17" ht="13" x14ac:dyDescent="0.25">
      <c r="B411" s="1075">
        <v>2017</v>
      </c>
      <c r="C411" s="1076"/>
      <c r="D411" s="1076"/>
      <c r="E411" s="1077"/>
      <c r="F411" s="275"/>
      <c r="G411" s="176">
        <f>I189</f>
        <v>0</v>
      </c>
      <c r="H411" s="813">
        <f>IF(SIGN(G411*M404)&lt;0,-SUM(H409:H410),0)</f>
        <v>0</v>
      </c>
      <c r="I411" s="176">
        <f>+G411+H411</f>
        <v>0</v>
      </c>
      <c r="J411" s="806"/>
      <c r="K411" s="521">
        <f>-MIN(ABS(I411),ABS(J412-K409-K410))*SIGN(I411)</f>
        <v>0</v>
      </c>
      <c r="L411" s="813">
        <f>+K411+H411</f>
        <v>0</v>
      </c>
      <c r="M411" s="176">
        <f>+I411+K411</f>
        <v>0</v>
      </c>
      <c r="N411" s="206"/>
      <c r="Q411" s="166"/>
    </row>
    <row r="412" spans="2:17" s="273" customFormat="1" ht="13" x14ac:dyDescent="0.25">
      <c r="G412" s="276">
        <f>SUM(G409:G411)</f>
        <v>0</v>
      </c>
      <c r="H412" s="168">
        <f>SUM(H409:H411)</f>
        <v>0</v>
      </c>
      <c r="I412" s="276">
        <f>SUM(I409:I411)</f>
        <v>0</v>
      </c>
      <c r="J412" s="276">
        <f>-I412*0.6</f>
        <v>0</v>
      </c>
      <c r="K412" s="168">
        <f>SUM(K409:K411)</f>
        <v>0</v>
      </c>
      <c r="L412" s="528"/>
      <c r="M412" s="276">
        <f>SUM(M409:M411)</f>
        <v>0</v>
      </c>
    </row>
    <row r="413" spans="2:17" x14ac:dyDescent="0.25">
      <c r="H413" s="214"/>
      <c r="Q413" s="166"/>
    </row>
    <row r="414" spans="2:17" ht="13" x14ac:dyDescent="0.25">
      <c r="B414" s="273" t="s">
        <v>139</v>
      </c>
      <c r="F414" s="810">
        <v>2020</v>
      </c>
      <c r="Q414" s="166"/>
    </row>
    <row r="415" spans="2:17" x14ac:dyDescent="0.25">
      <c r="Q415" s="166"/>
    </row>
    <row r="416" spans="2:17" ht="80.150000000000006" customHeight="1" x14ac:dyDescent="0.25">
      <c r="B416" s="1078" t="s">
        <v>140</v>
      </c>
      <c r="C416" s="1079"/>
      <c r="D416" s="1079"/>
      <c r="E416" s="1080"/>
      <c r="F416" s="274"/>
      <c r="G416" s="165" t="str">
        <f>"Nog af te bouwen regulatoir saldo einde "&amp;F414-1</f>
        <v>Nog af te bouwen regulatoir saldo einde 2019</v>
      </c>
      <c r="H416" s="165" t="str">
        <f>"Afbouw oudste openstaande regulatoir saldo vanaf boekjaar "&amp;F414-3&amp;" en vroeger, door aanwending van compensatie met regulatoir saldo ontstaan over boekjaar "&amp;F414-2</f>
        <v>Afbouw oudste openstaande regulatoir saldo vanaf boekjaar 2017 en vroeger, door aanwending van compensatie met regulatoir saldo ontstaan over boekjaar 2018</v>
      </c>
      <c r="I416" s="165" t="str">
        <f>"Nog af te bouwen regulatoir saldo na compensatie einde "&amp;F414-1</f>
        <v>Nog af te bouwen regulatoir saldo na compensatie einde 2019</v>
      </c>
      <c r="J416" s="165" t="str">
        <f>"60% van het geaccumuleerd regulatoir saldo door te rekenen volgens de tariefmethodologie in het boekjaar "&amp;F414</f>
        <v>60% van het geaccumuleerd regulatoir saldo door te rekenen volgens de tariefmethodologie in het boekjaar 2020</v>
      </c>
      <c r="K416" s="165" t="str">
        <f>"Aanwending van het 60% van het geaccumuleerd regulatoir saldo door te rekenen volgens de tariefmethodologie in het boekjaar "&amp;F414</f>
        <v>Aanwending van het 60% van het geaccumuleerd regulatoir saldo door te rekenen volgens de tariefmethodologie in het boekjaar 2020</v>
      </c>
      <c r="L416" s="165" t="str">
        <f>"Totale afbouw over "&amp;F414</f>
        <v>Totale afbouw over 2020</v>
      </c>
      <c r="M416" s="165" t="str">
        <f>"Nog af te bouwen regulatoir saldo einde "&amp;F414</f>
        <v>Nog af te bouwen regulatoir saldo einde 2020</v>
      </c>
      <c r="N416" s="206"/>
      <c r="Q416" s="166"/>
    </row>
    <row r="417" spans="2:17" ht="13" x14ac:dyDescent="0.25">
      <c r="B417" s="1075">
        <v>2015</v>
      </c>
      <c r="C417" s="1076"/>
      <c r="D417" s="1076"/>
      <c r="E417" s="1077"/>
      <c r="F417" s="275"/>
      <c r="G417" s="176">
        <f>+M409</f>
        <v>0</v>
      </c>
      <c r="H417" s="813">
        <f>IF(SIGN(G420*M412)&lt;0,IF(G417&lt;&gt;0,-SIGN(G417)*MIN(ABS(G420),ABS(G417)),0),0)</f>
        <v>0</v>
      </c>
      <c r="I417" s="176">
        <f>+G417+H417</f>
        <v>0</v>
      </c>
      <c r="J417" s="806"/>
      <c r="K417" s="521">
        <f>-MIN(ABS(I417),ABS(J421))*SIGN(I417)</f>
        <v>0</v>
      </c>
      <c r="L417" s="813">
        <f>+K417+H417</f>
        <v>0</v>
      </c>
      <c r="M417" s="176">
        <f>+I417+K417</f>
        <v>0</v>
      </c>
      <c r="N417" s="206"/>
      <c r="Q417" s="166"/>
    </row>
    <row r="418" spans="2:17" ht="13" x14ac:dyDescent="0.25">
      <c r="B418" s="1075">
        <v>2016</v>
      </c>
      <c r="C418" s="1076"/>
      <c r="D418" s="1076"/>
      <c r="E418" s="1077"/>
      <c r="F418" s="275"/>
      <c r="G418" s="176">
        <f>+M410</f>
        <v>0</v>
      </c>
      <c r="H418" s="813">
        <f>IF(SIGN(G420*M412)&lt;0,IF(G418&lt;&gt;0,-SIGN(G418)*MIN(ABS(G420-H417),ABS(G418)),0),0)</f>
        <v>0</v>
      </c>
      <c r="I418" s="176">
        <f>+G418+H418</f>
        <v>0</v>
      </c>
      <c r="J418" s="806"/>
      <c r="K418" s="521">
        <f>-MIN(ABS(I418),ABS(J421-K417))*SIGN(I418)</f>
        <v>0</v>
      </c>
      <c r="L418" s="813">
        <f>+K418+H418</f>
        <v>0</v>
      </c>
      <c r="M418" s="176">
        <f>+I418+K418</f>
        <v>0</v>
      </c>
      <c r="N418" s="206"/>
      <c r="Q418" s="166"/>
    </row>
    <row r="419" spans="2:17" ht="13" x14ac:dyDescent="0.25">
      <c r="B419" s="1075">
        <v>2017</v>
      </c>
      <c r="C419" s="1076"/>
      <c r="D419" s="1076">
        <v>2016</v>
      </c>
      <c r="E419" s="1077"/>
      <c r="F419" s="275"/>
      <c r="G419" s="176">
        <f>+M411</f>
        <v>0</v>
      </c>
      <c r="H419" s="813">
        <f>IF(SIGN(G420*M412)&lt;0,IF(G419&lt;&gt;0,-SIGN(G419)*MIN(ABS(G420-H417-H418),ABS(G419)),0),0)</f>
        <v>0</v>
      </c>
      <c r="I419" s="176">
        <f>+G419+H419</f>
        <v>0</v>
      </c>
      <c r="J419" s="806"/>
      <c r="K419" s="521">
        <f>-MIN(ABS(I419),ABS(J421-K417-K418))*SIGN(I419)</f>
        <v>0</v>
      </c>
      <c r="L419" s="813">
        <f>+K419+H419</f>
        <v>0</v>
      </c>
      <c r="M419" s="176">
        <f>+I419+K419</f>
        <v>0</v>
      </c>
      <c r="N419" s="206"/>
      <c r="Q419" s="166"/>
    </row>
    <row r="420" spans="2:17" ht="13" x14ac:dyDescent="0.25">
      <c r="B420" s="1075">
        <v>2018</v>
      </c>
      <c r="C420" s="1076"/>
      <c r="D420" s="1076"/>
      <c r="E420" s="1077"/>
      <c r="F420" s="275"/>
      <c r="G420" s="176">
        <f>J190</f>
        <v>0</v>
      </c>
      <c r="H420" s="813">
        <f>IF(SIGN(G420*M412)&lt;0,-SUM(H417:H419),0)</f>
        <v>0</v>
      </c>
      <c r="I420" s="176">
        <f>+G420+H420</f>
        <v>0</v>
      </c>
      <c r="J420" s="806"/>
      <c r="K420" s="521">
        <f>-MIN(ABS(I420),ABS(J421-K417-K418-K419))*SIGN(I420)</f>
        <v>0</v>
      </c>
      <c r="L420" s="813">
        <f>+K420+H420</f>
        <v>0</v>
      </c>
      <c r="M420" s="176">
        <f>+I420+K420</f>
        <v>0</v>
      </c>
      <c r="N420" s="206"/>
      <c r="Q420" s="166"/>
    </row>
    <row r="421" spans="2:17" s="273" customFormat="1" ht="13" x14ac:dyDescent="0.25">
      <c r="G421" s="276">
        <f>SUM(G417:G420)</f>
        <v>0</v>
      </c>
      <c r="H421" s="168">
        <f>SUM(H417:H420)</f>
        <v>0</v>
      </c>
      <c r="I421" s="276">
        <f>SUM(I417:I420)</f>
        <v>0</v>
      </c>
      <c r="J421" s="276">
        <f>-I421*0.6</f>
        <v>0</v>
      </c>
      <c r="K421" s="168">
        <f>SUM(K417:K420)</f>
        <v>0</v>
      </c>
      <c r="L421" s="168"/>
      <c r="M421" s="276">
        <f>SUM(M417:M420)</f>
        <v>0</v>
      </c>
    </row>
    <row r="422" spans="2:17" x14ac:dyDescent="0.25">
      <c r="Q422" s="166"/>
    </row>
    <row r="423" spans="2:17" ht="13" x14ac:dyDescent="0.25">
      <c r="B423" s="273" t="s">
        <v>139</v>
      </c>
      <c r="F423" s="810">
        <v>2021</v>
      </c>
      <c r="Q423" s="166"/>
    </row>
    <row r="424" spans="2:17" x14ac:dyDescent="0.25">
      <c r="Q424" s="166"/>
    </row>
    <row r="425" spans="2:17" ht="78" customHeight="1" x14ac:dyDescent="0.25">
      <c r="B425" s="1078" t="s">
        <v>140</v>
      </c>
      <c r="C425" s="1079"/>
      <c r="D425" s="1079"/>
      <c r="E425" s="1080"/>
      <c r="F425" s="274"/>
      <c r="G425" s="165" t="str">
        <f>"Nog af te bouwen regulatoir saldo einde "&amp;F423-1</f>
        <v>Nog af te bouwen regulatoir saldo einde 2020</v>
      </c>
      <c r="H425" s="165" t="str">
        <f>"50% van het oorspronkelijk regulatoir saldo door te rekenen volgens de tariefmethodologie in het boekjaar "&amp;F423</f>
        <v>50% van het oorspronkelijk regulatoir saldo door te rekenen volgens de tariefmethodologie in het boekjaar 2021</v>
      </c>
      <c r="I425" s="165" t="str">
        <f>"Nog af te bouwen regulatoir saldo einde "&amp;F423</f>
        <v>Nog af te bouwen regulatoir saldo einde 2021</v>
      </c>
      <c r="J425" s="206"/>
      <c r="Q425" s="166"/>
    </row>
    <row r="426" spans="2:17" ht="13" x14ac:dyDescent="0.25">
      <c r="B426" s="1075">
        <v>2015</v>
      </c>
      <c r="C426" s="1076"/>
      <c r="D426" s="1076"/>
      <c r="E426" s="1077"/>
      <c r="F426" s="275"/>
      <c r="G426" s="176">
        <f>M417</f>
        <v>0</v>
      </c>
      <c r="H426" s="176">
        <f>-G426*0.5</f>
        <v>0</v>
      </c>
      <c r="I426" s="176">
        <f>+G426+H426</f>
        <v>0</v>
      </c>
      <c r="J426" s="206"/>
      <c r="Q426" s="166"/>
    </row>
    <row r="427" spans="2:17" ht="13" x14ac:dyDescent="0.25">
      <c r="B427" s="1075">
        <v>2016</v>
      </c>
      <c r="C427" s="1076"/>
      <c r="D427" s="1076"/>
      <c r="E427" s="1077"/>
      <c r="F427" s="275"/>
      <c r="G427" s="176">
        <f t="shared" ref="G427:G429" si="69">M418</f>
        <v>0</v>
      </c>
      <c r="H427" s="176">
        <f t="shared" ref="H427:H430" si="70">-G427*0.5</f>
        <v>0</v>
      </c>
      <c r="I427" s="176">
        <f t="shared" ref="I427:I430" si="71">+G427+H427</f>
        <v>0</v>
      </c>
      <c r="J427" s="206"/>
      <c r="Q427" s="166"/>
    </row>
    <row r="428" spans="2:17" ht="13" x14ac:dyDescent="0.25">
      <c r="B428" s="1075">
        <v>2017</v>
      </c>
      <c r="C428" s="1076"/>
      <c r="D428" s="1076">
        <v>2016</v>
      </c>
      <c r="E428" s="1077"/>
      <c r="F428" s="275"/>
      <c r="G428" s="176">
        <f t="shared" si="69"/>
        <v>0</v>
      </c>
      <c r="H428" s="176">
        <f t="shared" si="70"/>
        <v>0</v>
      </c>
      <c r="I428" s="176">
        <f t="shared" si="71"/>
        <v>0</v>
      </c>
      <c r="J428" s="206"/>
      <c r="Q428" s="166"/>
    </row>
    <row r="429" spans="2:17" ht="13" x14ac:dyDescent="0.25">
      <c r="B429" s="1075">
        <v>2018</v>
      </c>
      <c r="C429" s="1076"/>
      <c r="D429" s="1076"/>
      <c r="E429" s="1077"/>
      <c r="F429" s="275"/>
      <c r="G429" s="176">
        <f t="shared" si="69"/>
        <v>0</v>
      </c>
      <c r="H429" s="176">
        <f t="shared" si="70"/>
        <v>0</v>
      </c>
      <c r="I429" s="176">
        <f t="shared" si="71"/>
        <v>0</v>
      </c>
      <c r="J429" s="206"/>
      <c r="Q429" s="166"/>
    </row>
    <row r="430" spans="2:17" ht="13" x14ac:dyDescent="0.25">
      <c r="B430" s="1075">
        <v>2019</v>
      </c>
      <c r="C430" s="1076"/>
      <c r="D430" s="1076"/>
      <c r="E430" s="1077"/>
      <c r="F430" s="275"/>
      <c r="G430" s="176">
        <f>K191</f>
        <v>0</v>
      </c>
      <c r="H430" s="176">
        <f t="shared" si="70"/>
        <v>0</v>
      </c>
      <c r="I430" s="176">
        <f t="shared" si="71"/>
        <v>0</v>
      </c>
      <c r="J430" s="206"/>
      <c r="Q430" s="166"/>
    </row>
    <row r="431" spans="2:17" s="273" customFormat="1" ht="13" x14ac:dyDescent="0.25">
      <c r="G431" s="276">
        <f>SUM(G426:G430)</f>
        <v>0</v>
      </c>
      <c r="H431" s="276">
        <f>SUM(H426:H430)</f>
        <v>0</v>
      </c>
      <c r="I431" s="276">
        <f>SUM(I426:I430)</f>
        <v>0</v>
      </c>
    </row>
    <row r="432" spans="2:17" x14ac:dyDescent="0.25">
      <c r="Q432" s="166"/>
    </row>
    <row r="433" spans="2:17" ht="13" x14ac:dyDescent="0.25">
      <c r="B433" s="273" t="s">
        <v>139</v>
      </c>
      <c r="F433" s="810">
        <v>2022</v>
      </c>
      <c r="Q433" s="166"/>
    </row>
    <row r="434" spans="2:17" x14ac:dyDescent="0.25">
      <c r="Q434" s="166"/>
    </row>
    <row r="435" spans="2:17" ht="78" customHeight="1" x14ac:dyDescent="0.25">
      <c r="B435" s="1078" t="s">
        <v>140</v>
      </c>
      <c r="C435" s="1079"/>
      <c r="D435" s="1079"/>
      <c r="E435" s="1080"/>
      <c r="F435" s="274"/>
      <c r="G435" s="165" t="str">
        <f>"Nog af te bouwen regulatoir saldo einde "&amp;F433-1</f>
        <v>Nog af te bouwen regulatoir saldo einde 2021</v>
      </c>
      <c r="H435" s="165" t="str">
        <f>"50% van het oorspronkelijk regulatoir saldo door te rekenen volgens de tariefmethodologie in het boekjaar "&amp;F433</f>
        <v>50% van het oorspronkelijk regulatoir saldo door te rekenen volgens de tariefmethodologie in het boekjaar 2022</v>
      </c>
      <c r="I435" s="165" t="str">
        <f>"Nog af te bouwen regulatoir saldo einde "&amp;F433</f>
        <v>Nog af te bouwen regulatoir saldo einde 2022</v>
      </c>
      <c r="J435" s="206"/>
      <c r="Q435" s="166"/>
    </row>
    <row r="436" spans="2:17" ht="13" x14ac:dyDescent="0.25">
      <c r="B436" s="1075">
        <v>2015</v>
      </c>
      <c r="C436" s="1076"/>
      <c r="D436" s="1076"/>
      <c r="E436" s="1077"/>
      <c r="F436" s="275"/>
      <c r="G436" s="176">
        <f>+I426</f>
        <v>0</v>
      </c>
      <c r="H436" s="176">
        <f>-G426*0.5</f>
        <v>0</v>
      </c>
      <c r="I436" s="176">
        <f>+G436+H436</f>
        <v>0</v>
      </c>
      <c r="J436" s="206"/>
      <c r="Q436" s="166"/>
    </row>
    <row r="437" spans="2:17" ht="13" x14ac:dyDescent="0.25">
      <c r="B437" s="1075">
        <v>2016</v>
      </c>
      <c r="C437" s="1076"/>
      <c r="D437" s="1076"/>
      <c r="E437" s="1077"/>
      <c r="F437" s="275"/>
      <c r="G437" s="176">
        <f t="shared" ref="G437:G440" si="72">+I427</f>
        <v>0</v>
      </c>
      <c r="H437" s="176">
        <f t="shared" ref="H437:H440" si="73">-G427*0.5</f>
        <v>0</v>
      </c>
      <c r="I437" s="176">
        <f t="shared" ref="I437:I441" si="74">+G437+H437</f>
        <v>0</v>
      </c>
      <c r="J437" s="206"/>
      <c r="Q437" s="166"/>
    </row>
    <row r="438" spans="2:17" ht="13" x14ac:dyDescent="0.25">
      <c r="B438" s="1075">
        <v>2017</v>
      </c>
      <c r="C438" s="1076"/>
      <c r="D438" s="1076">
        <v>2016</v>
      </c>
      <c r="E438" s="1077"/>
      <c r="F438" s="275"/>
      <c r="G438" s="176">
        <f t="shared" si="72"/>
        <v>0</v>
      </c>
      <c r="H438" s="176">
        <f t="shared" si="73"/>
        <v>0</v>
      </c>
      <c r="I438" s="176">
        <f t="shared" si="74"/>
        <v>0</v>
      </c>
      <c r="J438" s="206"/>
      <c r="Q438" s="166"/>
    </row>
    <row r="439" spans="2:17" ht="13" x14ac:dyDescent="0.25">
      <c r="B439" s="1075">
        <v>2018</v>
      </c>
      <c r="C439" s="1076"/>
      <c r="D439" s="1076"/>
      <c r="E439" s="1077"/>
      <c r="F439" s="275"/>
      <c r="G439" s="176">
        <f t="shared" si="72"/>
        <v>0</v>
      </c>
      <c r="H439" s="176">
        <f t="shared" si="73"/>
        <v>0</v>
      </c>
      <c r="I439" s="176">
        <f t="shared" si="74"/>
        <v>0</v>
      </c>
      <c r="J439" s="206"/>
      <c r="Q439" s="166"/>
    </row>
    <row r="440" spans="2:17" ht="13" x14ac:dyDescent="0.25">
      <c r="B440" s="1075">
        <v>2019</v>
      </c>
      <c r="C440" s="1076"/>
      <c r="D440" s="1076"/>
      <c r="E440" s="1077"/>
      <c r="F440" s="275"/>
      <c r="G440" s="176">
        <f t="shared" si="72"/>
        <v>0</v>
      </c>
      <c r="H440" s="176">
        <f t="shared" si="73"/>
        <v>0</v>
      </c>
      <c r="I440" s="176">
        <f t="shared" si="74"/>
        <v>0</v>
      </c>
      <c r="J440" s="206"/>
      <c r="Q440" s="166"/>
    </row>
    <row r="441" spans="2:17" ht="13" x14ac:dyDescent="0.25">
      <c r="B441" s="1075">
        <v>2020</v>
      </c>
      <c r="C441" s="1076"/>
      <c r="D441" s="1076"/>
      <c r="E441" s="1077"/>
      <c r="F441" s="275"/>
      <c r="G441" s="176">
        <f>L192</f>
        <v>0</v>
      </c>
      <c r="H441" s="176">
        <f t="shared" ref="H441" si="75">-G441*0.5</f>
        <v>0</v>
      </c>
      <c r="I441" s="176">
        <f t="shared" si="74"/>
        <v>0</v>
      </c>
      <c r="J441" s="206"/>
      <c r="Q441" s="166"/>
    </row>
    <row r="442" spans="2:17" s="273" customFormat="1" ht="13" x14ac:dyDescent="0.25">
      <c r="G442" s="276">
        <f>SUM(G436:G441)</f>
        <v>0</v>
      </c>
      <c r="H442" s="276">
        <f t="shared" ref="H442" si="76">SUM(H436:H441)</f>
        <v>0</v>
      </c>
      <c r="I442" s="276">
        <f t="shared" ref="I442" si="77">SUM(I436:I441)</f>
        <v>0</v>
      </c>
    </row>
    <row r="443" spans="2:17" x14ac:dyDescent="0.25">
      <c r="Q443" s="166"/>
    </row>
    <row r="444" spans="2:17" ht="13" x14ac:dyDescent="0.25">
      <c r="B444" s="273" t="s">
        <v>139</v>
      </c>
      <c r="F444" s="810">
        <v>2023</v>
      </c>
      <c r="Q444" s="166"/>
    </row>
    <row r="445" spans="2:17" x14ac:dyDescent="0.25">
      <c r="Q445" s="166"/>
    </row>
    <row r="446" spans="2:17" ht="78" customHeight="1" x14ac:dyDescent="0.25">
      <c r="B446" s="1078" t="s">
        <v>140</v>
      </c>
      <c r="C446" s="1079"/>
      <c r="D446" s="1079"/>
      <c r="E446" s="1080"/>
      <c r="F446" s="274"/>
      <c r="G446" s="165" t="str">
        <f>"Nog af te bouwen regulatoir saldo einde "&amp;F444-1</f>
        <v>Nog af te bouwen regulatoir saldo einde 2022</v>
      </c>
      <c r="H446" s="165" t="str">
        <f>"50% van het oorspronkelijk regulatoir saldo door te rekenen volgens de tariefmethodologie in het boekjaar "&amp;F444</f>
        <v>50% van het oorspronkelijk regulatoir saldo door te rekenen volgens de tariefmethodologie in het boekjaar 2023</v>
      </c>
      <c r="I446" s="165" t="str">
        <f>"Nog af te bouwen regulatoir saldo einde "&amp;F444</f>
        <v>Nog af te bouwen regulatoir saldo einde 2023</v>
      </c>
      <c r="J446" s="206"/>
      <c r="Q446" s="166"/>
    </row>
    <row r="447" spans="2:17" ht="13" x14ac:dyDescent="0.25">
      <c r="B447" s="1075">
        <v>2020</v>
      </c>
      <c r="C447" s="1076"/>
      <c r="D447" s="1076"/>
      <c r="E447" s="1077"/>
      <c r="F447" s="275"/>
      <c r="G447" s="176">
        <f>+I441</f>
        <v>0</v>
      </c>
      <c r="H447" s="176">
        <f>-G441*0.5</f>
        <v>0</v>
      </c>
      <c r="I447" s="176">
        <f t="shared" ref="I447:I448" si="78">+G447+H447</f>
        <v>0</v>
      </c>
      <c r="J447" s="206"/>
      <c r="Q447" s="166"/>
    </row>
    <row r="448" spans="2:17" ht="13" x14ac:dyDescent="0.25">
      <c r="B448" s="1075">
        <v>2021</v>
      </c>
      <c r="C448" s="1076"/>
      <c r="D448" s="1076"/>
      <c r="E448" s="1077"/>
      <c r="F448" s="275"/>
      <c r="G448" s="176">
        <f>M193</f>
        <v>0</v>
      </c>
      <c r="H448" s="176">
        <f t="shared" ref="H448" si="79">-G448*0.5</f>
        <v>0</v>
      </c>
      <c r="I448" s="176">
        <f t="shared" si="78"/>
        <v>0</v>
      </c>
      <c r="J448" s="206"/>
      <c r="Q448" s="166"/>
    </row>
    <row r="449" spans="2:17" s="273" customFormat="1" ht="13" x14ac:dyDescent="0.25">
      <c r="G449" s="276">
        <f>SUM(G447:G448)</f>
        <v>0</v>
      </c>
      <c r="H449" s="276">
        <f>SUM(H447:H448)</f>
        <v>0</v>
      </c>
      <c r="I449" s="276">
        <f>SUM(I447:I448)</f>
        <v>0</v>
      </c>
    </row>
    <row r="450" spans="2:17" x14ac:dyDescent="0.25">
      <c r="Q450" s="166"/>
    </row>
    <row r="451" spans="2:17" ht="13" x14ac:dyDescent="0.25">
      <c r="B451" s="273" t="s">
        <v>139</v>
      </c>
      <c r="F451" s="810">
        <v>2024</v>
      </c>
      <c r="Q451" s="166"/>
    </row>
    <row r="452" spans="2:17" x14ac:dyDescent="0.25">
      <c r="Q452" s="166"/>
    </row>
    <row r="453" spans="2:17" ht="78" customHeight="1" x14ac:dyDescent="0.25">
      <c r="B453" s="1078" t="s">
        <v>140</v>
      </c>
      <c r="C453" s="1079"/>
      <c r="D453" s="1079"/>
      <c r="E453" s="1080"/>
      <c r="F453" s="274"/>
      <c r="G453" s="165" t="str">
        <f>"Nog af te bouwen regulatoir saldo einde "&amp;F451-1</f>
        <v>Nog af te bouwen regulatoir saldo einde 2023</v>
      </c>
      <c r="H453" s="165" t="str">
        <f>"50% van het oorspronkelijk regulatoir saldo door te rekenen volgens de tariefmethodologie in het boekjaar "&amp;F451</f>
        <v>50% van het oorspronkelijk regulatoir saldo door te rekenen volgens de tariefmethodologie in het boekjaar 2024</v>
      </c>
      <c r="I453" s="165" t="str">
        <f>"Nog af te bouwen regulatoir saldo einde "&amp;F451</f>
        <v>Nog af te bouwen regulatoir saldo einde 2024</v>
      </c>
      <c r="J453" s="206"/>
      <c r="Q453" s="166"/>
    </row>
    <row r="454" spans="2:17" ht="13" x14ac:dyDescent="0.25">
      <c r="B454" s="1075">
        <v>2021</v>
      </c>
      <c r="C454" s="1076"/>
      <c r="D454" s="1076"/>
      <c r="E454" s="1077"/>
      <c r="F454" s="275"/>
      <c r="G454" s="176">
        <f>+I448</f>
        <v>0</v>
      </c>
      <c r="H454" s="176">
        <f>-G448*0.5</f>
        <v>0</v>
      </c>
      <c r="I454" s="176">
        <f t="shared" ref="I454:I455" si="80">+G454+H454</f>
        <v>0</v>
      </c>
      <c r="J454" s="206"/>
      <c r="Q454" s="166"/>
    </row>
    <row r="455" spans="2:17" ht="13" x14ac:dyDescent="0.25">
      <c r="B455" s="1075">
        <v>2022</v>
      </c>
      <c r="C455" s="1076"/>
      <c r="D455" s="1076"/>
      <c r="E455" s="1077"/>
      <c r="F455" s="275"/>
      <c r="G455" s="176">
        <f>N194</f>
        <v>0</v>
      </c>
      <c r="H455" s="176">
        <f>-G455*0.5</f>
        <v>0</v>
      </c>
      <c r="I455" s="176">
        <f t="shared" si="80"/>
        <v>0</v>
      </c>
      <c r="J455" s="206"/>
      <c r="Q455" s="166"/>
    </row>
    <row r="456" spans="2:17" s="273" customFormat="1" ht="13" x14ac:dyDescent="0.25">
      <c r="G456" s="276">
        <f>SUM(G454:G455)</f>
        <v>0</v>
      </c>
      <c r="H456" s="276">
        <f>SUM(H454:H455)</f>
        <v>0</v>
      </c>
      <c r="I456" s="276">
        <f>SUM(I454:I455)</f>
        <v>0</v>
      </c>
    </row>
    <row r="457" spans="2:17" x14ac:dyDescent="0.25">
      <c r="Q457" s="166"/>
    </row>
    <row r="458" spans="2:17" ht="13" x14ac:dyDescent="0.25">
      <c r="B458" s="273" t="s">
        <v>66</v>
      </c>
      <c r="Q458" s="166"/>
    </row>
    <row r="459" spans="2:17" ht="13" x14ac:dyDescent="0.25">
      <c r="B459" s="273" t="s">
        <v>141</v>
      </c>
      <c r="C459" s="216"/>
      <c r="D459" s="216"/>
      <c r="E459" s="216"/>
      <c r="Q459" s="166"/>
    </row>
    <row r="460" spans="2:17" ht="13" x14ac:dyDescent="0.25">
      <c r="B460" s="273"/>
      <c r="C460" s="216"/>
      <c r="D460" s="216"/>
      <c r="E460" s="216"/>
      <c r="Q460" s="166"/>
    </row>
    <row r="461" spans="2:17" ht="13" x14ac:dyDescent="0.25">
      <c r="B461" s="275">
        <v>2021</v>
      </c>
      <c r="C461" s="279">
        <f>+H431</f>
        <v>0</v>
      </c>
      <c r="D461" s="216"/>
      <c r="E461" s="216"/>
      <c r="Q461" s="166"/>
    </row>
    <row r="462" spans="2:17" ht="13" x14ac:dyDescent="0.25">
      <c r="B462" s="275">
        <v>2022</v>
      </c>
      <c r="C462" s="279">
        <f>+H442</f>
        <v>0</v>
      </c>
      <c r="D462" s="216"/>
      <c r="E462" s="216"/>
      <c r="Q462" s="166"/>
    </row>
    <row r="463" spans="2:17" ht="13" x14ac:dyDescent="0.25">
      <c r="B463" s="275">
        <v>2023</v>
      </c>
      <c r="C463" s="279">
        <f>+H449</f>
        <v>0</v>
      </c>
      <c r="D463" s="216"/>
      <c r="E463" s="216"/>
      <c r="Q463" s="166"/>
    </row>
    <row r="464" spans="2:17" ht="13" x14ac:dyDescent="0.25">
      <c r="B464" s="275">
        <v>2024</v>
      </c>
      <c r="C464" s="279">
        <f>+H456</f>
        <v>0</v>
      </c>
      <c r="D464" s="216"/>
      <c r="E464" s="216"/>
      <c r="Q464" s="166"/>
    </row>
    <row r="465" spans="2:17" x14ac:dyDescent="0.25">
      <c r="Q465" s="166"/>
    </row>
    <row r="466" spans="2:17" x14ac:dyDescent="0.25">
      <c r="Q466" s="166"/>
    </row>
    <row r="467" spans="2:17" ht="13" x14ac:dyDescent="0.25">
      <c r="B467" s="321" t="s">
        <v>350</v>
      </c>
      <c r="C467" s="322"/>
      <c r="D467" s="322"/>
      <c r="E467" s="322"/>
      <c r="F467" s="323"/>
      <c r="G467" s="323"/>
      <c r="H467" s="323"/>
      <c r="I467" s="323"/>
      <c r="J467" s="323"/>
      <c r="K467" s="323"/>
      <c r="L467" s="323"/>
      <c r="M467" s="323"/>
      <c r="Q467" s="166"/>
    </row>
    <row r="468" spans="2:17" x14ac:dyDescent="0.25">
      <c r="Q468" s="166"/>
    </row>
    <row r="469" spans="2:17" ht="13" x14ac:dyDescent="0.25">
      <c r="B469" s="273" t="s">
        <v>139</v>
      </c>
      <c r="F469" s="810">
        <v>2017</v>
      </c>
      <c r="Q469" s="166"/>
    </row>
    <row r="470" spans="2:17" x14ac:dyDescent="0.25">
      <c r="L470" s="206"/>
      <c r="Q470" s="166"/>
    </row>
    <row r="471" spans="2:17" ht="82.5" customHeight="1" x14ac:dyDescent="0.25">
      <c r="B471" s="1078" t="s">
        <v>140</v>
      </c>
      <c r="C471" s="1079"/>
      <c r="D471" s="1079"/>
      <c r="E471" s="1080"/>
      <c r="F471" s="274"/>
      <c r="G471" s="165" t="str">
        <f>"Nog af te bouwen regulatoir saldo einde "&amp;F469-1</f>
        <v>Nog af te bouwen regulatoir saldo einde 2016</v>
      </c>
      <c r="H471" s="165" t="str">
        <f>"Afbouw oudste openstaande regulatoir saldo vanaf boekjaar "&amp;F469-3&amp;" en vroeger, door aanwending van compensatie met regulatoir saldo ontstaan over boekjaar "&amp;F469-2</f>
        <v>Afbouw oudste openstaande regulatoir saldo vanaf boekjaar 2014 en vroeger, door aanwending van compensatie met regulatoir saldo ontstaan over boekjaar 2015</v>
      </c>
      <c r="I471" s="165" t="str">
        <f>"Nog af te bouwen regulatoir saldo na compensatie einde "&amp;F469-1</f>
        <v>Nog af te bouwen regulatoir saldo na compensatie einde 2016</v>
      </c>
      <c r="J471" s="165" t="str">
        <f>"Aanwending van 60% van het geaccumuleerd regulatoir saldo door te rekenen volgens de tariefmethodologie in het boekjaar "&amp;F469</f>
        <v>Aanwending van 60% van het geaccumuleerd regulatoir saldo door te rekenen volgens de tariefmethodologie in het boekjaar 2017</v>
      </c>
      <c r="K471" s="165" t="str">
        <f>"Nog af te bouwen regulatoir saldo einde "&amp;F469</f>
        <v>Nog af te bouwen regulatoir saldo einde 2017</v>
      </c>
      <c r="L471" s="206"/>
      <c r="Q471" s="166"/>
    </row>
    <row r="472" spans="2:17" ht="13" x14ac:dyDescent="0.25">
      <c r="B472" s="1075">
        <v>2015</v>
      </c>
      <c r="C472" s="1076"/>
      <c r="D472" s="1076"/>
      <c r="E472" s="1077"/>
      <c r="F472" s="275"/>
      <c r="G472" s="176">
        <f>G198</f>
        <v>0</v>
      </c>
      <c r="H472" s="521">
        <v>0</v>
      </c>
      <c r="I472" s="176">
        <f>+G472+H472</f>
        <v>0</v>
      </c>
      <c r="J472" s="176">
        <f>-I472*0.6</f>
        <v>0</v>
      </c>
      <c r="K472" s="811">
        <f>+J472+G472</f>
        <v>0</v>
      </c>
      <c r="L472" s="206"/>
      <c r="Q472" s="166"/>
    </row>
    <row r="473" spans="2:17" x14ac:dyDescent="0.25">
      <c r="L473" s="206"/>
      <c r="Q473" s="166"/>
    </row>
    <row r="474" spans="2:17" ht="13" x14ac:dyDescent="0.25">
      <c r="B474" s="273" t="s">
        <v>139</v>
      </c>
      <c r="F474" s="810">
        <v>2018</v>
      </c>
      <c r="Q474" s="166"/>
    </row>
    <row r="475" spans="2:17" x14ac:dyDescent="0.25">
      <c r="Q475" s="166"/>
    </row>
    <row r="476" spans="2:17" ht="80.150000000000006" customHeight="1" x14ac:dyDescent="0.25">
      <c r="B476" s="1078" t="s">
        <v>140</v>
      </c>
      <c r="C476" s="1079"/>
      <c r="D476" s="1079"/>
      <c r="E476" s="1080"/>
      <c r="F476" s="274"/>
      <c r="G476" s="165" t="str">
        <f>"Nog af te bouwen regulatoir saldo einde "&amp;F474-1</f>
        <v>Nog af te bouwen regulatoir saldo einde 2017</v>
      </c>
      <c r="H476" s="165" t="str">
        <f>"Afbouw oudste openstaande regulatoir saldo vanaf boekjaar "&amp;F474-3&amp;" en vroeger, door aanwending van compensatie met regulatoir saldo ontstaan over boekjaar "&amp;F474-2</f>
        <v>Afbouw oudste openstaande regulatoir saldo vanaf boekjaar 2015 en vroeger, door aanwending van compensatie met regulatoir saldo ontstaan over boekjaar 2016</v>
      </c>
      <c r="I476" s="165" t="str">
        <f>"Nog af te bouwen regulatoir saldo na compensatie einde "&amp;F474-1</f>
        <v>Nog af te bouwen regulatoir saldo na compensatie einde 2017</v>
      </c>
      <c r="J476" s="165" t="str">
        <f>"60% van het geaccumuleerd regulatoir saldo door te rekenen volgens de tariefmethodologie in het boekjaar "&amp;F474</f>
        <v>60% van het geaccumuleerd regulatoir saldo door te rekenen volgens de tariefmethodologie in het boekjaar 2018</v>
      </c>
      <c r="K476" s="165" t="str">
        <f>"Aanwending van 60% van het geaccumuleerd regulatoir saldo door te rekenen volgens de tariefmethodologie in het boekjaar "&amp;F474</f>
        <v>Aanwending van 60% van het geaccumuleerd regulatoir saldo door te rekenen volgens de tariefmethodologie in het boekjaar 2018</v>
      </c>
      <c r="L476" s="165" t="str">
        <f>"Totale afbouw over "&amp;F474</f>
        <v>Totale afbouw over 2018</v>
      </c>
      <c r="M476" s="165" t="str">
        <f>"Nog af te bouwen regulatoir saldo einde "&amp;F474</f>
        <v>Nog af te bouwen regulatoir saldo einde 2018</v>
      </c>
      <c r="N476" s="206"/>
      <c r="Q476" s="166"/>
    </row>
    <row r="477" spans="2:17" ht="13" x14ac:dyDescent="0.25">
      <c r="B477" s="1075">
        <v>2015</v>
      </c>
      <c r="C477" s="1076"/>
      <c r="D477" s="1076"/>
      <c r="E477" s="1077"/>
      <c r="F477" s="275"/>
      <c r="G477" s="176">
        <f>K472</f>
        <v>0</v>
      </c>
      <c r="H477" s="521">
        <f>IF(SIGN(G478*K472)&lt;0,IF(G477&lt;&gt;0,-SIGN(G477)*MIN(ABS(G478),ABS(G477)),0),0)</f>
        <v>0</v>
      </c>
      <c r="I477" s="176">
        <f>+G477+H477</f>
        <v>0</v>
      </c>
      <c r="J477" s="806"/>
      <c r="K477" s="521">
        <f>-MIN(ABS(I477),ABS(J479))*SIGN(I477)</f>
        <v>0</v>
      </c>
      <c r="L477" s="813">
        <f>+K477+H477</f>
        <v>0</v>
      </c>
      <c r="M477" s="176">
        <f>+I477+K477</f>
        <v>0</v>
      </c>
      <c r="N477" s="206"/>
      <c r="Q477" s="166"/>
    </row>
    <row r="478" spans="2:17" ht="13" x14ac:dyDescent="0.25">
      <c r="B478" s="1075">
        <v>2016</v>
      </c>
      <c r="C478" s="1076"/>
      <c r="D478" s="1076"/>
      <c r="E478" s="1077"/>
      <c r="F478" s="275"/>
      <c r="G478" s="176">
        <f>H199</f>
        <v>0</v>
      </c>
      <c r="H478" s="813">
        <f>IF(SIGN(G478*K472)&lt;0,-H477,0)</f>
        <v>0</v>
      </c>
      <c r="I478" s="176">
        <f>+G478+H478</f>
        <v>0</v>
      </c>
      <c r="J478" s="806"/>
      <c r="K478" s="521">
        <f>-MIN(ABS(I478),ABS(J479-K477))*SIGN(I478)</f>
        <v>0</v>
      </c>
      <c r="L478" s="813">
        <f>+K478+H478</f>
        <v>0</v>
      </c>
      <c r="M478" s="176">
        <f>+I478+K478</f>
        <v>0</v>
      </c>
      <c r="N478" s="206"/>
      <c r="Q478" s="166"/>
    </row>
    <row r="479" spans="2:17" s="273" customFormat="1" ht="13" x14ac:dyDescent="0.25">
      <c r="G479" s="276">
        <f>SUM(G477:G478)</f>
        <v>0</v>
      </c>
      <c r="H479" s="168">
        <f>SUM(H477:H478)</f>
        <v>0</v>
      </c>
      <c r="I479" s="276">
        <f>SUM(I477:I478)</f>
        <v>0</v>
      </c>
      <c r="J479" s="276">
        <f>-I479*0.6</f>
        <v>0</v>
      </c>
      <c r="K479" s="168">
        <f>SUM(K477:K478)</f>
        <v>0</v>
      </c>
      <c r="L479" s="528"/>
      <c r="M479" s="276">
        <f>SUM(M477:M478)</f>
        <v>0</v>
      </c>
    </row>
    <row r="480" spans="2:17" x14ac:dyDescent="0.25">
      <c r="K480" s="214"/>
      <c r="L480" s="214"/>
      <c r="Q480" s="166"/>
    </row>
    <row r="481" spans="2:17" ht="13" x14ac:dyDescent="0.25">
      <c r="B481" s="273" t="s">
        <v>139</v>
      </c>
      <c r="F481" s="810">
        <v>2019</v>
      </c>
      <c r="Q481" s="166"/>
    </row>
    <row r="482" spans="2:17" x14ac:dyDescent="0.25">
      <c r="Q482" s="166"/>
    </row>
    <row r="483" spans="2:17" ht="80.150000000000006" customHeight="1" x14ac:dyDescent="0.25">
      <c r="B483" s="1078" t="s">
        <v>140</v>
      </c>
      <c r="C483" s="1079"/>
      <c r="D483" s="1079"/>
      <c r="E483" s="1080"/>
      <c r="F483" s="274"/>
      <c r="G483" s="165" t="str">
        <f>"Nog af te bouwen regulatoir saldo einde "&amp;F481-1</f>
        <v>Nog af te bouwen regulatoir saldo einde 2018</v>
      </c>
      <c r="H483" s="165" t="str">
        <f>"Afbouw oudste openstaande regulatoir saldo vanaf boekjaar "&amp;F481-3&amp;" en vroeger, door aanwending van compensatie met regulatoir saldo ontstaan over boekjaar "&amp;F481-2</f>
        <v>Afbouw oudste openstaande regulatoir saldo vanaf boekjaar 2016 en vroeger, door aanwending van compensatie met regulatoir saldo ontstaan over boekjaar 2017</v>
      </c>
      <c r="I483" s="165" t="str">
        <f>"Nog af te bouwen regulatoir saldo na compensatie einde "&amp;F481-1</f>
        <v>Nog af te bouwen regulatoir saldo na compensatie einde 2018</v>
      </c>
      <c r="J483" s="165" t="str">
        <f>"60% van het geaccumuleerd regulatoir saldo door te rekenen volgens de tariefmethodologie in het boekjaar "&amp;F481</f>
        <v>60% van het geaccumuleerd regulatoir saldo door te rekenen volgens de tariefmethodologie in het boekjaar 2019</v>
      </c>
      <c r="K483" s="165" t="str">
        <f>"Aanwending van het 60% van het geaccumuleerd regulatoir saldo door te rekenen volgens de tariefmethodologie in het boekjaar "&amp;F481</f>
        <v>Aanwending van het 60% van het geaccumuleerd regulatoir saldo door te rekenen volgens de tariefmethodologie in het boekjaar 2019</v>
      </c>
      <c r="L483" s="165" t="str">
        <f>"Totale afbouw over "&amp;F481</f>
        <v>Totale afbouw over 2019</v>
      </c>
      <c r="M483" s="165" t="str">
        <f>"Nog af te bouwen regulatoir saldo einde "&amp;F481</f>
        <v>Nog af te bouwen regulatoir saldo einde 2019</v>
      </c>
      <c r="N483" s="206"/>
      <c r="Q483" s="166"/>
    </row>
    <row r="484" spans="2:17" ht="13" x14ac:dyDescent="0.25">
      <c r="B484" s="1075">
        <v>2015</v>
      </c>
      <c r="C484" s="1076"/>
      <c r="D484" s="1076"/>
      <c r="E484" s="1077"/>
      <c r="F484" s="275"/>
      <c r="G484" s="176">
        <f>+M477</f>
        <v>0</v>
      </c>
      <c r="H484" s="813">
        <f>IF(SIGN(G486*M479)&lt;0,IF(G484&lt;&gt;0,-SIGN(G484)*MIN(ABS(G486),ABS(G484)),0),0)</f>
        <v>0</v>
      </c>
      <c r="I484" s="176">
        <f>+G484+H484</f>
        <v>0</v>
      </c>
      <c r="J484" s="806"/>
      <c r="K484" s="521">
        <f>-MIN(ABS(I484),ABS(J487))*SIGN(I484)</f>
        <v>0</v>
      </c>
      <c r="L484" s="813">
        <f>+K484+H484</f>
        <v>0</v>
      </c>
      <c r="M484" s="176">
        <f>+I484+K484</f>
        <v>0</v>
      </c>
      <c r="N484" s="206"/>
      <c r="Q484" s="166"/>
    </row>
    <row r="485" spans="2:17" ht="13" x14ac:dyDescent="0.25">
      <c r="B485" s="1075">
        <v>2016</v>
      </c>
      <c r="C485" s="1076"/>
      <c r="D485" s="1076">
        <v>2016</v>
      </c>
      <c r="E485" s="1077"/>
      <c r="F485" s="275"/>
      <c r="G485" s="176">
        <f>+M478</f>
        <v>0</v>
      </c>
      <c r="H485" s="813">
        <f>IF(SIGN(G486*M479)&lt;0,IF(G485&lt;&gt;0,-SIGN(G485)*MIN(ABS(G486-H484),ABS(G485)),0),0)</f>
        <v>0</v>
      </c>
      <c r="I485" s="176">
        <f>+G485+H485</f>
        <v>0</v>
      </c>
      <c r="J485" s="806"/>
      <c r="K485" s="521">
        <f>-MIN(ABS(I485),ABS(J487-K484))*SIGN(I485)</f>
        <v>0</v>
      </c>
      <c r="L485" s="813">
        <f>+K485+H485</f>
        <v>0</v>
      </c>
      <c r="M485" s="176">
        <f>+I485+K485</f>
        <v>0</v>
      </c>
      <c r="N485" s="206"/>
      <c r="Q485" s="166"/>
    </row>
    <row r="486" spans="2:17" ht="13" x14ac:dyDescent="0.25">
      <c r="B486" s="1075">
        <v>2017</v>
      </c>
      <c r="C486" s="1076"/>
      <c r="D486" s="1076"/>
      <c r="E486" s="1077"/>
      <c r="F486" s="275"/>
      <c r="G486" s="176">
        <f>I200</f>
        <v>0</v>
      </c>
      <c r="H486" s="813">
        <f>IF(SIGN(G486*M479)&lt;0,-SUM(H484:H485),0)</f>
        <v>0</v>
      </c>
      <c r="I486" s="176">
        <f>+G486+H486</f>
        <v>0</v>
      </c>
      <c r="J486" s="806"/>
      <c r="K486" s="521">
        <f>-MIN(ABS(I486),ABS(J487-K484-K485))*SIGN(I486)</f>
        <v>0</v>
      </c>
      <c r="L486" s="813">
        <f>+K486+H486</f>
        <v>0</v>
      </c>
      <c r="M486" s="176">
        <f>+I486+K486</f>
        <v>0</v>
      </c>
      <c r="N486" s="206"/>
      <c r="Q486" s="166"/>
    </row>
    <row r="487" spans="2:17" s="273" customFormat="1" ht="13" x14ac:dyDescent="0.25">
      <c r="G487" s="276">
        <f>SUM(G484:G486)</f>
        <v>0</v>
      </c>
      <c r="H487" s="168">
        <f>SUM(H484:H486)</f>
        <v>0</v>
      </c>
      <c r="I487" s="276">
        <f>SUM(I484:I486)</f>
        <v>0</v>
      </c>
      <c r="J487" s="276">
        <f>-I487*0.6</f>
        <v>0</v>
      </c>
      <c r="K487" s="168">
        <f>SUM(K484:K486)</f>
        <v>0</v>
      </c>
      <c r="L487" s="528"/>
      <c r="M487" s="276">
        <f>SUM(M484:M486)</f>
        <v>0</v>
      </c>
    </row>
    <row r="488" spans="2:17" x14ac:dyDescent="0.25">
      <c r="Q488" s="166"/>
    </row>
    <row r="489" spans="2:17" ht="13" x14ac:dyDescent="0.25">
      <c r="B489" s="273" t="s">
        <v>139</v>
      </c>
      <c r="F489" s="810">
        <v>2020</v>
      </c>
      <c r="Q489" s="166"/>
    </row>
    <row r="490" spans="2:17" x14ac:dyDescent="0.25">
      <c r="Q490" s="166"/>
    </row>
    <row r="491" spans="2:17" ht="80.150000000000006" customHeight="1" x14ac:dyDescent="0.25">
      <c r="B491" s="1078" t="s">
        <v>140</v>
      </c>
      <c r="C491" s="1079"/>
      <c r="D491" s="1079"/>
      <c r="E491" s="1080"/>
      <c r="F491" s="274"/>
      <c r="G491" s="165" t="str">
        <f>"Nog af te bouwen regulatoir saldo einde "&amp;F489-1</f>
        <v>Nog af te bouwen regulatoir saldo einde 2019</v>
      </c>
      <c r="H491" s="165" t="str">
        <f>"Afbouw oudste openstaande regulatoir saldo vanaf boekjaar "&amp;F489-3&amp;" en vroeger, door aanwending van compensatie met regulatoir saldo ontstaan over boekjaar "&amp;F489-2</f>
        <v>Afbouw oudste openstaande regulatoir saldo vanaf boekjaar 2017 en vroeger, door aanwending van compensatie met regulatoir saldo ontstaan over boekjaar 2018</v>
      </c>
      <c r="I491" s="165" t="str">
        <f>"Nog af te bouwen regulatoir saldo na compensatie einde "&amp;F489-1</f>
        <v>Nog af te bouwen regulatoir saldo na compensatie einde 2019</v>
      </c>
      <c r="J491" s="165" t="str">
        <f>"60% van het geaccumuleerd regulatoir saldo door te rekenen volgens de tariefmethodologie in het boekjaar "&amp;F489</f>
        <v>60% van het geaccumuleerd regulatoir saldo door te rekenen volgens de tariefmethodologie in het boekjaar 2020</v>
      </c>
      <c r="K491" s="165" t="str">
        <f>"Aanwending van het 60% van het geaccumuleerd regulatoir saldo door te rekenen volgens de tariefmethodologie in het boekjaar "&amp;F489</f>
        <v>Aanwending van het 60% van het geaccumuleerd regulatoir saldo door te rekenen volgens de tariefmethodologie in het boekjaar 2020</v>
      </c>
      <c r="L491" s="165" t="str">
        <f>"Totale afbouw over "&amp;F489</f>
        <v>Totale afbouw over 2020</v>
      </c>
      <c r="M491" s="165" t="str">
        <f>"Nog af te bouwen regulatoir saldo einde "&amp;F489</f>
        <v>Nog af te bouwen regulatoir saldo einde 2020</v>
      </c>
      <c r="N491" s="206"/>
      <c r="Q491" s="166"/>
    </row>
    <row r="492" spans="2:17" ht="13" x14ac:dyDescent="0.25">
      <c r="B492" s="1075">
        <v>2015</v>
      </c>
      <c r="C492" s="1076"/>
      <c r="D492" s="1076"/>
      <c r="E492" s="1077"/>
      <c r="F492" s="275"/>
      <c r="G492" s="176">
        <f>+M484</f>
        <v>0</v>
      </c>
      <c r="H492" s="813">
        <f>IF(SIGN(G495*M487)&lt;0,IF(G492&lt;&gt;0,-SIGN(G492)*MIN(ABS(G495),ABS(G492)),0),0)</f>
        <v>0</v>
      </c>
      <c r="I492" s="176">
        <f>+G492+H492</f>
        <v>0</v>
      </c>
      <c r="J492" s="806"/>
      <c r="K492" s="521">
        <f>-MIN(ABS(I492),ABS(J496))*SIGN(I492)</f>
        <v>0</v>
      </c>
      <c r="L492" s="813">
        <f>+K492+H492</f>
        <v>0</v>
      </c>
      <c r="M492" s="176">
        <f>+I492+K492</f>
        <v>0</v>
      </c>
      <c r="N492" s="206"/>
      <c r="Q492" s="166"/>
    </row>
    <row r="493" spans="2:17" ht="13" x14ac:dyDescent="0.25">
      <c r="B493" s="1075">
        <v>2016</v>
      </c>
      <c r="C493" s="1076"/>
      <c r="D493" s="1076"/>
      <c r="E493" s="1077"/>
      <c r="F493" s="275"/>
      <c r="G493" s="176">
        <f>+M485</f>
        <v>0</v>
      </c>
      <c r="H493" s="813">
        <f>IF(SIGN(G495*M487)&lt;0,IF(G493&lt;&gt;0,-SIGN(G493)*MIN(ABS(G495-H492),ABS(G493)),0),0)</f>
        <v>0</v>
      </c>
      <c r="I493" s="176">
        <f>+G493+H493</f>
        <v>0</v>
      </c>
      <c r="J493" s="806"/>
      <c r="K493" s="521">
        <f>-MIN(ABS(I493),ABS(J496-K492))*SIGN(I493)</f>
        <v>0</v>
      </c>
      <c r="L493" s="813">
        <f>+K493+H493</f>
        <v>0</v>
      </c>
      <c r="M493" s="176">
        <f>+I493+K493</f>
        <v>0</v>
      </c>
      <c r="N493" s="206"/>
      <c r="Q493" s="166"/>
    </row>
    <row r="494" spans="2:17" ht="13" x14ac:dyDescent="0.25">
      <c r="B494" s="1075">
        <v>2017</v>
      </c>
      <c r="C494" s="1076"/>
      <c r="D494" s="1076">
        <v>2016</v>
      </c>
      <c r="E494" s="1077"/>
      <c r="F494" s="275"/>
      <c r="G494" s="176">
        <f>+M486</f>
        <v>0</v>
      </c>
      <c r="H494" s="813">
        <f>IF(SIGN(G495*M487)&lt;0,IF(G494&lt;&gt;0,-SIGN(G494)*MIN(ABS(G495-H492-H493),ABS(G494)),0),0)</f>
        <v>0</v>
      </c>
      <c r="I494" s="176">
        <f>+G494+H494</f>
        <v>0</v>
      </c>
      <c r="J494" s="806"/>
      <c r="K494" s="521">
        <f>-MIN(ABS(I494),ABS(J496-K492-K493))*SIGN(I494)</f>
        <v>0</v>
      </c>
      <c r="L494" s="813">
        <f>+K494+H494</f>
        <v>0</v>
      </c>
      <c r="M494" s="176">
        <f>+I494+K494</f>
        <v>0</v>
      </c>
      <c r="N494" s="206"/>
      <c r="Q494" s="166"/>
    </row>
    <row r="495" spans="2:17" ht="13" x14ac:dyDescent="0.25">
      <c r="B495" s="1075">
        <v>2018</v>
      </c>
      <c r="C495" s="1076"/>
      <c r="D495" s="1076"/>
      <c r="E495" s="1077"/>
      <c r="F495" s="275"/>
      <c r="G495" s="176">
        <f>J201</f>
        <v>0</v>
      </c>
      <c r="H495" s="813">
        <f>IF(SIGN(G495*M487)&lt;0,-SUM(H492:H494),0)</f>
        <v>0</v>
      </c>
      <c r="I495" s="176">
        <f>+G495+H495</f>
        <v>0</v>
      </c>
      <c r="J495" s="806"/>
      <c r="K495" s="521">
        <f>-MIN(ABS(I495),ABS(J496-K492-K493-K494))*SIGN(I495)</f>
        <v>0</v>
      </c>
      <c r="L495" s="813">
        <f>+K495+H495</f>
        <v>0</v>
      </c>
      <c r="M495" s="176">
        <f>+I495+K495</f>
        <v>0</v>
      </c>
      <c r="N495" s="206"/>
      <c r="Q495" s="166"/>
    </row>
    <row r="496" spans="2:17" s="273" customFormat="1" ht="13" x14ac:dyDescent="0.25">
      <c r="G496" s="276">
        <f>SUM(G492:G495)</f>
        <v>0</v>
      </c>
      <c r="H496" s="168">
        <f>SUM(H492:H495)</f>
        <v>0</v>
      </c>
      <c r="I496" s="276">
        <f>SUM(I492:I495)</f>
        <v>0</v>
      </c>
      <c r="J496" s="276">
        <f>-I496*0.6</f>
        <v>0</v>
      </c>
      <c r="K496" s="168">
        <f>SUM(K492:K495)</f>
        <v>0</v>
      </c>
      <c r="L496" s="168"/>
      <c r="M496" s="276">
        <f>SUM(M492:M495)</f>
        <v>0</v>
      </c>
    </row>
    <row r="497" spans="2:17" x14ac:dyDescent="0.25">
      <c r="H497" s="214"/>
      <c r="Q497" s="166"/>
    </row>
    <row r="498" spans="2:17" ht="13" x14ac:dyDescent="0.25">
      <c r="B498" s="273" t="s">
        <v>139</v>
      </c>
      <c r="F498" s="810">
        <v>2021</v>
      </c>
      <c r="Q498" s="166"/>
    </row>
    <row r="499" spans="2:17" x14ac:dyDescent="0.25">
      <c r="Q499" s="166"/>
    </row>
    <row r="500" spans="2:17" ht="78" customHeight="1" x14ac:dyDescent="0.25">
      <c r="B500" s="1078" t="s">
        <v>140</v>
      </c>
      <c r="C500" s="1079"/>
      <c r="D500" s="1079"/>
      <c r="E500" s="1080"/>
      <c r="F500" s="274"/>
      <c r="G500" s="165" t="str">
        <f>"Nog af te bouwen regulatoir saldo einde "&amp;F498-1</f>
        <v>Nog af te bouwen regulatoir saldo einde 2020</v>
      </c>
      <c r="H500" s="165" t="str">
        <f>"50% van het oorspronkelijk regulatoir saldo door te rekenen volgens de tariefmethodologie in het boekjaar "&amp;F498</f>
        <v>50% van het oorspronkelijk regulatoir saldo door te rekenen volgens de tariefmethodologie in het boekjaar 2021</v>
      </c>
      <c r="I500" s="165" t="str">
        <f>"Nog af te bouwen regulatoir saldo einde "&amp;F498</f>
        <v>Nog af te bouwen regulatoir saldo einde 2021</v>
      </c>
      <c r="J500" s="206"/>
      <c r="Q500" s="166"/>
    </row>
    <row r="501" spans="2:17" ht="13" x14ac:dyDescent="0.25">
      <c r="B501" s="1075">
        <v>2015</v>
      </c>
      <c r="C501" s="1076"/>
      <c r="D501" s="1076"/>
      <c r="E501" s="1077"/>
      <c r="F501" s="275"/>
      <c r="G501" s="176">
        <f>M492</f>
        <v>0</v>
      </c>
      <c r="H501" s="176">
        <f>-G501*0.5</f>
        <v>0</v>
      </c>
      <c r="I501" s="176">
        <f>+G501+H501</f>
        <v>0</v>
      </c>
      <c r="J501" s="206"/>
      <c r="Q501" s="166"/>
    </row>
    <row r="502" spans="2:17" ht="13" x14ac:dyDescent="0.25">
      <c r="B502" s="1075">
        <v>2016</v>
      </c>
      <c r="C502" s="1076"/>
      <c r="D502" s="1076"/>
      <c r="E502" s="1077"/>
      <c r="F502" s="275"/>
      <c r="G502" s="176">
        <f t="shared" ref="G502:G504" si="81">M493</f>
        <v>0</v>
      </c>
      <c r="H502" s="176">
        <f t="shared" ref="H502:H505" si="82">-G502*0.5</f>
        <v>0</v>
      </c>
      <c r="I502" s="176">
        <f t="shared" ref="I502:I505" si="83">+G502+H502</f>
        <v>0</v>
      </c>
      <c r="J502" s="206"/>
      <c r="Q502" s="166"/>
    </row>
    <row r="503" spans="2:17" ht="13" x14ac:dyDescent="0.25">
      <c r="B503" s="1075">
        <v>2017</v>
      </c>
      <c r="C503" s="1076"/>
      <c r="D503" s="1076">
        <v>2016</v>
      </c>
      <c r="E503" s="1077"/>
      <c r="F503" s="275"/>
      <c r="G503" s="176">
        <f t="shared" si="81"/>
        <v>0</v>
      </c>
      <c r="H503" s="176">
        <f t="shared" si="82"/>
        <v>0</v>
      </c>
      <c r="I503" s="176">
        <f t="shared" si="83"/>
        <v>0</v>
      </c>
      <c r="J503" s="206"/>
      <c r="Q503" s="166"/>
    </row>
    <row r="504" spans="2:17" ht="13" x14ac:dyDescent="0.25">
      <c r="B504" s="1075">
        <v>2018</v>
      </c>
      <c r="C504" s="1076"/>
      <c r="D504" s="1076"/>
      <c r="E504" s="1077"/>
      <c r="F504" s="275"/>
      <c r="G504" s="176">
        <f t="shared" si="81"/>
        <v>0</v>
      </c>
      <c r="H504" s="176">
        <f t="shared" si="82"/>
        <v>0</v>
      </c>
      <c r="I504" s="176">
        <f t="shared" si="83"/>
        <v>0</v>
      </c>
      <c r="J504" s="206"/>
      <c r="Q504" s="166"/>
    </row>
    <row r="505" spans="2:17" ht="13" x14ac:dyDescent="0.25">
      <c r="B505" s="1075">
        <v>2019</v>
      </c>
      <c r="C505" s="1076"/>
      <c r="D505" s="1076"/>
      <c r="E505" s="1077"/>
      <c r="F505" s="275"/>
      <c r="G505" s="176">
        <f>K202</f>
        <v>0</v>
      </c>
      <c r="H505" s="176">
        <f t="shared" si="82"/>
        <v>0</v>
      </c>
      <c r="I505" s="176">
        <f t="shared" si="83"/>
        <v>0</v>
      </c>
      <c r="J505" s="206"/>
      <c r="Q505" s="166"/>
    </row>
    <row r="506" spans="2:17" s="273" customFormat="1" ht="13" x14ac:dyDescent="0.25">
      <c r="G506" s="276">
        <f>SUM(G501:G505)</f>
        <v>0</v>
      </c>
      <c r="H506" s="276">
        <f>SUM(H501:H505)</f>
        <v>0</v>
      </c>
      <c r="I506" s="276">
        <f>SUM(I501:I505)</f>
        <v>0</v>
      </c>
    </row>
    <row r="507" spans="2:17" x14ac:dyDescent="0.25">
      <c r="Q507" s="166"/>
    </row>
    <row r="508" spans="2:17" ht="13" x14ac:dyDescent="0.25">
      <c r="B508" s="273" t="s">
        <v>139</v>
      </c>
      <c r="F508" s="810">
        <v>2022</v>
      </c>
      <c r="Q508" s="166"/>
    </row>
    <row r="509" spans="2:17" x14ac:dyDescent="0.25">
      <c r="Q509" s="166"/>
    </row>
    <row r="510" spans="2:17" ht="78" customHeight="1" x14ac:dyDescent="0.25">
      <c r="B510" s="1078" t="s">
        <v>140</v>
      </c>
      <c r="C510" s="1079"/>
      <c r="D510" s="1079"/>
      <c r="E510" s="1080"/>
      <c r="F510" s="274"/>
      <c r="G510" s="165" t="str">
        <f>"Nog af te bouwen regulatoir saldo einde "&amp;F508-1</f>
        <v>Nog af te bouwen regulatoir saldo einde 2021</v>
      </c>
      <c r="H510" s="165" t="str">
        <f>"50% van het oorspronkelijk regulatoir saldo door te rekenen volgens de tariefmethodologie in het boekjaar "&amp;F508</f>
        <v>50% van het oorspronkelijk regulatoir saldo door te rekenen volgens de tariefmethodologie in het boekjaar 2022</v>
      </c>
      <c r="I510" s="165" t="str">
        <f>"Nog af te bouwen regulatoir saldo einde "&amp;F508</f>
        <v>Nog af te bouwen regulatoir saldo einde 2022</v>
      </c>
      <c r="J510" s="206"/>
      <c r="Q510" s="166"/>
    </row>
    <row r="511" spans="2:17" ht="13" x14ac:dyDescent="0.25">
      <c r="B511" s="1075">
        <v>2015</v>
      </c>
      <c r="C511" s="1076"/>
      <c r="D511" s="1076"/>
      <c r="E511" s="1077"/>
      <c r="F511" s="275"/>
      <c r="G511" s="176">
        <f>+I501</f>
        <v>0</v>
      </c>
      <c r="H511" s="176">
        <f>-G501*0.5</f>
        <v>0</v>
      </c>
      <c r="I511" s="176">
        <f>+G511+H511</f>
        <v>0</v>
      </c>
      <c r="J511" s="206"/>
      <c r="Q511" s="166"/>
    </row>
    <row r="512" spans="2:17" ht="13" x14ac:dyDescent="0.25">
      <c r="B512" s="1075">
        <v>2016</v>
      </c>
      <c r="C512" s="1076"/>
      <c r="D512" s="1076"/>
      <c r="E512" s="1077"/>
      <c r="F512" s="275"/>
      <c r="G512" s="176">
        <f t="shared" ref="G512:G515" si="84">+I502</f>
        <v>0</v>
      </c>
      <c r="H512" s="176">
        <f t="shared" ref="H512:H515" si="85">-G502*0.5</f>
        <v>0</v>
      </c>
      <c r="I512" s="176">
        <f t="shared" ref="I512:I516" si="86">+G512+H512</f>
        <v>0</v>
      </c>
      <c r="J512" s="206"/>
      <c r="Q512" s="166"/>
    </row>
    <row r="513" spans="2:17" ht="13" x14ac:dyDescent="0.25">
      <c r="B513" s="1075">
        <v>2017</v>
      </c>
      <c r="C513" s="1076"/>
      <c r="D513" s="1076">
        <v>2016</v>
      </c>
      <c r="E513" s="1077"/>
      <c r="F513" s="275"/>
      <c r="G513" s="176">
        <f t="shared" si="84"/>
        <v>0</v>
      </c>
      <c r="H513" s="176">
        <f t="shared" si="85"/>
        <v>0</v>
      </c>
      <c r="I513" s="176">
        <f t="shared" si="86"/>
        <v>0</v>
      </c>
      <c r="J513" s="206"/>
      <c r="Q513" s="166"/>
    </row>
    <row r="514" spans="2:17" ht="13" x14ac:dyDescent="0.25">
      <c r="B514" s="1075">
        <v>2018</v>
      </c>
      <c r="C514" s="1076"/>
      <c r="D514" s="1076"/>
      <c r="E514" s="1077"/>
      <c r="F514" s="275"/>
      <c r="G514" s="176">
        <f t="shared" si="84"/>
        <v>0</v>
      </c>
      <c r="H514" s="176">
        <f t="shared" si="85"/>
        <v>0</v>
      </c>
      <c r="I514" s="176">
        <f t="shared" si="86"/>
        <v>0</v>
      </c>
      <c r="J514" s="206"/>
      <c r="Q514" s="166"/>
    </row>
    <row r="515" spans="2:17" ht="13" x14ac:dyDescent="0.25">
      <c r="B515" s="1075">
        <v>2019</v>
      </c>
      <c r="C515" s="1076"/>
      <c r="D515" s="1076"/>
      <c r="E515" s="1077"/>
      <c r="F515" s="275"/>
      <c r="G515" s="176">
        <f t="shared" si="84"/>
        <v>0</v>
      </c>
      <c r="H515" s="176">
        <f t="shared" si="85"/>
        <v>0</v>
      </c>
      <c r="I515" s="176">
        <f t="shared" si="86"/>
        <v>0</v>
      </c>
      <c r="J515" s="206"/>
      <c r="Q515" s="166"/>
    </row>
    <row r="516" spans="2:17" ht="13" x14ac:dyDescent="0.25">
      <c r="B516" s="1075">
        <v>2020</v>
      </c>
      <c r="C516" s="1076"/>
      <c r="D516" s="1076"/>
      <c r="E516" s="1077"/>
      <c r="F516" s="275"/>
      <c r="G516" s="176">
        <f>L203</f>
        <v>0</v>
      </c>
      <c r="H516" s="176">
        <f t="shared" ref="H516" si="87">-G516*0.5</f>
        <v>0</v>
      </c>
      <c r="I516" s="176">
        <f t="shared" si="86"/>
        <v>0</v>
      </c>
      <c r="J516" s="206"/>
      <c r="Q516" s="166"/>
    </row>
    <row r="517" spans="2:17" s="273" customFormat="1" ht="13" x14ac:dyDescent="0.25">
      <c r="G517" s="276">
        <f>SUM(G511:G516)</f>
        <v>0</v>
      </c>
      <c r="H517" s="276">
        <f t="shared" ref="H517" si="88">SUM(H511:H516)</f>
        <v>0</v>
      </c>
      <c r="I517" s="276">
        <f t="shared" ref="I517" si="89">SUM(I511:I516)</f>
        <v>0</v>
      </c>
    </row>
    <row r="518" spans="2:17" x14ac:dyDescent="0.25">
      <c r="Q518" s="166"/>
    </row>
    <row r="519" spans="2:17" ht="13" x14ac:dyDescent="0.25">
      <c r="B519" s="273" t="s">
        <v>139</v>
      </c>
      <c r="F519" s="810">
        <v>2023</v>
      </c>
      <c r="Q519" s="166"/>
    </row>
    <row r="520" spans="2:17" x14ac:dyDescent="0.25">
      <c r="Q520" s="166"/>
    </row>
    <row r="521" spans="2:17" ht="78" customHeight="1" x14ac:dyDescent="0.25">
      <c r="B521" s="1078" t="s">
        <v>140</v>
      </c>
      <c r="C521" s="1079"/>
      <c r="D521" s="1079"/>
      <c r="E521" s="1080"/>
      <c r="F521" s="274"/>
      <c r="G521" s="165" t="str">
        <f>"Nog af te bouwen regulatoir saldo einde "&amp;F519-1</f>
        <v>Nog af te bouwen regulatoir saldo einde 2022</v>
      </c>
      <c r="H521" s="165" t="str">
        <f>"50% van het oorspronkelijk regulatoir saldo door te rekenen volgens de tariefmethodologie in het boekjaar "&amp;F519</f>
        <v>50% van het oorspronkelijk regulatoir saldo door te rekenen volgens de tariefmethodologie in het boekjaar 2023</v>
      </c>
      <c r="I521" s="165" t="str">
        <f>"Nog af te bouwen regulatoir saldo einde "&amp;F519</f>
        <v>Nog af te bouwen regulatoir saldo einde 2023</v>
      </c>
      <c r="J521" s="206"/>
      <c r="Q521" s="166"/>
    </row>
    <row r="522" spans="2:17" ht="13" x14ac:dyDescent="0.25">
      <c r="B522" s="1075">
        <v>2020</v>
      </c>
      <c r="C522" s="1076"/>
      <c r="D522" s="1076"/>
      <c r="E522" s="1077"/>
      <c r="F522" s="275"/>
      <c r="G522" s="176">
        <f>+I516</f>
        <v>0</v>
      </c>
      <c r="H522" s="176">
        <f>-G516*0.5</f>
        <v>0</v>
      </c>
      <c r="I522" s="176">
        <f t="shared" ref="I522" si="90">+G522+H522</f>
        <v>0</v>
      </c>
      <c r="J522" s="206"/>
      <c r="Q522" s="166"/>
    </row>
    <row r="523" spans="2:17" s="273" customFormat="1" ht="13" x14ac:dyDescent="0.25">
      <c r="G523" s="276">
        <f>SUM(G522:G522)</f>
        <v>0</v>
      </c>
      <c r="H523" s="276">
        <f>SUM(H522:H522)</f>
        <v>0</v>
      </c>
      <c r="I523" s="276">
        <f>SUM(I522:I522)</f>
        <v>0</v>
      </c>
    </row>
    <row r="524" spans="2:17" ht="13" x14ac:dyDescent="0.25">
      <c r="B524" s="273" t="s">
        <v>350</v>
      </c>
      <c r="C524" s="216"/>
      <c r="D524" s="216"/>
      <c r="E524" s="216"/>
      <c r="Q524" s="166"/>
    </row>
    <row r="525" spans="2:17" ht="13" x14ac:dyDescent="0.25">
      <c r="B525" s="273" t="s">
        <v>141</v>
      </c>
      <c r="C525" s="216"/>
      <c r="D525" s="216"/>
      <c r="E525" s="216"/>
      <c r="Q525" s="166"/>
    </row>
    <row r="526" spans="2:17" ht="13" x14ac:dyDescent="0.25">
      <c r="B526" s="273"/>
      <c r="C526" s="216"/>
      <c r="D526" s="216"/>
      <c r="E526" s="216"/>
      <c r="Q526" s="166"/>
    </row>
    <row r="527" spans="2:17" ht="13" x14ac:dyDescent="0.25">
      <c r="B527" s="275">
        <v>2021</v>
      </c>
      <c r="C527" s="279">
        <f>+H506</f>
        <v>0</v>
      </c>
      <c r="D527" s="216"/>
      <c r="E527" s="216"/>
      <c r="Q527" s="166"/>
    </row>
    <row r="528" spans="2:17" ht="13" x14ac:dyDescent="0.25">
      <c r="B528" s="275">
        <v>2022</v>
      </c>
      <c r="C528" s="279">
        <f>+H517</f>
        <v>0</v>
      </c>
      <c r="D528" s="216"/>
      <c r="E528" s="216"/>
      <c r="Q528" s="166"/>
    </row>
    <row r="529" spans="2:17" ht="13" x14ac:dyDescent="0.25">
      <c r="B529" s="275">
        <v>2023</v>
      </c>
      <c r="C529" s="279">
        <f>+H523</f>
        <v>0</v>
      </c>
      <c r="D529" s="216"/>
      <c r="E529" s="216"/>
      <c r="Q529" s="166"/>
    </row>
    <row r="530" spans="2:17" ht="13" x14ac:dyDescent="0.25">
      <c r="B530" s="336">
        <v>2024</v>
      </c>
      <c r="C530" s="337">
        <v>0</v>
      </c>
      <c r="D530" s="216"/>
      <c r="E530" s="216"/>
      <c r="Q530" s="166"/>
    </row>
    <row r="531" spans="2:17" x14ac:dyDescent="0.25">
      <c r="Q531" s="166"/>
    </row>
    <row r="532" spans="2:17" x14ac:dyDescent="0.25">
      <c r="Q532" s="166"/>
    </row>
    <row r="533" spans="2:17" ht="13" x14ac:dyDescent="0.25">
      <c r="B533" s="321" t="s">
        <v>169</v>
      </c>
      <c r="C533" s="322"/>
      <c r="D533" s="322"/>
      <c r="E533" s="322"/>
      <c r="F533" s="323"/>
      <c r="G533" s="323"/>
      <c r="H533" s="323"/>
      <c r="I533" s="323"/>
      <c r="J533" s="323"/>
      <c r="K533" s="323"/>
      <c r="L533" s="323"/>
      <c r="M533" s="323"/>
      <c r="Q533" s="166"/>
    </row>
    <row r="534" spans="2:17" x14ac:dyDescent="0.25">
      <c r="Q534" s="166"/>
    </row>
    <row r="535" spans="2:17" ht="13" x14ac:dyDescent="0.25">
      <c r="B535" s="273" t="s">
        <v>139</v>
      </c>
      <c r="F535" s="810">
        <v>2017</v>
      </c>
      <c r="Q535" s="166"/>
    </row>
    <row r="536" spans="2:17" x14ac:dyDescent="0.25">
      <c r="L536" s="206"/>
      <c r="Q536" s="166"/>
    </row>
    <row r="537" spans="2:17" ht="82.5" customHeight="1" x14ac:dyDescent="0.25">
      <c r="B537" s="1078" t="s">
        <v>140</v>
      </c>
      <c r="C537" s="1079"/>
      <c r="D537" s="1079"/>
      <c r="E537" s="1080"/>
      <c r="F537" s="274"/>
      <c r="G537" s="165" t="str">
        <f>"Nog af te bouwen regulatoir saldo einde "&amp;F535-1</f>
        <v>Nog af te bouwen regulatoir saldo einde 2016</v>
      </c>
      <c r="H537" s="165" t="str">
        <f>"Afbouw oudste openstaande regulatoir saldo vanaf boekjaar "&amp;F535-3&amp;" en vroeger, door aanwending van compensatie met regulatoir saldo ontstaan over boekjaar "&amp;F535-2</f>
        <v>Afbouw oudste openstaande regulatoir saldo vanaf boekjaar 2014 en vroeger, door aanwending van compensatie met regulatoir saldo ontstaan over boekjaar 2015</v>
      </c>
      <c r="I537" s="165" t="str">
        <f>"Nog af te bouwen regulatoir saldo na compensatie einde "&amp;F535-1</f>
        <v>Nog af te bouwen regulatoir saldo na compensatie einde 2016</v>
      </c>
      <c r="J537" s="165" t="str">
        <f>"Aanwending van 60% van het geaccumuleerd regulatoir saldo door te rekenen volgens de tariefmethodologie in het boekjaar "&amp;F535</f>
        <v>Aanwending van 60% van het geaccumuleerd regulatoir saldo door te rekenen volgens de tariefmethodologie in het boekjaar 2017</v>
      </c>
      <c r="K537" s="165" t="str">
        <f>"Nog af te bouwen regulatoir saldo einde "&amp;F535</f>
        <v>Nog af te bouwen regulatoir saldo einde 2017</v>
      </c>
      <c r="L537" s="206"/>
      <c r="Q537" s="166"/>
    </row>
    <row r="538" spans="2:17" ht="13" x14ac:dyDescent="0.25">
      <c r="B538" s="1075">
        <v>2015</v>
      </c>
      <c r="C538" s="1076"/>
      <c r="D538" s="1076"/>
      <c r="E538" s="1077"/>
      <c r="F538" s="275"/>
      <c r="G538" s="176">
        <f>G209</f>
        <v>0</v>
      </c>
      <c r="H538" s="521">
        <v>0</v>
      </c>
      <c r="I538" s="176">
        <f>+G538+H538</f>
        <v>0</v>
      </c>
      <c r="J538" s="176">
        <f>-I538*0.6</f>
        <v>0</v>
      </c>
      <c r="K538" s="811">
        <f>+J538+G538</f>
        <v>0</v>
      </c>
      <c r="L538" s="206"/>
      <c r="Q538" s="166"/>
    </row>
    <row r="539" spans="2:17" x14ac:dyDescent="0.25">
      <c r="L539" s="206"/>
      <c r="Q539" s="166"/>
    </row>
    <row r="540" spans="2:17" ht="13" x14ac:dyDescent="0.25">
      <c r="B540" s="273" t="s">
        <v>139</v>
      </c>
      <c r="F540" s="810">
        <v>2018</v>
      </c>
      <c r="Q540" s="166"/>
    </row>
    <row r="541" spans="2:17" x14ac:dyDescent="0.25">
      <c r="Q541" s="166"/>
    </row>
    <row r="542" spans="2:17" ht="80.150000000000006" customHeight="1" x14ac:dyDescent="0.25">
      <c r="B542" s="1078" t="s">
        <v>140</v>
      </c>
      <c r="C542" s="1079"/>
      <c r="D542" s="1079"/>
      <c r="E542" s="1080"/>
      <c r="F542" s="274"/>
      <c r="G542" s="165" t="str">
        <f>"Nog af te bouwen regulatoir saldo einde "&amp;F540-1</f>
        <v>Nog af te bouwen regulatoir saldo einde 2017</v>
      </c>
      <c r="H542" s="165" t="str">
        <f>"Afbouw oudste openstaande regulatoir saldo vanaf boekjaar "&amp;F540-3&amp;" en vroeger, door aanwending van compensatie met regulatoir saldo ontstaan over boekjaar "&amp;F540-2</f>
        <v>Afbouw oudste openstaande regulatoir saldo vanaf boekjaar 2015 en vroeger, door aanwending van compensatie met regulatoir saldo ontstaan over boekjaar 2016</v>
      </c>
      <c r="I542" s="165" t="str">
        <f>"Nog af te bouwen regulatoir saldo na compensatie einde "&amp;F540-1</f>
        <v>Nog af te bouwen regulatoir saldo na compensatie einde 2017</v>
      </c>
      <c r="J542" s="165" t="str">
        <f>"60% van het geaccumuleerd regulatoir saldo door te rekenen volgens de tariefmethodologie in het boekjaar "&amp;F540</f>
        <v>60% van het geaccumuleerd regulatoir saldo door te rekenen volgens de tariefmethodologie in het boekjaar 2018</v>
      </c>
      <c r="K542" s="165" t="str">
        <f>"Aanwending van 60% van het geaccumuleerd regulatoir saldo door te rekenen volgens de tariefmethodologie in het boekjaar "&amp;F540</f>
        <v>Aanwending van 60% van het geaccumuleerd regulatoir saldo door te rekenen volgens de tariefmethodologie in het boekjaar 2018</v>
      </c>
      <c r="L542" s="165" t="str">
        <f>"Totale afbouw over "&amp;F540</f>
        <v>Totale afbouw over 2018</v>
      </c>
      <c r="M542" s="165" t="str">
        <f>"Nog af te bouwen regulatoir saldo einde "&amp;F540</f>
        <v>Nog af te bouwen regulatoir saldo einde 2018</v>
      </c>
      <c r="N542" s="206"/>
      <c r="Q542" s="166"/>
    </row>
    <row r="543" spans="2:17" ht="13" x14ac:dyDescent="0.25">
      <c r="B543" s="1075">
        <v>2015</v>
      </c>
      <c r="C543" s="1076"/>
      <c r="D543" s="1076"/>
      <c r="E543" s="1077"/>
      <c r="F543" s="275"/>
      <c r="G543" s="176">
        <f>K538</f>
        <v>0</v>
      </c>
      <c r="H543" s="521">
        <f>IF(SIGN(G544*K538)&lt;0,IF(G543&lt;&gt;0,-SIGN(G543)*MIN(ABS(G544),ABS(G543)),0),0)</f>
        <v>0</v>
      </c>
      <c r="I543" s="176">
        <f>+G543+H543</f>
        <v>0</v>
      </c>
      <c r="J543" s="806"/>
      <c r="K543" s="521">
        <f>-MIN(ABS(I543),ABS(J545))*SIGN(I543)</f>
        <v>0</v>
      </c>
      <c r="L543" s="813">
        <f>+K543+H543</f>
        <v>0</v>
      </c>
      <c r="M543" s="176">
        <f>+I543+K543</f>
        <v>0</v>
      </c>
      <c r="N543" s="206"/>
      <c r="Q543" s="166"/>
    </row>
    <row r="544" spans="2:17" ht="13" x14ac:dyDescent="0.25">
      <c r="B544" s="1075">
        <v>2016</v>
      </c>
      <c r="C544" s="1076"/>
      <c r="D544" s="1076"/>
      <c r="E544" s="1077"/>
      <c r="F544" s="275"/>
      <c r="G544" s="176">
        <f>H210</f>
        <v>0</v>
      </c>
      <c r="H544" s="813">
        <f>IF(SIGN(G544*K538)&lt;0,-H543,0)</f>
        <v>0</v>
      </c>
      <c r="I544" s="176">
        <f>+G544+H544</f>
        <v>0</v>
      </c>
      <c r="J544" s="806"/>
      <c r="K544" s="521">
        <f>-MIN(ABS(I544),ABS(J545-K543))*SIGN(I544)</f>
        <v>0</v>
      </c>
      <c r="L544" s="813">
        <f>+K544+H544</f>
        <v>0</v>
      </c>
      <c r="M544" s="176">
        <f>+I544+K544</f>
        <v>0</v>
      </c>
      <c r="N544" s="206"/>
      <c r="Q544" s="166"/>
    </row>
    <row r="545" spans="2:17" s="273" customFormat="1" ht="13" x14ac:dyDescent="0.25">
      <c r="G545" s="276">
        <f>SUM(G543:G544)</f>
        <v>0</v>
      </c>
      <c r="H545" s="168">
        <f>SUM(H543:H544)</f>
        <v>0</v>
      </c>
      <c r="I545" s="276">
        <f>SUM(I543:I544)</f>
        <v>0</v>
      </c>
      <c r="J545" s="276">
        <f>-I545*0.6</f>
        <v>0</v>
      </c>
      <c r="K545" s="168">
        <f>SUM(K543:K544)</f>
        <v>0</v>
      </c>
      <c r="L545" s="528"/>
      <c r="M545" s="276">
        <f>SUM(M543:M544)</f>
        <v>0</v>
      </c>
    </row>
    <row r="546" spans="2:17" x14ac:dyDescent="0.25">
      <c r="H546" s="214"/>
      <c r="Q546" s="166"/>
    </row>
    <row r="547" spans="2:17" ht="13" x14ac:dyDescent="0.25">
      <c r="B547" s="273" t="s">
        <v>139</v>
      </c>
      <c r="F547" s="810">
        <v>2019</v>
      </c>
      <c r="Q547" s="166"/>
    </row>
    <row r="548" spans="2:17" x14ac:dyDescent="0.25">
      <c r="Q548" s="166"/>
    </row>
    <row r="549" spans="2:17" ht="80.150000000000006" customHeight="1" x14ac:dyDescent="0.25">
      <c r="B549" s="1078" t="s">
        <v>140</v>
      </c>
      <c r="C549" s="1079"/>
      <c r="D549" s="1079"/>
      <c r="E549" s="1080"/>
      <c r="F549" s="274"/>
      <c r="G549" s="165" t="str">
        <f>"Nog af te bouwen regulatoir saldo einde "&amp;F547-1</f>
        <v>Nog af te bouwen regulatoir saldo einde 2018</v>
      </c>
      <c r="H549" s="165" t="str">
        <f>"Afbouw oudste openstaande regulatoir saldo vanaf boekjaar "&amp;F547-3&amp;" en vroeger, door aanwending van compensatie met regulatoir saldo ontstaan over boekjaar "&amp;F547-2</f>
        <v>Afbouw oudste openstaande regulatoir saldo vanaf boekjaar 2016 en vroeger, door aanwending van compensatie met regulatoir saldo ontstaan over boekjaar 2017</v>
      </c>
      <c r="I549" s="165" t="str">
        <f>"Nog af te bouwen regulatoir saldo na compensatie einde "&amp;F547-1</f>
        <v>Nog af te bouwen regulatoir saldo na compensatie einde 2018</v>
      </c>
      <c r="J549" s="165" t="str">
        <f>"60% van het geaccumuleerd regulatoir saldo door te rekenen volgens de tariefmethodologie in het boekjaar "&amp;F547</f>
        <v>60% van het geaccumuleerd regulatoir saldo door te rekenen volgens de tariefmethodologie in het boekjaar 2019</v>
      </c>
      <c r="K549" s="165" t="str">
        <f>"Aanwending van het 60% van het geaccumuleerd regulatoir saldo door te rekenen volgens de tariefmethodologie in het boekjaar "&amp;F547</f>
        <v>Aanwending van het 60% van het geaccumuleerd regulatoir saldo door te rekenen volgens de tariefmethodologie in het boekjaar 2019</v>
      </c>
      <c r="L549" s="165" t="str">
        <f>"Totale afbouw over "&amp;F547</f>
        <v>Totale afbouw over 2019</v>
      </c>
      <c r="M549" s="165" t="str">
        <f>"Nog af te bouwen regulatoir saldo einde "&amp;F547</f>
        <v>Nog af te bouwen regulatoir saldo einde 2019</v>
      </c>
      <c r="N549" s="206"/>
      <c r="Q549" s="166"/>
    </row>
    <row r="550" spans="2:17" ht="13" x14ac:dyDescent="0.25">
      <c r="B550" s="1075">
        <v>2015</v>
      </c>
      <c r="C550" s="1076"/>
      <c r="D550" s="1076"/>
      <c r="E550" s="1077"/>
      <c r="F550" s="275"/>
      <c r="G550" s="176">
        <f>+M543</f>
        <v>0</v>
      </c>
      <c r="H550" s="813">
        <f>IF(SIGN(G552*M545)&lt;0,IF(G550&lt;&gt;0,-SIGN(G550)*MIN(ABS(G552),ABS(G550)),0),0)</f>
        <v>0</v>
      </c>
      <c r="I550" s="176">
        <f>+G550+H550</f>
        <v>0</v>
      </c>
      <c r="J550" s="806"/>
      <c r="K550" s="521">
        <f>-MIN(ABS(I550),ABS(J553))*SIGN(I550)</f>
        <v>0</v>
      </c>
      <c r="L550" s="813">
        <f>+K550+H550</f>
        <v>0</v>
      </c>
      <c r="M550" s="176">
        <f>+I550+K550</f>
        <v>0</v>
      </c>
      <c r="N550" s="206"/>
      <c r="Q550" s="166"/>
    </row>
    <row r="551" spans="2:17" ht="13" x14ac:dyDescent="0.25">
      <c r="B551" s="1075">
        <v>2016</v>
      </c>
      <c r="C551" s="1076"/>
      <c r="D551" s="1076">
        <v>2016</v>
      </c>
      <c r="E551" s="1077"/>
      <c r="F551" s="275"/>
      <c r="G551" s="176">
        <f>+M544</f>
        <v>0</v>
      </c>
      <c r="H551" s="813">
        <f>IF(SIGN(G552*M545)&lt;0,IF(G551&lt;&gt;0,-SIGN(G551)*MIN(ABS(G552-H550),ABS(G551)),0),0)</f>
        <v>0</v>
      </c>
      <c r="I551" s="176">
        <f>+G551+H551</f>
        <v>0</v>
      </c>
      <c r="J551" s="806"/>
      <c r="K551" s="521">
        <f>-MIN(ABS(I551),ABS(J553-K550))*SIGN(I551)</f>
        <v>0</v>
      </c>
      <c r="L551" s="813">
        <f>+K551+H551</f>
        <v>0</v>
      </c>
      <c r="M551" s="176">
        <f>+I551+K551</f>
        <v>0</v>
      </c>
      <c r="N551" s="206"/>
      <c r="Q551" s="166"/>
    </row>
    <row r="552" spans="2:17" ht="13" x14ac:dyDescent="0.25">
      <c r="B552" s="1075">
        <v>2017</v>
      </c>
      <c r="C552" s="1076"/>
      <c r="D552" s="1076"/>
      <c r="E552" s="1077"/>
      <c r="F552" s="275"/>
      <c r="G552" s="176">
        <f>I211</f>
        <v>0</v>
      </c>
      <c r="H552" s="813">
        <f>IF(SIGN(G552*M545)&lt;0,-SUM(H550:H551),0)</f>
        <v>0</v>
      </c>
      <c r="I552" s="176">
        <f>+G552+H552</f>
        <v>0</v>
      </c>
      <c r="J552" s="806"/>
      <c r="K552" s="521">
        <f>-MIN(ABS(I552),ABS(J553-K550-K551))*SIGN(I552)</f>
        <v>0</v>
      </c>
      <c r="L552" s="813">
        <f>+K552+H552</f>
        <v>0</v>
      </c>
      <c r="M552" s="176">
        <f>+I552+K552</f>
        <v>0</v>
      </c>
      <c r="N552" s="206"/>
      <c r="Q552" s="166"/>
    </row>
    <row r="553" spans="2:17" s="273" customFormat="1" ht="13" x14ac:dyDescent="0.25">
      <c r="G553" s="276">
        <f>SUM(G550:G552)</f>
        <v>0</v>
      </c>
      <c r="H553" s="168">
        <f>SUM(H550:H552)</f>
        <v>0</v>
      </c>
      <c r="I553" s="276">
        <f>SUM(I550:I552)</f>
        <v>0</v>
      </c>
      <c r="J553" s="276">
        <f>-I553*0.6</f>
        <v>0</v>
      </c>
      <c r="K553" s="168">
        <f>SUM(K550:K552)</f>
        <v>0</v>
      </c>
      <c r="L553" s="528"/>
      <c r="M553" s="276">
        <f>SUM(M550:M552)</f>
        <v>0</v>
      </c>
    </row>
    <row r="554" spans="2:17" x14ac:dyDescent="0.25">
      <c r="H554" s="214"/>
      <c r="Q554" s="166"/>
    </row>
    <row r="555" spans="2:17" ht="13" x14ac:dyDescent="0.25">
      <c r="B555" s="273" t="s">
        <v>139</v>
      </c>
      <c r="F555" s="810">
        <v>2020</v>
      </c>
      <c r="Q555" s="166"/>
    </row>
    <row r="556" spans="2:17" x14ac:dyDescent="0.25">
      <c r="Q556" s="166"/>
    </row>
    <row r="557" spans="2:17" ht="80.150000000000006" customHeight="1" x14ac:dyDescent="0.25">
      <c r="B557" s="1078" t="s">
        <v>140</v>
      </c>
      <c r="C557" s="1079"/>
      <c r="D557" s="1079"/>
      <c r="E557" s="1080"/>
      <c r="F557" s="274"/>
      <c r="G557" s="165" t="str">
        <f>"Nog af te bouwen regulatoir saldo einde "&amp;F555-1</f>
        <v>Nog af te bouwen regulatoir saldo einde 2019</v>
      </c>
      <c r="H557" s="165" t="str">
        <f>"Afbouw oudste openstaande regulatoir saldo vanaf boekjaar "&amp;F555-3&amp;" en vroeger, door aanwending van compensatie met regulatoir saldo ontstaan over boekjaar "&amp;F555-2</f>
        <v>Afbouw oudste openstaande regulatoir saldo vanaf boekjaar 2017 en vroeger, door aanwending van compensatie met regulatoir saldo ontstaan over boekjaar 2018</v>
      </c>
      <c r="I557" s="165" t="str">
        <f>"Nog af te bouwen regulatoir saldo na compensatie einde "&amp;F555-1</f>
        <v>Nog af te bouwen regulatoir saldo na compensatie einde 2019</v>
      </c>
      <c r="J557" s="165" t="str">
        <f>"60% van het geaccumuleerd regulatoir saldo door te rekenen volgens de tariefmethodologie in het boekjaar "&amp;F555</f>
        <v>60% van het geaccumuleerd regulatoir saldo door te rekenen volgens de tariefmethodologie in het boekjaar 2020</v>
      </c>
      <c r="K557" s="165" t="str">
        <f>"Aanwending van het 60% van het geaccumuleerd regulatoir saldo door te rekenen volgens de tariefmethodologie in het boekjaar "&amp;F555</f>
        <v>Aanwending van het 60% van het geaccumuleerd regulatoir saldo door te rekenen volgens de tariefmethodologie in het boekjaar 2020</v>
      </c>
      <c r="L557" s="165" t="str">
        <f>"Totale afbouw over "&amp;F555</f>
        <v>Totale afbouw over 2020</v>
      </c>
      <c r="M557" s="165" t="str">
        <f>"Nog af te bouwen regulatoir saldo einde "&amp;F555</f>
        <v>Nog af te bouwen regulatoir saldo einde 2020</v>
      </c>
      <c r="N557" s="206"/>
      <c r="Q557" s="166"/>
    </row>
    <row r="558" spans="2:17" ht="13" x14ac:dyDescent="0.25">
      <c r="B558" s="1075">
        <v>2015</v>
      </c>
      <c r="C558" s="1076"/>
      <c r="D558" s="1076"/>
      <c r="E558" s="1077"/>
      <c r="F558" s="275"/>
      <c r="G558" s="176">
        <f>+M550</f>
        <v>0</v>
      </c>
      <c r="H558" s="813">
        <f>IF(SIGN(G561*M553)&lt;0,IF(G558&lt;&gt;0,-SIGN(G558)*MIN(ABS(G561),ABS(G558)),0),0)</f>
        <v>0</v>
      </c>
      <c r="I558" s="176">
        <f>+G558+H558</f>
        <v>0</v>
      </c>
      <c r="J558" s="806"/>
      <c r="K558" s="521">
        <f>-MIN(ABS(I558),ABS(J562))*SIGN(I558)</f>
        <v>0</v>
      </c>
      <c r="L558" s="813">
        <f>+K558+H558</f>
        <v>0</v>
      </c>
      <c r="M558" s="176">
        <f>+I558+K558</f>
        <v>0</v>
      </c>
      <c r="N558" s="206"/>
      <c r="Q558" s="166"/>
    </row>
    <row r="559" spans="2:17" ht="13" x14ac:dyDescent="0.25">
      <c r="B559" s="1075">
        <v>2016</v>
      </c>
      <c r="C559" s="1076"/>
      <c r="D559" s="1076"/>
      <c r="E559" s="1077"/>
      <c r="F559" s="275"/>
      <c r="G559" s="176">
        <f>+M551</f>
        <v>0</v>
      </c>
      <c r="H559" s="813">
        <f>IF(SIGN(G561*M553)&lt;0,IF(G559&lt;&gt;0,-SIGN(G559)*MIN(ABS(G561-H558),ABS(G559)),0),0)</f>
        <v>0</v>
      </c>
      <c r="I559" s="176">
        <f>+G559+H559</f>
        <v>0</v>
      </c>
      <c r="J559" s="806"/>
      <c r="K559" s="521">
        <f>-MIN(ABS(I559),ABS(J562-K558))*SIGN(I559)</f>
        <v>0</v>
      </c>
      <c r="L559" s="813">
        <f>+K559+H559</f>
        <v>0</v>
      </c>
      <c r="M559" s="176">
        <f>+I559+K559</f>
        <v>0</v>
      </c>
      <c r="N559" s="206"/>
      <c r="Q559" s="166"/>
    </row>
    <row r="560" spans="2:17" ht="13" x14ac:dyDescent="0.25">
      <c r="B560" s="1075">
        <v>2017</v>
      </c>
      <c r="C560" s="1076"/>
      <c r="D560" s="1076">
        <v>2016</v>
      </c>
      <c r="E560" s="1077"/>
      <c r="F560" s="275"/>
      <c r="G560" s="176">
        <f>+M552</f>
        <v>0</v>
      </c>
      <c r="H560" s="813">
        <f>IF(SIGN(G561*M553)&lt;0,IF(G560&lt;&gt;0,-SIGN(G560)*MIN(ABS(G561-H558-H559),ABS(G560)),0),0)</f>
        <v>0</v>
      </c>
      <c r="I560" s="176">
        <f>+G560+H560</f>
        <v>0</v>
      </c>
      <c r="J560" s="806"/>
      <c r="K560" s="521">
        <f>-MIN(ABS(I560),ABS(J562-K558-K559))*SIGN(I560)</f>
        <v>0</v>
      </c>
      <c r="L560" s="813">
        <f>+K560+H560</f>
        <v>0</v>
      </c>
      <c r="M560" s="176">
        <f>+I560+K560</f>
        <v>0</v>
      </c>
      <c r="N560" s="206"/>
      <c r="Q560" s="166"/>
    </row>
    <row r="561" spans="2:17" ht="13" x14ac:dyDescent="0.25">
      <c r="B561" s="1075">
        <v>2018</v>
      </c>
      <c r="C561" s="1076"/>
      <c r="D561" s="1076"/>
      <c r="E561" s="1077"/>
      <c r="F561" s="275"/>
      <c r="G561" s="176">
        <f>J212</f>
        <v>0</v>
      </c>
      <c r="H561" s="813">
        <f>IF(SIGN(G561*M553)&lt;0,-SUM(H558:H560),0)</f>
        <v>0</v>
      </c>
      <c r="I561" s="176">
        <f>+G561+H561</f>
        <v>0</v>
      </c>
      <c r="J561" s="806"/>
      <c r="K561" s="521">
        <f>-MIN(ABS(I561),ABS(J562-K558-K559-K560))*SIGN(I561)</f>
        <v>0</v>
      </c>
      <c r="L561" s="813">
        <f>+K561+H561</f>
        <v>0</v>
      </c>
      <c r="M561" s="176">
        <f>+I561+K561</f>
        <v>0</v>
      </c>
      <c r="N561" s="206"/>
      <c r="Q561" s="166"/>
    </row>
    <row r="562" spans="2:17" s="273" customFormat="1" ht="13" x14ac:dyDescent="0.25">
      <c r="G562" s="276">
        <f>SUM(G558:G561)</f>
        <v>0</v>
      </c>
      <c r="H562" s="168">
        <f>SUM(H558:H561)</f>
        <v>0</v>
      </c>
      <c r="I562" s="276">
        <f>SUM(I558:I561)</f>
        <v>0</v>
      </c>
      <c r="J562" s="276">
        <f>-I562*0.6</f>
        <v>0</v>
      </c>
      <c r="K562" s="168">
        <f>SUM(K558:K561)</f>
        <v>0</v>
      </c>
      <c r="L562" s="168"/>
      <c r="M562" s="276">
        <f>SUM(M558:M561)</f>
        <v>0</v>
      </c>
    </row>
    <row r="563" spans="2:17" x14ac:dyDescent="0.25">
      <c r="Q563" s="166"/>
    </row>
    <row r="564" spans="2:17" ht="13" x14ac:dyDescent="0.25">
      <c r="B564" s="273" t="s">
        <v>139</v>
      </c>
      <c r="F564" s="810">
        <v>2021</v>
      </c>
      <c r="Q564" s="166"/>
    </row>
    <row r="565" spans="2:17" x14ac:dyDescent="0.25">
      <c r="Q565" s="166"/>
    </row>
    <row r="566" spans="2:17" ht="78" customHeight="1" x14ac:dyDescent="0.25">
      <c r="B566" s="1078" t="s">
        <v>140</v>
      </c>
      <c r="C566" s="1079"/>
      <c r="D566" s="1079"/>
      <c r="E566" s="1080"/>
      <c r="F566" s="274"/>
      <c r="G566" s="165" t="str">
        <f>"Nog af te bouwen regulatoir saldo einde "&amp;F564-1</f>
        <v>Nog af te bouwen regulatoir saldo einde 2020</v>
      </c>
      <c r="H566" s="165" t="str">
        <f>"50% van het oorspronkelijk regulatoir saldo door te rekenen volgens de tariefmethodologie in het boekjaar "&amp;F564</f>
        <v>50% van het oorspronkelijk regulatoir saldo door te rekenen volgens de tariefmethodologie in het boekjaar 2021</v>
      </c>
      <c r="I566" s="165" t="str">
        <f>"Nog af te bouwen regulatoir saldo einde "&amp;F564</f>
        <v>Nog af te bouwen regulatoir saldo einde 2021</v>
      </c>
      <c r="J566" s="206"/>
      <c r="Q566" s="166"/>
    </row>
    <row r="567" spans="2:17" ht="13" x14ac:dyDescent="0.25">
      <c r="B567" s="1075">
        <v>2015</v>
      </c>
      <c r="C567" s="1076"/>
      <c r="D567" s="1076"/>
      <c r="E567" s="1077"/>
      <c r="F567" s="275"/>
      <c r="G567" s="176">
        <f>M558</f>
        <v>0</v>
      </c>
      <c r="H567" s="176">
        <f>-G567*0.5</f>
        <v>0</v>
      </c>
      <c r="I567" s="176">
        <f>+G567+H567</f>
        <v>0</v>
      </c>
      <c r="J567" s="206"/>
      <c r="Q567" s="166"/>
    </row>
    <row r="568" spans="2:17" ht="13" x14ac:dyDescent="0.25">
      <c r="B568" s="1075">
        <v>2016</v>
      </c>
      <c r="C568" s="1076"/>
      <c r="D568" s="1076"/>
      <c r="E568" s="1077"/>
      <c r="F568" s="275"/>
      <c r="G568" s="176">
        <f t="shared" ref="G568:G570" si="91">M559</f>
        <v>0</v>
      </c>
      <c r="H568" s="176">
        <f t="shared" ref="H568:H571" si="92">-G568*0.5</f>
        <v>0</v>
      </c>
      <c r="I568" s="176">
        <f t="shared" ref="I568:I571" si="93">+G568+H568</f>
        <v>0</v>
      </c>
      <c r="J568" s="206"/>
      <c r="Q568" s="166"/>
    </row>
    <row r="569" spans="2:17" ht="13" x14ac:dyDescent="0.25">
      <c r="B569" s="1075">
        <v>2017</v>
      </c>
      <c r="C569" s="1076"/>
      <c r="D569" s="1076">
        <v>2016</v>
      </c>
      <c r="E569" s="1077"/>
      <c r="F569" s="275"/>
      <c r="G569" s="176">
        <f t="shared" si="91"/>
        <v>0</v>
      </c>
      <c r="H569" s="176">
        <f t="shared" si="92"/>
        <v>0</v>
      </c>
      <c r="I569" s="176">
        <f t="shared" si="93"/>
        <v>0</v>
      </c>
      <c r="J569" s="206"/>
      <c r="Q569" s="166"/>
    </row>
    <row r="570" spans="2:17" ht="13" x14ac:dyDescent="0.25">
      <c r="B570" s="1075">
        <v>2018</v>
      </c>
      <c r="C570" s="1076"/>
      <c r="D570" s="1076"/>
      <c r="E570" s="1077"/>
      <c r="F570" s="275"/>
      <c r="G570" s="176">
        <f t="shared" si="91"/>
        <v>0</v>
      </c>
      <c r="H570" s="176">
        <f t="shared" si="92"/>
        <v>0</v>
      </c>
      <c r="I570" s="176">
        <f t="shared" si="93"/>
        <v>0</v>
      </c>
      <c r="J570" s="206"/>
      <c r="Q570" s="166"/>
    </row>
    <row r="571" spans="2:17" ht="13" x14ac:dyDescent="0.25">
      <c r="B571" s="1075">
        <v>2019</v>
      </c>
      <c r="C571" s="1076"/>
      <c r="D571" s="1076"/>
      <c r="E571" s="1077"/>
      <c r="F571" s="275"/>
      <c r="G571" s="176">
        <f>K213</f>
        <v>0</v>
      </c>
      <c r="H571" s="176">
        <f t="shared" si="92"/>
        <v>0</v>
      </c>
      <c r="I571" s="176">
        <f t="shared" si="93"/>
        <v>0</v>
      </c>
      <c r="J571" s="206"/>
      <c r="Q571" s="166"/>
    </row>
    <row r="572" spans="2:17" s="273" customFormat="1" ht="13" x14ac:dyDescent="0.25">
      <c r="G572" s="276">
        <f>SUM(G567:G571)</f>
        <v>0</v>
      </c>
      <c r="H572" s="276">
        <f>SUM(H567:H571)</f>
        <v>0</v>
      </c>
      <c r="I572" s="276">
        <f>SUM(I567:I571)</f>
        <v>0</v>
      </c>
    </row>
    <row r="573" spans="2:17" x14ac:dyDescent="0.25">
      <c r="Q573" s="166"/>
    </row>
    <row r="574" spans="2:17" ht="13" x14ac:dyDescent="0.25">
      <c r="B574" s="273" t="s">
        <v>139</v>
      </c>
      <c r="F574" s="810">
        <v>2022</v>
      </c>
      <c r="Q574" s="166"/>
    </row>
    <row r="575" spans="2:17" x14ac:dyDescent="0.25">
      <c r="Q575" s="166"/>
    </row>
    <row r="576" spans="2:17" ht="78" customHeight="1" x14ac:dyDescent="0.25">
      <c r="B576" s="1078" t="s">
        <v>140</v>
      </c>
      <c r="C576" s="1079"/>
      <c r="D576" s="1079"/>
      <c r="E576" s="1080"/>
      <c r="F576" s="274"/>
      <c r="G576" s="165" t="str">
        <f>"Nog af te bouwen regulatoir saldo einde "&amp;F574-1</f>
        <v>Nog af te bouwen regulatoir saldo einde 2021</v>
      </c>
      <c r="H576" s="165" t="str">
        <f>"50% van het oorspronkelijk regulatoir saldo door te rekenen volgens de tariefmethodologie in het boekjaar "&amp;F574</f>
        <v>50% van het oorspronkelijk regulatoir saldo door te rekenen volgens de tariefmethodologie in het boekjaar 2022</v>
      </c>
      <c r="I576" s="165" t="str">
        <f>"Nog af te bouwen regulatoir saldo einde "&amp;F574</f>
        <v>Nog af te bouwen regulatoir saldo einde 2022</v>
      </c>
      <c r="J576" s="206"/>
      <c r="Q576" s="166"/>
    </row>
    <row r="577" spans="2:17" ht="13" x14ac:dyDescent="0.25">
      <c r="B577" s="1075">
        <v>2015</v>
      </c>
      <c r="C577" s="1076"/>
      <c r="D577" s="1076"/>
      <c r="E577" s="1077"/>
      <c r="F577" s="275"/>
      <c r="G577" s="176">
        <f>+I567</f>
        <v>0</v>
      </c>
      <c r="H577" s="176">
        <f>-G567*0.5</f>
        <v>0</v>
      </c>
      <c r="I577" s="176">
        <f>+G577+H577</f>
        <v>0</v>
      </c>
      <c r="J577" s="206"/>
      <c r="Q577" s="166"/>
    </row>
    <row r="578" spans="2:17" ht="13" x14ac:dyDescent="0.25">
      <c r="B578" s="1075">
        <v>2016</v>
      </c>
      <c r="C578" s="1076"/>
      <c r="D578" s="1076"/>
      <c r="E578" s="1077"/>
      <c r="F578" s="275"/>
      <c r="G578" s="176">
        <f t="shared" ref="G578:G581" si="94">+I568</f>
        <v>0</v>
      </c>
      <c r="H578" s="176">
        <f t="shared" ref="H578:H581" si="95">-G568*0.5</f>
        <v>0</v>
      </c>
      <c r="I578" s="176">
        <f t="shared" ref="I578:I582" si="96">+G578+H578</f>
        <v>0</v>
      </c>
      <c r="J578" s="206"/>
      <c r="Q578" s="166"/>
    </row>
    <row r="579" spans="2:17" ht="13" x14ac:dyDescent="0.25">
      <c r="B579" s="1075">
        <v>2017</v>
      </c>
      <c r="C579" s="1076"/>
      <c r="D579" s="1076">
        <v>2016</v>
      </c>
      <c r="E579" s="1077"/>
      <c r="F579" s="275"/>
      <c r="G579" s="176">
        <f t="shared" si="94"/>
        <v>0</v>
      </c>
      <c r="H579" s="176">
        <f t="shared" si="95"/>
        <v>0</v>
      </c>
      <c r="I579" s="176">
        <f t="shared" si="96"/>
        <v>0</v>
      </c>
      <c r="J579" s="206"/>
      <c r="Q579" s="166"/>
    </row>
    <row r="580" spans="2:17" ht="13" x14ac:dyDescent="0.25">
      <c r="B580" s="1075">
        <v>2018</v>
      </c>
      <c r="C580" s="1076"/>
      <c r="D580" s="1076"/>
      <c r="E580" s="1077"/>
      <c r="F580" s="275"/>
      <c r="G580" s="176">
        <f t="shared" si="94"/>
        <v>0</v>
      </c>
      <c r="H580" s="176">
        <f t="shared" si="95"/>
        <v>0</v>
      </c>
      <c r="I580" s="176">
        <f t="shared" si="96"/>
        <v>0</v>
      </c>
      <c r="J580" s="206"/>
      <c r="Q580" s="166"/>
    </row>
    <row r="581" spans="2:17" ht="13" x14ac:dyDescent="0.25">
      <c r="B581" s="1075">
        <v>2019</v>
      </c>
      <c r="C581" s="1076"/>
      <c r="D581" s="1076"/>
      <c r="E581" s="1077"/>
      <c r="F581" s="275"/>
      <c r="G581" s="176">
        <f t="shared" si="94"/>
        <v>0</v>
      </c>
      <c r="H581" s="176">
        <f t="shared" si="95"/>
        <v>0</v>
      </c>
      <c r="I581" s="176">
        <f t="shared" si="96"/>
        <v>0</v>
      </c>
      <c r="J581" s="206"/>
      <c r="Q581" s="166"/>
    </row>
    <row r="582" spans="2:17" ht="13" x14ac:dyDescent="0.25">
      <c r="B582" s="1075">
        <v>2020</v>
      </c>
      <c r="C582" s="1076"/>
      <c r="D582" s="1076"/>
      <c r="E582" s="1077"/>
      <c r="F582" s="275"/>
      <c r="G582" s="176">
        <f>L214</f>
        <v>0</v>
      </c>
      <c r="H582" s="176">
        <f t="shared" ref="H582" si="97">-G582*0.5</f>
        <v>0</v>
      </c>
      <c r="I582" s="176">
        <f t="shared" si="96"/>
        <v>0</v>
      </c>
      <c r="J582" s="206"/>
      <c r="Q582" s="166"/>
    </row>
    <row r="583" spans="2:17" s="273" customFormat="1" ht="13" x14ac:dyDescent="0.25">
      <c r="G583" s="276">
        <f>SUM(G577:G582)</f>
        <v>0</v>
      </c>
      <c r="H583" s="276">
        <f t="shared" ref="H583" si="98">SUM(H577:H582)</f>
        <v>0</v>
      </c>
      <c r="I583" s="276">
        <f t="shared" ref="I583" si="99">SUM(I577:I582)</f>
        <v>0</v>
      </c>
    </row>
    <row r="584" spans="2:17" x14ac:dyDescent="0.25">
      <c r="Q584" s="166"/>
    </row>
    <row r="585" spans="2:17" ht="13" x14ac:dyDescent="0.25">
      <c r="B585" s="273" t="s">
        <v>139</v>
      </c>
      <c r="F585" s="810">
        <v>2023</v>
      </c>
      <c r="Q585" s="166"/>
    </row>
    <row r="586" spans="2:17" x14ac:dyDescent="0.25">
      <c r="Q586" s="166"/>
    </row>
    <row r="587" spans="2:17" ht="78" customHeight="1" x14ac:dyDescent="0.25">
      <c r="B587" s="1078" t="s">
        <v>140</v>
      </c>
      <c r="C587" s="1079"/>
      <c r="D587" s="1079"/>
      <c r="E587" s="1080"/>
      <c r="F587" s="274"/>
      <c r="G587" s="165" t="str">
        <f>"Nog af te bouwen regulatoir saldo einde "&amp;F585-1</f>
        <v>Nog af te bouwen regulatoir saldo einde 2022</v>
      </c>
      <c r="H587" s="165" t="str">
        <f>"50% van het oorspronkelijk regulatoir saldo door te rekenen volgens de tariefmethodologie in het boekjaar "&amp;F585</f>
        <v>50% van het oorspronkelijk regulatoir saldo door te rekenen volgens de tariefmethodologie in het boekjaar 2023</v>
      </c>
      <c r="I587" s="165" t="str">
        <f>"Nog af te bouwen regulatoir saldo einde "&amp;F585</f>
        <v>Nog af te bouwen regulatoir saldo einde 2023</v>
      </c>
      <c r="J587" s="206"/>
      <c r="Q587" s="166"/>
    </row>
    <row r="588" spans="2:17" ht="13" x14ac:dyDescent="0.25">
      <c r="B588" s="1075">
        <v>2020</v>
      </c>
      <c r="C588" s="1076"/>
      <c r="D588" s="1076"/>
      <c r="E588" s="1077"/>
      <c r="F588" s="275"/>
      <c r="G588" s="176">
        <f>+I582</f>
        <v>0</v>
      </c>
      <c r="H588" s="176">
        <f>-G582*0.5</f>
        <v>0</v>
      </c>
      <c r="I588" s="176">
        <f t="shared" ref="I588" si="100">+G588+H588</f>
        <v>0</v>
      </c>
      <c r="J588" s="206"/>
      <c r="Q588" s="166"/>
    </row>
    <row r="589" spans="2:17" s="273" customFormat="1" ht="13" x14ac:dyDescent="0.25">
      <c r="G589" s="276">
        <f>SUM(G588:G588)</f>
        <v>0</v>
      </c>
      <c r="H589" s="276">
        <f>SUM(H588:H588)</f>
        <v>0</v>
      </c>
      <c r="I589" s="276">
        <f>SUM(I588:I588)</f>
        <v>0</v>
      </c>
    </row>
    <row r="590" spans="2:17" x14ac:dyDescent="0.25">
      <c r="Q590" s="166"/>
    </row>
    <row r="591" spans="2:17" ht="13" x14ac:dyDescent="0.25">
      <c r="B591" s="273" t="s">
        <v>169</v>
      </c>
      <c r="Q591" s="166"/>
    </row>
    <row r="592" spans="2:17" ht="13" x14ac:dyDescent="0.25">
      <c r="B592" s="273" t="s">
        <v>141</v>
      </c>
      <c r="C592" s="216"/>
      <c r="D592" s="216"/>
      <c r="E592" s="216"/>
      <c r="Q592" s="166"/>
    </row>
    <row r="593" spans="2:17" ht="13" x14ac:dyDescent="0.25">
      <c r="B593" s="273"/>
      <c r="C593" s="216"/>
      <c r="D593" s="216"/>
      <c r="E593" s="216"/>
      <c r="Q593" s="166"/>
    </row>
    <row r="594" spans="2:17" ht="13" x14ac:dyDescent="0.25">
      <c r="B594" s="275">
        <v>2021</v>
      </c>
      <c r="C594" s="279">
        <f>+H572</f>
        <v>0</v>
      </c>
      <c r="D594" s="216"/>
      <c r="E594" s="216"/>
      <c r="Q594" s="166"/>
    </row>
    <row r="595" spans="2:17" ht="13" x14ac:dyDescent="0.25">
      <c r="B595" s="275">
        <v>2022</v>
      </c>
      <c r="C595" s="279">
        <f>+H583</f>
        <v>0</v>
      </c>
      <c r="D595" s="216"/>
      <c r="E595" s="216"/>
      <c r="Q595" s="166"/>
    </row>
    <row r="596" spans="2:17" ht="13" x14ac:dyDescent="0.25">
      <c r="B596" s="275">
        <v>2023</v>
      </c>
      <c r="C596" s="279">
        <f>+H589</f>
        <v>0</v>
      </c>
      <c r="D596" s="216"/>
      <c r="E596" s="216"/>
      <c r="Q596" s="166"/>
    </row>
    <row r="597" spans="2:17" ht="13" x14ac:dyDescent="0.25">
      <c r="B597" s="336">
        <v>2024</v>
      </c>
      <c r="C597" s="337">
        <v>0</v>
      </c>
      <c r="D597" s="216"/>
      <c r="E597" s="216"/>
      <c r="Q597" s="166"/>
    </row>
    <row r="598" spans="2:17" x14ac:dyDescent="0.25">
      <c r="Q598" s="166"/>
    </row>
    <row r="599" spans="2:17" x14ac:dyDescent="0.25">
      <c r="Q599" s="166"/>
    </row>
    <row r="600" spans="2:17" ht="13" x14ac:dyDescent="0.25">
      <c r="B600" s="321" t="s">
        <v>67</v>
      </c>
      <c r="C600" s="322"/>
      <c r="D600" s="322"/>
      <c r="E600" s="322"/>
      <c r="F600" s="323"/>
      <c r="G600" s="323"/>
      <c r="H600" s="323"/>
      <c r="I600" s="323"/>
      <c r="J600" s="323"/>
      <c r="K600" s="323"/>
      <c r="L600" s="323"/>
      <c r="M600" s="323"/>
      <c r="Q600" s="166"/>
    </row>
    <row r="601" spans="2:17" x14ac:dyDescent="0.25">
      <c r="Q601" s="166"/>
    </row>
    <row r="602" spans="2:17" ht="13" x14ac:dyDescent="0.25">
      <c r="B602" s="273" t="s">
        <v>139</v>
      </c>
      <c r="F602" s="810">
        <v>2017</v>
      </c>
      <c r="Q602" s="166"/>
    </row>
    <row r="603" spans="2:17" x14ac:dyDescent="0.25">
      <c r="L603" s="206"/>
      <c r="Q603" s="166"/>
    </row>
    <row r="604" spans="2:17" ht="82.5" customHeight="1" x14ac:dyDescent="0.25">
      <c r="B604" s="1078" t="s">
        <v>140</v>
      </c>
      <c r="C604" s="1079"/>
      <c r="D604" s="1079"/>
      <c r="E604" s="1080"/>
      <c r="F604" s="274"/>
      <c r="G604" s="165" t="str">
        <f>"Nog af te bouwen regulatoir saldo einde "&amp;F602-1</f>
        <v>Nog af te bouwen regulatoir saldo einde 2016</v>
      </c>
      <c r="H604" s="165" t="str">
        <f>"Afbouw oudste openstaande regulatoir saldo vanaf boekjaar "&amp;F602-3&amp;" en vroeger, door aanwending van compensatie met regulatoir saldo ontstaan over boekjaar "&amp;F602-2</f>
        <v>Afbouw oudste openstaande regulatoir saldo vanaf boekjaar 2014 en vroeger, door aanwending van compensatie met regulatoir saldo ontstaan over boekjaar 2015</v>
      </c>
      <c r="I604" s="165" t="str">
        <f>"Nog af te bouwen regulatoir saldo na compensatie einde "&amp;F602-1</f>
        <v>Nog af te bouwen regulatoir saldo na compensatie einde 2016</v>
      </c>
      <c r="J604" s="165" t="str">
        <f>"Aanwending van 60% van het geaccumuleerd regulatoir saldo door te rekenen volgens de tariefmethodologie in het boekjaar "&amp;F602</f>
        <v>Aanwending van 60% van het geaccumuleerd regulatoir saldo door te rekenen volgens de tariefmethodologie in het boekjaar 2017</v>
      </c>
      <c r="K604" s="165" t="str">
        <f>"Nog af te bouwen regulatoir saldo einde "&amp;F602</f>
        <v>Nog af te bouwen regulatoir saldo einde 2017</v>
      </c>
      <c r="L604" s="206"/>
      <c r="Q604" s="166"/>
    </row>
    <row r="605" spans="2:17" ht="13" x14ac:dyDescent="0.25">
      <c r="B605" s="1075">
        <v>2015</v>
      </c>
      <c r="C605" s="1076"/>
      <c r="D605" s="1076"/>
      <c r="E605" s="1077"/>
      <c r="F605" s="275"/>
      <c r="G605" s="176">
        <f>G220</f>
        <v>0</v>
      </c>
      <c r="H605" s="521">
        <v>0</v>
      </c>
      <c r="I605" s="176">
        <f>+G605+H605</f>
        <v>0</v>
      </c>
      <c r="J605" s="176">
        <f>-I605*0.6</f>
        <v>0</v>
      </c>
      <c r="K605" s="811">
        <f>+J605+G605</f>
        <v>0</v>
      </c>
      <c r="L605" s="206"/>
      <c r="Q605" s="166"/>
    </row>
    <row r="606" spans="2:17" x14ac:dyDescent="0.25">
      <c r="L606" s="206"/>
      <c r="Q606" s="166"/>
    </row>
    <row r="607" spans="2:17" ht="13" x14ac:dyDescent="0.25">
      <c r="B607" s="273" t="s">
        <v>139</v>
      </c>
      <c r="F607" s="810">
        <v>2018</v>
      </c>
      <c r="Q607" s="166"/>
    </row>
    <row r="608" spans="2:17" x14ac:dyDescent="0.25">
      <c r="Q608" s="166"/>
    </row>
    <row r="609" spans="2:17" ht="80.150000000000006" customHeight="1" x14ac:dyDescent="0.25">
      <c r="B609" s="1078" t="s">
        <v>140</v>
      </c>
      <c r="C609" s="1079"/>
      <c r="D609" s="1079"/>
      <c r="E609" s="1080"/>
      <c r="F609" s="274"/>
      <c r="G609" s="165" t="str">
        <f>"Nog af te bouwen regulatoir saldo einde "&amp;F607-1</f>
        <v>Nog af te bouwen regulatoir saldo einde 2017</v>
      </c>
      <c r="H609" s="165" t="str">
        <f>"Afbouw oudste openstaande regulatoir saldo vanaf boekjaar "&amp;F607-3&amp;" en vroeger, door aanwending van compensatie met regulatoir saldo ontstaan over boekjaar "&amp;F607-2</f>
        <v>Afbouw oudste openstaande regulatoir saldo vanaf boekjaar 2015 en vroeger, door aanwending van compensatie met regulatoir saldo ontstaan over boekjaar 2016</v>
      </c>
      <c r="I609" s="165" t="str">
        <f>"Nog af te bouwen regulatoir saldo na compensatie einde "&amp;F607-1</f>
        <v>Nog af te bouwen regulatoir saldo na compensatie einde 2017</v>
      </c>
      <c r="J609" s="165" t="str">
        <f>"60% van het geaccumuleerd regulatoir saldo door te rekenen volgens de tariefmethodologie in het boekjaar "&amp;F607</f>
        <v>60% van het geaccumuleerd regulatoir saldo door te rekenen volgens de tariefmethodologie in het boekjaar 2018</v>
      </c>
      <c r="K609" s="165" t="str">
        <f>"Aanwending van 60% van het geaccumuleerd regulatoir saldo door te rekenen volgens de tariefmethodologie in het boekjaar "&amp;F607</f>
        <v>Aanwending van 60% van het geaccumuleerd regulatoir saldo door te rekenen volgens de tariefmethodologie in het boekjaar 2018</v>
      </c>
      <c r="L609" s="165" t="str">
        <f>"Totale afbouw over "&amp;F607</f>
        <v>Totale afbouw over 2018</v>
      </c>
      <c r="M609" s="165" t="str">
        <f>"Nog af te bouwen regulatoir saldo einde "&amp;F607</f>
        <v>Nog af te bouwen regulatoir saldo einde 2018</v>
      </c>
      <c r="N609" s="206"/>
      <c r="Q609" s="166"/>
    </row>
    <row r="610" spans="2:17" ht="13" x14ac:dyDescent="0.25">
      <c r="B610" s="1075">
        <v>2015</v>
      </c>
      <c r="C610" s="1076"/>
      <c r="D610" s="1076"/>
      <c r="E610" s="1077"/>
      <c r="F610" s="275"/>
      <c r="G610" s="176">
        <f>K605</f>
        <v>0</v>
      </c>
      <c r="H610" s="521">
        <f>IF(SIGN(G611*K605)&lt;0,IF(G610&lt;&gt;0,-SIGN(G610)*MIN(ABS(G611),ABS(G610)),0),0)</f>
        <v>0</v>
      </c>
      <c r="I610" s="176">
        <f>+G610+H610</f>
        <v>0</v>
      </c>
      <c r="J610" s="806"/>
      <c r="K610" s="521">
        <f>-MIN(ABS(I610),ABS(J612))*SIGN(I610)</f>
        <v>0</v>
      </c>
      <c r="L610" s="813">
        <f>+K610+H610</f>
        <v>0</v>
      </c>
      <c r="M610" s="176">
        <f>+I610+K610</f>
        <v>0</v>
      </c>
      <c r="N610" s="206"/>
      <c r="Q610" s="166"/>
    </row>
    <row r="611" spans="2:17" ht="13" x14ac:dyDescent="0.25">
      <c r="B611" s="1075">
        <v>2016</v>
      </c>
      <c r="C611" s="1076"/>
      <c r="D611" s="1076"/>
      <c r="E611" s="1077"/>
      <c r="F611" s="275"/>
      <c r="G611" s="176">
        <f>H221</f>
        <v>0</v>
      </c>
      <c r="H611" s="813">
        <f>IF(SIGN(G611*K605)&lt;0,-H610,0)</f>
        <v>0</v>
      </c>
      <c r="I611" s="176">
        <f>+G611+H611</f>
        <v>0</v>
      </c>
      <c r="J611" s="806"/>
      <c r="K611" s="521">
        <f>-MIN(ABS(I611),ABS(J612-K610))*SIGN(I611)</f>
        <v>0</v>
      </c>
      <c r="L611" s="813">
        <f>+K611+H611</f>
        <v>0</v>
      </c>
      <c r="M611" s="176">
        <f>+I611+K611</f>
        <v>0</v>
      </c>
      <c r="N611" s="206"/>
      <c r="Q611" s="166"/>
    </row>
    <row r="612" spans="2:17" s="273" customFormat="1" ht="13" x14ac:dyDescent="0.25">
      <c r="G612" s="276">
        <f>SUM(G610:G611)</f>
        <v>0</v>
      </c>
      <c r="H612" s="168">
        <f>SUM(H610:H611)</f>
        <v>0</v>
      </c>
      <c r="I612" s="276">
        <f>SUM(I610:I611)</f>
        <v>0</v>
      </c>
      <c r="J612" s="276">
        <f>-I612*0.6</f>
        <v>0</v>
      </c>
      <c r="K612" s="168">
        <f>SUM(K610:K611)</f>
        <v>0</v>
      </c>
      <c r="L612" s="528"/>
      <c r="M612" s="276">
        <f>SUM(M610:M611)</f>
        <v>0</v>
      </c>
    </row>
    <row r="613" spans="2:17" x14ac:dyDescent="0.25">
      <c r="K613" s="214"/>
      <c r="L613" s="214"/>
      <c r="Q613" s="166"/>
    </row>
    <row r="614" spans="2:17" ht="13" x14ac:dyDescent="0.25">
      <c r="B614" s="273" t="s">
        <v>139</v>
      </c>
      <c r="F614" s="810">
        <v>2019</v>
      </c>
      <c r="Q614" s="166"/>
    </row>
    <row r="615" spans="2:17" x14ac:dyDescent="0.25">
      <c r="Q615" s="166"/>
    </row>
    <row r="616" spans="2:17" ht="80.150000000000006" customHeight="1" x14ac:dyDescent="0.25">
      <c r="B616" s="1078" t="s">
        <v>140</v>
      </c>
      <c r="C616" s="1079"/>
      <c r="D616" s="1079"/>
      <c r="E616" s="1080"/>
      <c r="F616" s="274"/>
      <c r="G616" s="165" t="str">
        <f>"Nog af te bouwen regulatoir saldo einde "&amp;F614-1</f>
        <v>Nog af te bouwen regulatoir saldo einde 2018</v>
      </c>
      <c r="H616" s="165" t="str">
        <f>"Afbouw oudste openstaande regulatoir saldo vanaf boekjaar "&amp;F614-3&amp;" en vroeger, door aanwending van compensatie met regulatoir saldo ontstaan over boekjaar "&amp;F614-2</f>
        <v>Afbouw oudste openstaande regulatoir saldo vanaf boekjaar 2016 en vroeger, door aanwending van compensatie met regulatoir saldo ontstaan over boekjaar 2017</v>
      </c>
      <c r="I616" s="165" t="str">
        <f>"Nog af te bouwen regulatoir saldo na compensatie einde "&amp;F614-1</f>
        <v>Nog af te bouwen regulatoir saldo na compensatie einde 2018</v>
      </c>
      <c r="J616" s="165" t="str">
        <f>"60% van het geaccumuleerd regulatoir saldo door te rekenen volgens de tariefmethodologie in het boekjaar "&amp;F614</f>
        <v>60% van het geaccumuleerd regulatoir saldo door te rekenen volgens de tariefmethodologie in het boekjaar 2019</v>
      </c>
      <c r="K616" s="165" t="str">
        <f>"Aanwending van het 60% van het geaccumuleerd regulatoir saldo door te rekenen volgens de tariefmethodologie in het boekjaar "&amp;F614</f>
        <v>Aanwending van het 60% van het geaccumuleerd regulatoir saldo door te rekenen volgens de tariefmethodologie in het boekjaar 2019</v>
      </c>
      <c r="L616" s="165" t="str">
        <f>"Totale afbouw over "&amp;F614</f>
        <v>Totale afbouw over 2019</v>
      </c>
      <c r="M616" s="165" t="str">
        <f>"Nog af te bouwen regulatoir saldo einde "&amp;F614</f>
        <v>Nog af te bouwen regulatoir saldo einde 2019</v>
      </c>
      <c r="N616" s="206"/>
      <c r="Q616" s="166"/>
    </row>
    <row r="617" spans="2:17" ht="13" x14ac:dyDescent="0.25">
      <c r="B617" s="1075">
        <v>2015</v>
      </c>
      <c r="C617" s="1076"/>
      <c r="D617" s="1076"/>
      <c r="E617" s="1077"/>
      <c r="F617" s="275"/>
      <c r="G617" s="176">
        <f>+M610</f>
        <v>0</v>
      </c>
      <c r="H617" s="813">
        <f>IF(SIGN(G619*M612)&lt;0,IF(G617&lt;&gt;0,-SIGN(G617)*MIN(ABS(G619),ABS(G617)),0),0)</f>
        <v>0</v>
      </c>
      <c r="I617" s="176">
        <f>+G617+H617</f>
        <v>0</v>
      </c>
      <c r="J617" s="806"/>
      <c r="K617" s="521">
        <f>-MIN(ABS(I617),ABS(J620))*SIGN(I617)</f>
        <v>0</v>
      </c>
      <c r="L617" s="813">
        <f>+K617+H617</f>
        <v>0</v>
      </c>
      <c r="M617" s="176">
        <f>+I617+K617</f>
        <v>0</v>
      </c>
      <c r="N617" s="206"/>
      <c r="Q617" s="166"/>
    </row>
    <row r="618" spans="2:17" ht="13" x14ac:dyDescent="0.25">
      <c r="B618" s="1075">
        <v>2016</v>
      </c>
      <c r="C618" s="1076"/>
      <c r="D618" s="1076">
        <v>2016</v>
      </c>
      <c r="E618" s="1077"/>
      <c r="F618" s="275"/>
      <c r="G618" s="176">
        <f>+M611</f>
        <v>0</v>
      </c>
      <c r="H618" s="813">
        <f>IF(SIGN(G619*M612)&lt;0,IF(G618&lt;&gt;0,-SIGN(G618)*MIN(ABS(G619-H617),ABS(G618)),0),0)</f>
        <v>0</v>
      </c>
      <c r="I618" s="176">
        <f>+G618+H618</f>
        <v>0</v>
      </c>
      <c r="J618" s="806"/>
      <c r="K618" s="521">
        <f>-MIN(ABS(I618),ABS(J620-K617))*SIGN(I618)</f>
        <v>0</v>
      </c>
      <c r="L618" s="813">
        <f>+K618+H618</f>
        <v>0</v>
      </c>
      <c r="M618" s="176">
        <f>+I618+K618</f>
        <v>0</v>
      </c>
      <c r="N618" s="206"/>
      <c r="Q618" s="166"/>
    </row>
    <row r="619" spans="2:17" ht="13" x14ac:dyDescent="0.25">
      <c r="B619" s="1075">
        <v>2017</v>
      </c>
      <c r="C619" s="1076"/>
      <c r="D619" s="1076"/>
      <c r="E619" s="1077"/>
      <c r="F619" s="275"/>
      <c r="G619" s="176">
        <f>I222</f>
        <v>0</v>
      </c>
      <c r="H619" s="813">
        <f>IF(SIGN(G619*M612)&lt;0,-SUM(H617:H618),0)</f>
        <v>0</v>
      </c>
      <c r="I619" s="176">
        <f>+G619+H619</f>
        <v>0</v>
      </c>
      <c r="J619" s="806"/>
      <c r="K619" s="521">
        <f>-MIN(ABS(I619),ABS(J620-K617-K618))*SIGN(I619)</f>
        <v>0</v>
      </c>
      <c r="L619" s="813">
        <f>+K619+H619</f>
        <v>0</v>
      </c>
      <c r="M619" s="176">
        <f>+I619+K619</f>
        <v>0</v>
      </c>
      <c r="N619" s="206"/>
      <c r="Q619" s="166"/>
    </row>
    <row r="620" spans="2:17" s="273" customFormat="1" ht="13" x14ac:dyDescent="0.25">
      <c r="G620" s="276">
        <f>SUM(G617:G619)</f>
        <v>0</v>
      </c>
      <c r="H620" s="168">
        <f>SUM(H617:H619)</f>
        <v>0</v>
      </c>
      <c r="I620" s="276">
        <f>SUM(I617:I619)</f>
        <v>0</v>
      </c>
      <c r="J620" s="276">
        <f>-I620*0.6</f>
        <v>0</v>
      </c>
      <c r="K620" s="168">
        <f>SUM(K617:K619)</f>
        <v>0</v>
      </c>
      <c r="L620" s="528"/>
      <c r="M620" s="276">
        <f>SUM(M617:M619)</f>
        <v>0</v>
      </c>
    </row>
    <row r="621" spans="2:17" x14ac:dyDescent="0.25">
      <c r="H621" s="214"/>
      <c r="Q621" s="166"/>
    </row>
    <row r="622" spans="2:17" ht="13" x14ac:dyDescent="0.25">
      <c r="B622" s="273" t="s">
        <v>139</v>
      </c>
      <c r="F622" s="810">
        <v>2020</v>
      </c>
      <c r="Q622" s="166"/>
    </row>
    <row r="623" spans="2:17" x14ac:dyDescent="0.25">
      <c r="Q623" s="166"/>
    </row>
    <row r="624" spans="2:17" ht="80.150000000000006" customHeight="1" x14ac:dyDescent="0.25">
      <c r="B624" s="1078" t="s">
        <v>140</v>
      </c>
      <c r="C624" s="1079"/>
      <c r="D624" s="1079"/>
      <c r="E624" s="1080"/>
      <c r="F624" s="274"/>
      <c r="G624" s="165" t="str">
        <f>"Nog af te bouwen regulatoir saldo einde "&amp;F622-1</f>
        <v>Nog af te bouwen regulatoir saldo einde 2019</v>
      </c>
      <c r="H624" s="165" t="str">
        <f>"Afbouw oudste openstaande regulatoir saldo vanaf boekjaar "&amp;F622-3&amp;" en vroeger, door aanwending van compensatie met regulatoir saldo ontstaan over boekjaar "&amp;F622-2</f>
        <v>Afbouw oudste openstaande regulatoir saldo vanaf boekjaar 2017 en vroeger, door aanwending van compensatie met regulatoir saldo ontstaan over boekjaar 2018</v>
      </c>
      <c r="I624" s="165" t="str">
        <f>"Nog af te bouwen regulatoir saldo na compensatie einde "&amp;F622-1</f>
        <v>Nog af te bouwen regulatoir saldo na compensatie einde 2019</v>
      </c>
      <c r="J624" s="165" t="str">
        <f>"60% van het geaccumuleerd regulatoir saldo door te rekenen volgens de tariefmethodologie in het boekjaar "&amp;F622</f>
        <v>60% van het geaccumuleerd regulatoir saldo door te rekenen volgens de tariefmethodologie in het boekjaar 2020</v>
      </c>
      <c r="K624" s="165" t="str">
        <f>"Aanwending van het 60% van het geaccumuleerd regulatoir saldo door te rekenen volgens de tariefmethodologie in het boekjaar "&amp;F622</f>
        <v>Aanwending van het 60% van het geaccumuleerd regulatoir saldo door te rekenen volgens de tariefmethodologie in het boekjaar 2020</v>
      </c>
      <c r="L624" s="165" t="str">
        <f>"Totale afbouw over "&amp;F622</f>
        <v>Totale afbouw over 2020</v>
      </c>
      <c r="M624" s="165" t="str">
        <f>"Nog af te bouwen regulatoir saldo einde "&amp;F622</f>
        <v>Nog af te bouwen regulatoir saldo einde 2020</v>
      </c>
      <c r="N624" s="206"/>
      <c r="Q624" s="166"/>
    </row>
    <row r="625" spans="2:17" ht="13" x14ac:dyDescent="0.25">
      <c r="B625" s="1075">
        <v>2015</v>
      </c>
      <c r="C625" s="1076"/>
      <c r="D625" s="1076"/>
      <c r="E625" s="1077"/>
      <c r="F625" s="275"/>
      <c r="G625" s="176">
        <f>+M617</f>
        <v>0</v>
      </c>
      <c r="H625" s="813">
        <f>IF(SIGN(G628*M620)&lt;0,IF(G625&lt;&gt;0,-SIGN(G625)*MIN(ABS(G628),ABS(G625)),0),0)</f>
        <v>0</v>
      </c>
      <c r="I625" s="176">
        <f>+G625+H625</f>
        <v>0</v>
      </c>
      <c r="J625" s="806"/>
      <c r="K625" s="521">
        <f>-MIN(ABS(I625),ABS(J629))*SIGN(I625)</f>
        <v>0</v>
      </c>
      <c r="L625" s="813">
        <f>+K625+H625</f>
        <v>0</v>
      </c>
      <c r="M625" s="176">
        <f>+I625+K625</f>
        <v>0</v>
      </c>
      <c r="N625" s="206"/>
      <c r="Q625" s="166"/>
    </row>
    <row r="626" spans="2:17" ht="13" x14ac:dyDescent="0.25">
      <c r="B626" s="1075">
        <v>2016</v>
      </c>
      <c r="C626" s="1076"/>
      <c r="D626" s="1076"/>
      <c r="E626" s="1077"/>
      <c r="F626" s="275"/>
      <c r="G626" s="176">
        <f>+M618</f>
        <v>0</v>
      </c>
      <c r="H626" s="813">
        <f>IF(SIGN(G628*M620)&lt;0,IF(G626&lt;&gt;0,-SIGN(G626)*MIN(ABS(G628-H625),ABS(G626)),0),0)</f>
        <v>0</v>
      </c>
      <c r="I626" s="176">
        <f>+G626+H626</f>
        <v>0</v>
      </c>
      <c r="J626" s="806"/>
      <c r="K626" s="521">
        <f>-MIN(ABS(I626),ABS(J629-K625))*SIGN(I626)</f>
        <v>0</v>
      </c>
      <c r="L626" s="813">
        <f>+K626+H626</f>
        <v>0</v>
      </c>
      <c r="M626" s="176">
        <f>+I626+K626</f>
        <v>0</v>
      </c>
      <c r="N626" s="206"/>
      <c r="Q626" s="166"/>
    </row>
    <row r="627" spans="2:17" ht="13" x14ac:dyDescent="0.25">
      <c r="B627" s="1075">
        <v>2017</v>
      </c>
      <c r="C627" s="1076"/>
      <c r="D627" s="1076">
        <v>2016</v>
      </c>
      <c r="E627" s="1077"/>
      <c r="F627" s="275"/>
      <c r="G627" s="176">
        <f>+M619</f>
        <v>0</v>
      </c>
      <c r="H627" s="813">
        <f>IF(SIGN(G628*M620)&lt;0,IF(G627&lt;&gt;0,-SIGN(G627)*MIN(ABS(G628-H625-H626),ABS(G627)),0),0)</f>
        <v>0</v>
      </c>
      <c r="I627" s="176">
        <f>+G627+H627</f>
        <v>0</v>
      </c>
      <c r="J627" s="806"/>
      <c r="K627" s="521">
        <f>-MIN(ABS(I627),ABS(J629-K625-K626))*SIGN(I627)</f>
        <v>0</v>
      </c>
      <c r="L627" s="813">
        <f>+K627+H627</f>
        <v>0</v>
      </c>
      <c r="M627" s="176">
        <f>+I627+K627</f>
        <v>0</v>
      </c>
      <c r="N627" s="206"/>
      <c r="Q627" s="166"/>
    </row>
    <row r="628" spans="2:17" ht="13" x14ac:dyDescent="0.25">
      <c r="B628" s="1075">
        <v>2018</v>
      </c>
      <c r="C628" s="1076"/>
      <c r="D628" s="1076"/>
      <c r="E628" s="1077"/>
      <c r="F628" s="275"/>
      <c r="G628" s="176">
        <f>J223</f>
        <v>0</v>
      </c>
      <c r="H628" s="813">
        <f>IF(SIGN(G628*M620)&lt;0,-SUM(H625:H627),0)</f>
        <v>0</v>
      </c>
      <c r="I628" s="176">
        <f>+G628+H628</f>
        <v>0</v>
      </c>
      <c r="J628" s="806"/>
      <c r="K628" s="521">
        <f>-MIN(ABS(I628),ABS(J629-K625-K626-K627))*SIGN(I628)</f>
        <v>0</v>
      </c>
      <c r="L628" s="813">
        <f>+K628+H628</f>
        <v>0</v>
      </c>
      <c r="M628" s="176">
        <f>+I628+K628</f>
        <v>0</v>
      </c>
      <c r="N628" s="206"/>
      <c r="Q628" s="166"/>
    </row>
    <row r="629" spans="2:17" s="273" customFormat="1" ht="13" x14ac:dyDescent="0.25">
      <c r="G629" s="276">
        <f>SUM(G625:G628)</f>
        <v>0</v>
      </c>
      <c r="H629" s="168">
        <f>SUM(H625:H628)</f>
        <v>0</v>
      </c>
      <c r="I629" s="276">
        <f>SUM(I625:I628)</f>
        <v>0</v>
      </c>
      <c r="J629" s="276">
        <f>-I629*0.6</f>
        <v>0</v>
      </c>
      <c r="K629" s="168">
        <f>SUM(K625:K628)</f>
        <v>0</v>
      </c>
      <c r="L629" s="168"/>
      <c r="M629" s="276">
        <f>SUM(M625:M628)</f>
        <v>0</v>
      </c>
    </row>
    <row r="630" spans="2:17" x14ac:dyDescent="0.25">
      <c r="Q630" s="166"/>
    </row>
    <row r="631" spans="2:17" ht="13" x14ac:dyDescent="0.25">
      <c r="B631" s="273" t="s">
        <v>139</v>
      </c>
      <c r="F631" s="810">
        <v>2021</v>
      </c>
      <c r="Q631" s="166"/>
    </row>
    <row r="632" spans="2:17" x14ac:dyDescent="0.25">
      <c r="Q632" s="166"/>
    </row>
    <row r="633" spans="2:17" ht="78" customHeight="1" x14ac:dyDescent="0.25">
      <c r="B633" s="1078" t="s">
        <v>140</v>
      </c>
      <c r="C633" s="1079"/>
      <c r="D633" s="1079"/>
      <c r="E633" s="1080"/>
      <c r="F633" s="274"/>
      <c r="G633" s="165" t="str">
        <f>"Nog af te bouwen regulatoir saldo einde "&amp;F631-1</f>
        <v>Nog af te bouwen regulatoir saldo einde 2020</v>
      </c>
      <c r="H633" s="165" t="str">
        <f>"50% van het oorspronkelijk regulatoir saldo door te rekenen volgens de tariefmethodologie in het boekjaar "&amp;F631</f>
        <v>50% van het oorspronkelijk regulatoir saldo door te rekenen volgens de tariefmethodologie in het boekjaar 2021</v>
      </c>
      <c r="I633" s="165" t="str">
        <f>"Nog af te bouwen regulatoir saldo einde "&amp;F631</f>
        <v>Nog af te bouwen regulatoir saldo einde 2021</v>
      </c>
      <c r="J633" s="206"/>
      <c r="Q633" s="166"/>
    </row>
    <row r="634" spans="2:17" ht="13" x14ac:dyDescent="0.25">
      <c r="B634" s="1075">
        <v>2015</v>
      </c>
      <c r="C634" s="1076"/>
      <c r="D634" s="1076"/>
      <c r="E634" s="1077"/>
      <c r="F634" s="275"/>
      <c r="G634" s="176">
        <f>M625</f>
        <v>0</v>
      </c>
      <c r="H634" s="176">
        <f>-G634*0.5</f>
        <v>0</v>
      </c>
      <c r="I634" s="176">
        <f>+G634+H634</f>
        <v>0</v>
      </c>
      <c r="J634" s="206"/>
      <c r="Q634" s="166"/>
    </row>
    <row r="635" spans="2:17" ht="13" x14ac:dyDescent="0.25">
      <c r="B635" s="1075">
        <v>2016</v>
      </c>
      <c r="C635" s="1076"/>
      <c r="D635" s="1076"/>
      <c r="E635" s="1077"/>
      <c r="F635" s="275"/>
      <c r="G635" s="176">
        <f t="shared" ref="G635:G637" si="101">M626</f>
        <v>0</v>
      </c>
      <c r="H635" s="176">
        <f t="shared" ref="H635:H638" si="102">-G635*0.5</f>
        <v>0</v>
      </c>
      <c r="I635" s="176">
        <f t="shared" ref="I635:I638" si="103">+G635+H635</f>
        <v>0</v>
      </c>
      <c r="J635" s="206"/>
      <c r="Q635" s="166"/>
    </row>
    <row r="636" spans="2:17" ht="13" x14ac:dyDescent="0.25">
      <c r="B636" s="1075">
        <v>2017</v>
      </c>
      <c r="C636" s="1076"/>
      <c r="D636" s="1076">
        <v>2016</v>
      </c>
      <c r="E636" s="1077"/>
      <c r="F636" s="275"/>
      <c r="G636" s="176">
        <f t="shared" si="101"/>
        <v>0</v>
      </c>
      <c r="H636" s="176">
        <f t="shared" si="102"/>
        <v>0</v>
      </c>
      <c r="I636" s="176">
        <f t="shared" si="103"/>
        <v>0</v>
      </c>
      <c r="J636" s="206"/>
      <c r="Q636" s="166"/>
    </row>
    <row r="637" spans="2:17" ht="13" x14ac:dyDescent="0.25">
      <c r="B637" s="1075">
        <v>2018</v>
      </c>
      <c r="C637" s="1076"/>
      <c r="D637" s="1076"/>
      <c r="E637" s="1077"/>
      <c r="F637" s="275"/>
      <c r="G637" s="176">
        <f t="shared" si="101"/>
        <v>0</v>
      </c>
      <c r="H637" s="176">
        <f t="shared" si="102"/>
        <v>0</v>
      </c>
      <c r="I637" s="176">
        <f t="shared" si="103"/>
        <v>0</v>
      </c>
      <c r="J637" s="206"/>
      <c r="Q637" s="166"/>
    </row>
    <row r="638" spans="2:17" ht="13" x14ac:dyDescent="0.25">
      <c r="B638" s="1075">
        <v>2019</v>
      </c>
      <c r="C638" s="1076"/>
      <c r="D638" s="1076"/>
      <c r="E638" s="1077"/>
      <c r="F638" s="275"/>
      <c r="G638" s="176">
        <f>K224</f>
        <v>0</v>
      </c>
      <c r="H638" s="176">
        <f t="shared" si="102"/>
        <v>0</v>
      </c>
      <c r="I638" s="176">
        <f t="shared" si="103"/>
        <v>0</v>
      </c>
      <c r="J638" s="206"/>
      <c r="Q638" s="166"/>
    </row>
    <row r="639" spans="2:17" s="273" customFormat="1" ht="13" x14ac:dyDescent="0.25">
      <c r="G639" s="276">
        <f>SUM(G634:G638)</f>
        <v>0</v>
      </c>
      <c r="H639" s="276">
        <f>SUM(H634:H638)</f>
        <v>0</v>
      </c>
      <c r="I639" s="276">
        <f>SUM(I634:I638)</f>
        <v>0</v>
      </c>
    </row>
    <row r="640" spans="2:17" x14ac:dyDescent="0.25">
      <c r="Q640" s="166"/>
    </row>
    <row r="641" spans="2:17" ht="13" x14ac:dyDescent="0.25">
      <c r="B641" s="273" t="s">
        <v>139</v>
      </c>
      <c r="F641" s="810">
        <v>2022</v>
      </c>
      <c r="Q641" s="166"/>
    </row>
    <row r="642" spans="2:17" x14ac:dyDescent="0.25">
      <c r="Q642" s="166"/>
    </row>
    <row r="643" spans="2:17" ht="78" customHeight="1" x14ac:dyDescent="0.25">
      <c r="B643" s="1078" t="s">
        <v>140</v>
      </c>
      <c r="C643" s="1079"/>
      <c r="D643" s="1079"/>
      <c r="E643" s="1080"/>
      <c r="F643" s="274"/>
      <c r="G643" s="165" t="str">
        <f>"Nog af te bouwen regulatoir saldo einde "&amp;F641-1</f>
        <v>Nog af te bouwen regulatoir saldo einde 2021</v>
      </c>
      <c r="H643" s="165" t="str">
        <f>"50% van het oorspronkelijk regulatoir saldo door te rekenen volgens de tariefmethodologie in het boekjaar "&amp;F641</f>
        <v>50% van het oorspronkelijk regulatoir saldo door te rekenen volgens de tariefmethodologie in het boekjaar 2022</v>
      </c>
      <c r="I643" s="165" t="str">
        <f>"Nog af te bouwen regulatoir saldo einde "&amp;F641</f>
        <v>Nog af te bouwen regulatoir saldo einde 2022</v>
      </c>
      <c r="J643" s="206"/>
      <c r="Q643" s="166"/>
    </row>
    <row r="644" spans="2:17" ht="13" x14ac:dyDescent="0.25">
      <c r="B644" s="1075">
        <v>2015</v>
      </c>
      <c r="C644" s="1076"/>
      <c r="D644" s="1076"/>
      <c r="E644" s="1077"/>
      <c r="F644" s="275"/>
      <c r="G644" s="176">
        <f>+I634</f>
        <v>0</v>
      </c>
      <c r="H644" s="176">
        <f>-G634*0.5</f>
        <v>0</v>
      </c>
      <c r="I644" s="176">
        <f>+G644+H644</f>
        <v>0</v>
      </c>
      <c r="J644" s="206"/>
      <c r="Q644" s="166"/>
    </row>
    <row r="645" spans="2:17" ht="13" x14ac:dyDescent="0.25">
      <c r="B645" s="1075">
        <v>2016</v>
      </c>
      <c r="C645" s="1076"/>
      <c r="D645" s="1076"/>
      <c r="E645" s="1077"/>
      <c r="F645" s="275"/>
      <c r="G645" s="176">
        <f t="shared" ref="G645:G648" si="104">+I635</f>
        <v>0</v>
      </c>
      <c r="H645" s="176">
        <f t="shared" ref="H645:H648" si="105">-G635*0.5</f>
        <v>0</v>
      </c>
      <c r="I645" s="176">
        <f t="shared" ref="I645:I649" si="106">+G645+H645</f>
        <v>0</v>
      </c>
      <c r="J645" s="206"/>
      <c r="Q645" s="166"/>
    </row>
    <row r="646" spans="2:17" ht="13" x14ac:dyDescent="0.25">
      <c r="B646" s="1075">
        <v>2017</v>
      </c>
      <c r="C646" s="1076"/>
      <c r="D646" s="1076">
        <v>2016</v>
      </c>
      <c r="E646" s="1077"/>
      <c r="F646" s="275"/>
      <c r="G646" s="176">
        <f t="shared" si="104"/>
        <v>0</v>
      </c>
      <c r="H646" s="176">
        <f t="shared" si="105"/>
        <v>0</v>
      </c>
      <c r="I646" s="176">
        <f t="shared" si="106"/>
        <v>0</v>
      </c>
      <c r="J646" s="206"/>
      <c r="Q646" s="166"/>
    </row>
    <row r="647" spans="2:17" ht="13" x14ac:dyDescent="0.25">
      <c r="B647" s="1075">
        <v>2018</v>
      </c>
      <c r="C647" s="1076"/>
      <c r="D647" s="1076"/>
      <c r="E647" s="1077"/>
      <c r="F647" s="275"/>
      <c r="G647" s="176">
        <f t="shared" si="104"/>
        <v>0</v>
      </c>
      <c r="H647" s="176">
        <f t="shared" si="105"/>
        <v>0</v>
      </c>
      <c r="I647" s="176">
        <f t="shared" si="106"/>
        <v>0</v>
      </c>
      <c r="J647" s="206"/>
      <c r="Q647" s="166"/>
    </row>
    <row r="648" spans="2:17" ht="13" x14ac:dyDescent="0.25">
      <c r="B648" s="1075">
        <v>2019</v>
      </c>
      <c r="C648" s="1076"/>
      <c r="D648" s="1076"/>
      <c r="E648" s="1077"/>
      <c r="F648" s="275"/>
      <c r="G648" s="176">
        <f t="shared" si="104"/>
        <v>0</v>
      </c>
      <c r="H648" s="176">
        <f t="shared" si="105"/>
        <v>0</v>
      </c>
      <c r="I648" s="176">
        <f t="shared" si="106"/>
        <v>0</v>
      </c>
      <c r="J648" s="206"/>
      <c r="Q648" s="166"/>
    </row>
    <row r="649" spans="2:17" ht="13" x14ac:dyDescent="0.25">
      <c r="B649" s="1075">
        <v>2020</v>
      </c>
      <c r="C649" s="1076"/>
      <c r="D649" s="1076"/>
      <c r="E649" s="1077"/>
      <c r="F649" s="275"/>
      <c r="G649" s="176">
        <f>L225</f>
        <v>0</v>
      </c>
      <c r="H649" s="176">
        <f t="shared" ref="H649" si="107">-G649*0.5</f>
        <v>0</v>
      </c>
      <c r="I649" s="176">
        <f t="shared" si="106"/>
        <v>0</v>
      </c>
      <c r="J649" s="206"/>
      <c r="Q649" s="166"/>
    </row>
    <row r="650" spans="2:17" s="273" customFormat="1" ht="13" x14ac:dyDescent="0.25">
      <c r="G650" s="276">
        <f>SUM(G644:G649)</f>
        <v>0</v>
      </c>
      <c r="H650" s="276">
        <f t="shared" ref="H650" si="108">SUM(H644:H649)</f>
        <v>0</v>
      </c>
      <c r="I650" s="276">
        <f t="shared" ref="I650" si="109">SUM(I644:I649)</f>
        <v>0</v>
      </c>
    </row>
    <row r="651" spans="2:17" x14ac:dyDescent="0.25">
      <c r="Q651" s="166"/>
    </row>
    <row r="652" spans="2:17" ht="13" x14ac:dyDescent="0.25">
      <c r="B652" s="273" t="s">
        <v>139</v>
      </c>
      <c r="F652" s="810">
        <v>2023</v>
      </c>
      <c r="Q652" s="166"/>
    </row>
    <row r="653" spans="2:17" x14ac:dyDescent="0.25">
      <c r="Q653" s="166"/>
    </row>
    <row r="654" spans="2:17" ht="78" customHeight="1" x14ac:dyDescent="0.25">
      <c r="B654" s="1078" t="s">
        <v>140</v>
      </c>
      <c r="C654" s="1079"/>
      <c r="D654" s="1079"/>
      <c r="E654" s="1080"/>
      <c r="F654" s="274"/>
      <c r="G654" s="165" t="str">
        <f>"Nog af te bouwen regulatoir saldo einde "&amp;F652-1</f>
        <v>Nog af te bouwen regulatoir saldo einde 2022</v>
      </c>
      <c r="H654" s="165" t="str">
        <f>"50% van het oorspronkelijk regulatoir saldo door te rekenen volgens de tariefmethodologie in het boekjaar "&amp;F652</f>
        <v>50% van het oorspronkelijk regulatoir saldo door te rekenen volgens de tariefmethodologie in het boekjaar 2023</v>
      </c>
      <c r="I654" s="165" t="str">
        <f>"Nog af te bouwen regulatoir saldo einde "&amp;F652</f>
        <v>Nog af te bouwen regulatoir saldo einde 2023</v>
      </c>
      <c r="J654" s="206"/>
      <c r="Q654" s="166"/>
    </row>
    <row r="655" spans="2:17" ht="13" x14ac:dyDescent="0.25">
      <c r="B655" s="1075">
        <v>2020</v>
      </c>
      <c r="C655" s="1076"/>
      <c r="D655" s="1076"/>
      <c r="E655" s="1077"/>
      <c r="F655" s="275"/>
      <c r="G655" s="176">
        <f>+I649</f>
        <v>0</v>
      </c>
      <c r="H655" s="176">
        <f>-G649*0.5</f>
        <v>0</v>
      </c>
      <c r="I655" s="176">
        <f t="shared" ref="I655:I656" si="110">+G655+H655</f>
        <v>0</v>
      </c>
      <c r="J655" s="206"/>
      <c r="Q655" s="166"/>
    </row>
    <row r="656" spans="2:17" ht="13" x14ac:dyDescent="0.25">
      <c r="B656" s="1075">
        <v>2021</v>
      </c>
      <c r="C656" s="1076"/>
      <c r="D656" s="1076"/>
      <c r="E656" s="1077"/>
      <c r="F656" s="275"/>
      <c r="G656" s="176">
        <f>M226</f>
        <v>0</v>
      </c>
      <c r="H656" s="176">
        <f t="shared" ref="H656" si="111">-G656*0.5</f>
        <v>0</v>
      </c>
      <c r="I656" s="176">
        <f t="shared" si="110"/>
        <v>0</v>
      </c>
      <c r="J656" s="206"/>
      <c r="Q656" s="166"/>
    </row>
    <row r="657" spans="2:17" s="273" customFormat="1" ht="13" x14ac:dyDescent="0.25">
      <c r="G657" s="276">
        <f>SUM(G655:G656)</f>
        <v>0</v>
      </c>
      <c r="H657" s="276">
        <f>SUM(H655:H656)</f>
        <v>0</v>
      </c>
      <c r="I657" s="276">
        <f>SUM(I655:I656)</f>
        <v>0</v>
      </c>
    </row>
    <row r="658" spans="2:17" x14ac:dyDescent="0.25">
      <c r="Q658" s="166"/>
    </row>
    <row r="659" spans="2:17" ht="13" x14ac:dyDescent="0.25">
      <c r="B659" s="273" t="s">
        <v>139</v>
      </c>
      <c r="F659" s="810">
        <v>2024</v>
      </c>
      <c r="Q659" s="166"/>
    </row>
    <row r="660" spans="2:17" x14ac:dyDescent="0.25">
      <c r="Q660" s="166"/>
    </row>
    <row r="661" spans="2:17" ht="78" customHeight="1" x14ac:dyDescent="0.25">
      <c r="B661" s="1078" t="s">
        <v>140</v>
      </c>
      <c r="C661" s="1079"/>
      <c r="D661" s="1079"/>
      <c r="E661" s="1080"/>
      <c r="F661" s="274"/>
      <c r="G661" s="165" t="str">
        <f>"Nog af te bouwen regulatoir saldo einde "&amp;F659-1</f>
        <v>Nog af te bouwen regulatoir saldo einde 2023</v>
      </c>
      <c r="H661" s="165" t="str">
        <f>"50% van het oorspronkelijk regulatoir saldo door te rekenen volgens de tariefmethodologie in het boekjaar "&amp;F659</f>
        <v>50% van het oorspronkelijk regulatoir saldo door te rekenen volgens de tariefmethodologie in het boekjaar 2024</v>
      </c>
      <c r="I661" s="165" t="str">
        <f>"Nog af te bouwen regulatoir saldo einde "&amp;F659</f>
        <v>Nog af te bouwen regulatoir saldo einde 2024</v>
      </c>
      <c r="J661" s="206"/>
      <c r="Q661" s="166"/>
    </row>
    <row r="662" spans="2:17" ht="13" x14ac:dyDescent="0.25">
      <c r="B662" s="1075">
        <v>2021</v>
      </c>
      <c r="C662" s="1076"/>
      <c r="D662" s="1076"/>
      <c r="E662" s="1077"/>
      <c r="F662" s="275"/>
      <c r="G662" s="176">
        <f>+I656</f>
        <v>0</v>
      </c>
      <c r="H662" s="176">
        <f>-G656*0.5</f>
        <v>0</v>
      </c>
      <c r="I662" s="176">
        <f t="shared" ref="I662:I663" si="112">+G662+H662</f>
        <v>0</v>
      </c>
      <c r="J662" s="206"/>
      <c r="Q662" s="166"/>
    </row>
    <row r="663" spans="2:17" ht="13" x14ac:dyDescent="0.25">
      <c r="B663" s="1075">
        <v>2022</v>
      </c>
      <c r="C663" s="1076"/>
      <c r="D663" s="1076"/>
      <c r="E663" s="1077"/>
      <c r="F663" s="275"/>
      <c r="G663" s="176">
        <f>N227</f>
        <v>0</v>
      </c>
      <c r="H663" s="176">
        <f t="shared" ref="H663" si="113">-G663*0.5</f>
        <v>0</v>
      </c>
      <c r="I663" s="176">
        <f t="shared" si="112"/>
        <v>0</v>
      </c>
      <c r="J663" s="206"/>
      <c r="Q663" s="166"/>
    </row>
    <row r="664" spans="2:17" s="273" customFormat="1" ht="13" x14ac:dyDescent="0.25">
      <c r="G664" s="276">
        <f>SUM(G662:G663)</f>
        <v>0</v>
      </c>
      <c r="H664" s="276">
        <f>SUM(H662:H663)</f>
        <v>0</v>
      </c>
      <c r="I664" s="276">
        <f>SUM(I662:I663)</f>
        <v>0</v>
      </c>
    </row>
    <row r="665" spans="2:17" x14ac:dyDescent="0.25">
      <c r="Q665" s="166"/>
    </row>
    <row r="666" spans="2:17" ht="13" x14ac:dyDescent="0.25">
      <c r="B666" s="273" t="s">
        <v>67</v>
      </c>
      <c r="Q666" s="166"/>
    </row>
    <row r="667" spans="2:17" ht="13" x14ac:dyDescent="0.25">
      <c r="B667" s="273" t="s">
        <v>141</v>
      </c>
      <c r="C667" s="216"/>
      <c r="D667" s="216"/>
      <c r="E667" s="216"/>
      <c r="Q667" s="166"/>
    </row>
    <row r="668" spans="2:17" ht="13" x14ac:dyDescent="0.25">
      <c r="B668" s="273"/>
      <c r="C668" s="216"/>
      <c r="D668" s="216"/>
      <c r="E668" s="216"/>
      <c r="Q668" s="166"/>
    </row>
    <row r="669" spans="2:17" ht="13" x14ac:dyDescent="0.25">
      <c r="B669" s="275">
        <v>2021</v>
      </c>
      <c r="C669" s="279">
        <f>+H639</f>
        <v>0</v>
      </c>
      <c r="D669" s="216"/>
      <c r="E669" s="216"/>
      <c r="Q669" s="166"/>
    </row>
    <row r="670" spans="2:17" ht="13" x14ac:dyDescent="0.25">
      <c r="B670" s="275">
        <v>2022</v>
      </c>
      <c r="C670" s="279">
        <f>+H650</f>
        <v>0</v>
      </c>
      <c r="D670" s="216"/>
      <c r="E670" s="216"/>
      <c r="Q670" s="166"/>
    </row>
    <row r="671" spans="2:17" ht="13" x14ac:dyDescent="0.25">
      <c r="B671" s="275">
        <v>2023</v>
      </c>
      <c r="C671" s="279">
        <f>+H657</f>
        <v>0</v>
      </c>
      <c r="D671" s="216"/>
      <c r="E671" s="216"/>
      <c r="Q671" s="166"/>
    </row>
    <row r="672" spans="2:17" ht="13" x14ac:dyDescent="0.25">
      <c r="B672" s="275">
        <v>2024</v>
      </c>
      <c r="C672" s="279">
        <f>+H664</f>
        <v>0</v>
      </c>
      <c r="D672" s="216"/>
      <c r="E672" s="216"/>
      <c r="Q672" s="166"/>
    </row>
    <row r="673" spans="2:17" x14ac:dyDescent="0.25">
      <c r="Q673" s="166"/>
    </row>
    <row r="674" spans="2:17" x14ac:dyDescent="0.25">
      <c r="Q674" s="166"/>
    </row>
    <row r="675" spans="2:17" ht="13" x14ac:dyDescent="0.25">
      <c r="B675" s="321" t="s">
        <v>96</v>
      </c>
      <c r="C675" s="322"/>
      <c r="D675" s="322"/>
      <c r="E675" s="322"/>
      <c r="F675" s="323"/>
      <c r="G675" s="323"/>
      <c r="H675" s="323"/>
      <c r="I675" s="323"/>
      <c r="J675" s="323"/>
      <c r="K675" s="323"/>
      <c r="L675" s="323"/>
      <c r="M675" s="323"/>
      <c r="Q675" s="166"/>
    </row>
    <row r="676" spans="2:17" x14ac:dyDescent="0.25">
      <c r="Q676" s="166"/>
    </row>
    <row r="677" spans="2:17" ht="13" x14ac:dyDescent="0.25">
      <c r="B677" s="273" t="s">
        <v>139</v>
      </c>
      <c r="F677" s="810">
        <v>2017</v>
      </c>
      <c r="Q677" s="166"/>
    </row>
    <row r="678" spans="2:17" x14ac:dyDescent="0.25">
      <c r="L678" s="206"/>
      <c r="Q678" s="166"/>
    </row>
    <row r="679" spans="2:17" ht="82.5" customHeight="1" x14ac:dyDescent="0.25">
      <c r="B679" s="1078" t="s">
        <v>140</v>
      </c>
      <c r="C679" s="1079"/>
      <c r="D679" s="1079"/>
      <c r="E679" s="1080"/>
      <c r="F679" s="274"/>
      <c r="G679" s="165" t="str">
        <f>"Nog af te bouwen regulatoir saldo einde "&amp;F677-1</f>
        <v>Nog af te bouwen regulatoir saldo einde 2016</v>
      </c>
      <c r="H679" s="165" t="str">
        <f>"Afbouw oudste openstaande regulatoir saldo vanaf boekjaar "&amp;F677-3&amp;" en vroeger, door aanwending van compensatie met regulatoir saldo ontstaan over boekjaar "&amp;F677-2</f>
        <v>Afbouw oudste openstaande regulatoir saldo vanaf boekjaar 2014 en vroeger, door aanwending van compensatie met regulatoir saldo ontstaan over boekjaar 2015</v>
      </c>
      <c r="I679" s="165" t="str">
        <f>"Nog af te bouwen regulatoir saldo na compensatie einde "&amp;F677-1</f>
        <v>Nog af te bouwen regulatoir saldo na compensatie einde 2016</v>
      </c>
      <c r="J679" s="165" t="str">
        <f>"Aanwending van 60% van het geaccumuleerd regulatoir saldo door te rekenen volgens de tariefmethodologie in het boekjaar "&amp;F677</f>
        <v>Aanwending van 60% van het geaccumuleerd regulatoir saldo door te rekenen volgens de tariefmethodologie in het boekjaar 2017</v>
      </c>
      <c r="K679" s="165" t="str">
        <f>"Nog af te bouwen regulatoir saldo einde "&amp;F677</f>
        <v>Nog af te bouwen regulatoir saldo einde 2017</v>
      </c>
      <c r="L679" s="206"/>
      <c r="Q679" s="166"/>
    </row>
    <row r="680" spans="2:17" ht="13" x14ac:dyDescent="0.25">
      <c r="B680" s="1075">
        <v>2015</v>
      </c>
      <c r="C680" s="1076"/>
      <c r="D680" s="1076"/>
      <c r="E680" s="1077"/>
      <c r="F680" s="275"/>
      <c r="G680" s="176">
        <f>G231</f>
        <v>0</v>
      </c>
      <c r="H680" s="521">
        <v>0</v>
      </c>
      <c r="I680" s="176">
        <f>+G680+H680</f>
        <v>0</v>
      </c>
      <c r="J680" s="176">
        <f>-I680*0.6</f>
        <v>0</v>
      </c>
      <c r="K680" s="811">
        <f>+J680+G680</f>
        <v>0</v>
      </c>
      <c r="L680" s="206"/>
      <c r="Q680" s="166"/>
    </row>
    <row r="681" spans="2:17" x14ac:dyDescent="0.25">
      <c r="L681" s="206"/>
      <c r="Q681" s="166"/>
    </row>
    <row r="682" spans="2:17" ht="13" x14ac:dyDescent="0.25">
      <c r="B682" s="273" t="s">
        <v>139</v>
      </c>
      <c r="F682" s="810">
        <v>2018</v>
      </c>
      <c r="Q682" s="166"/>
    </row>
    <row r="683" spans="2:17" x14ac:dyDescent="0.25">
      <c r="Q683" s="166"/>
    </row>
    <row r="684" spans="2:17" ht="80.150000000000006" customHeight="1" x14ac:dyDescent="0.25">
      <c r="B684" s="1078" t="s">
        <v>140</v>
      </c>
      <c r="C684" s="1079"/>
      <c r="D684" s="1079"/>
      <c r="E684" s="1080"/>
      <c r="F684" s="274"/>
      <c r="G684" s="165" t="str">
        <f>"Nog af te bouwen regulatoir saldo einde "&amp;F682-1</f>
        <v>Nog af te bouwen regulatoir saldo einde 2017</v>
      </c>
      <c r="H684" s="165" t="str">
        <f>"Afbouw oudste openstaande regulatoir saldo vanaf boekjaar "&amp;F682-3&amp;" en vroeger, door aanwending van compensatie met regulatoir saldo ontstaan over boekjaar "&amp;F682-2</f>
        <v>Afbouw oudste openstaande regulatoir saldo vanaf boekjaar 2015 en vroeger, door aanwending van compensatie met regulatoir saldo ontstaan over boekjaar 2016</v>
      </c>
      <c r="I684" s="165" t="str">
        <f>"Nog af te bouwen regulatoir saldo na compensatie einde "&amp;F682-1</f>
        <v>Nog af te bouwen regulatoir saldo na compensatie einde 2017</v>
      </c>
      <c r="J684" s="165" t="str">
        <f>"60% van het geaccumuleerd regulatoir saldo door te rekenen volgens de tariefmethodologie in het boekjaar "&amp;F682</f>
        <v>60% van het geaccumuleerd regulatoir saldo door te rekenen volgens de tariefmethodologie in het boekjaar 2018</v>
      </c>
      <c r="K684" s="165" t="str">
        <f>"Aanwending van 60% van het geaccumuleerd regulatoir saldo door te rekenen volgens de tariefmethodologie in het boekjaar "&amp;F682</f>
        <v>Aanwending van 60% van het geaccumuleerd regulatoir saldo door te rekenen volgens de tariefmethodologie in het boekjaar 2018</v>
      </c>
      <c r="L684" s="165" t="str">
        <f>"Totale afbouw over "&amp;F682</f>
        <v>Totale afbouw over 2018</v>
      </c>
      <c r="M684" s="165" t="str">
        <f>"Nog af te bouwen regulatoir saldo einde "&amp;F682</f>
        <v>Nog af te bouwen regulatoir saldo einde 2018</v>
      </c>
      <c r="N684" s="206"/>
      <c r="Q684" s="166"/>
    </row>
    <row r="685" spans="2:17" ht="13" x14ac:dyDescent="0.25">
      <c r="B685" s="1075">
        <v>2015</v>
      </c>
      <c r="C685" s="1076"/>
      <c r="D685" s="1076"/>
      <c r="E685" s="1077"/>
      <c r="F685" s="275"/>
      <c r="G685" s="176">
        <f>K680</f>
        <v>0</v>
      </c>
      <c r="H685" s="521">
        <f>IF(SIGN(G686*K680)&lt;0,IF(G685&lt;&gt;0,-SIGN(G685)*MIN(ABS(G686),ABS(G685)),0),0)</f>
        <v>0</v>
      </c>
      <c r="I685" s="176">
        <f>+G685+H685</f>
        <v>0</v>
      </c>
      <c r="J685" s="806"/>
      <c r="K685" s="521">
        <f>-MIN(ABS(I685),ABS(J687))*SIGN(I685)</f>
        <v>0</v>
      </c>
      <c r="L685" s="813">
        <f>+K685+H685</f>
        <v>0</v>
      </c>
      <c r="M685" s="176">
        <f>+I685+K685</f>
        <v>0</v>
      </c>
      <c r="N685" s="206"/>
      <c r="Q685" s="166"/>
    </row>
    <row r="686" spans="2:17" ht="13" x14ac:dyDescent="0.25">
      <c r="B686" s="1075">
        <v>2016</v>
      </c>
      <c r="C686" s="1076"/>
      <c r="D686" s="1076"/>
      <c r="E686" s="1077"/>
      <c r="F686" s="275"/>
      <c r="G686" s="176">
        <f>H232</f>
        <v>0</v>
      </c>
      <c r="H686" s="813">
        <f>IF(SIGN(G686*K680)&lt;0,-H685,0)</f>
        <v>0</v>
      </c>
      <c r="I686" s="176">
        <f>+G686+H686</f>
        <v>0</v>
      </c>
      <c r="J686" s="806"/>
      <c r="K686" s="521">
        <f>-MIN(ABS(I686),ABS(J687-K685))*SIGN(I686)</f>
        <v>0</v>
      </c>
      <c r="L686" s="813">
        <f>+K686+H686</f>
        <v>0</v>
      </c>
      <c r="M686" s="176">
        <f>+I686+K686</f>
        <v>0</v>
      </c>
      <c r="N686" s="206"/>
      <c r="Q686" s="166"/>
    </row>
    <row r="687" spans="2:17" s="273" customFormat="1" ht="13" x14ac:dyDescent="0.25">
      <c r="G687" s="276">
        <f>SUM(G685:G686)</f>
        <v>0</v>
      </c>
      <c r="H687" s="168">
        <f>SUM(H685:H686)</f>
        <v>0</v>
      </c>
      <c r="I687" s="276">
        <f>SUM(I685:I686)</f>
        <v>0</v>
      </c>
      <c r="J687" s="276">
        <f>-I687*0.6</f>
        <v>0</v>
      </c>
      <c r="K687" s="168">
        <f>SUM(K685:K686)</f>
        <v>0</v>
      </c>
      <c r="L687" s="528"/>
      <c r="M687" s="276">
        <f>SUM(M685:M686)</f>
        <v>0</v>
      </c>
    </row>
    <row r="688" spans="2:17" x14ac:dyDescent="0.25">
      <c r="Q688" s="166"/>
    </row>
    <row r="689" spans="2:17" ht="13" x14ac:dyDescent="0.25">
      <c r="B689" s="273" t="s">
        <v>139</v>
      </c>
      <c r="F689" s="810">
        <v>2019</v>
      </c>
      <c r="Q689" s="166"/>
    </row>
    <row r="690" spans="2:17" x14ac:dyDescent="0.25">
      <c r="Q690" s="166"/>
    </row>
    <row r="691" spans="2:17" ht="80.150000000000006" customHeight="1" x14ac:dyDescent="0.25">
      <c r="B691" s="1078" t="s">
        <v>140</v>
      </c>
      <c r="C691" s="1079"/>
      <c r="D691" s="1079"/>
      <c r="E691" s="1080"/>
      <c r="F691" s="274"/>
      <c r="G691" s="165" t="str">
        <f>"Nog af te bouwen regulatoir saldo einde "&amp;F689-1</f>
        <v>Nog af te bouwen regulatoir saldo einde 2018</v>
      </c>
      <c r="H691" s="165" t="str">
        <f>"Afbouw oudste openstaande regulatoir saldo vanaf boekjaar "&amp;F689-3&amp;" en vroeger, door aanwending van compensatie met regulatoir saldo ontstaan over boekjaar "&amp;F689-2</f>
        <v>Afbouw oudste openstaande regulatoir saldo vanaf boekjaar 2016 en vroeger, door aanwending van compensatie met regulatoir saldo ontstaan over boekjaar 2017</v>
      </c>
      <c r="I691" s="165" t="str">
        <f>"Nog af te bouwen regulatoir saldo na compensatie einde "&amp;F689-1</f>
        <v>Nog af te bouwen regulatoir saldo na compensatie einde 2018</v>
      </c>
      <c r="J691" s="165" t="str">
        <f>"60% van het geaccumuleerd regulatoir saldo door te rekenen volgens de tariefmethodologie in het boekjaar "&amp;F689</f>
        <v>60% van het geaccumuleerd regulatoir saldo door te rekenen volgens de tariefmethodologie in het boekjaar 2019</v>
      </c>
      <c r="K691" s="165" t="str">
        <f>"Aanwending van het 60% van het geaccumuleerd regulatoir saldo door te rekenen volgens de tariefmethodologie in het boekjaar "&amp;F689</f>
        <v>Aanwending van het 60% van het geaccumuleerd regulatoir saldo door te rekenen volgens de tariefmethodologie in het boekjaar 2019</v>
      </c>
      <c r="L691" s="165" t="str">
        <f>"Totale afbouw over "&amp;F689</f>
        <v>Totale afbouw over 2019</v>
      </c>
      <c r="M691" s="165" t="str">
        <f>"Nog af te bouwen regulatoir saldo einde "&amp;F689</f>
        <v>Nog af te bouwen regulatoir saldo einde 2019</v>
      </c>
      <c r="N691" s="206"/>
      <c r="Q691" s="166"/>
    </row>
    <row r="692" spans="2:17" ht="13" x14ac:dyDescent="0.25">
      <c r="B692" s="1075">
        <v>2015</v>
      </c>
      <c r="C692" s="1076"/>
      <c r="D692" s="1076"/>
      <c r="E692" s="1077"/>
      <c r="F692" s="275"/>
      <c r="G692" s="176">
        <f>+M685</f>
        <v>0</v>
      </c>
      <c r="H692" s="813">
        <f>IF(SIGN(G694*M687)&lt;0,IF(G692&lt;&gt;0,-SIGN(G692)*MIN(ABS(G694),ABS(G692)),0),0)</f>
        <v>0</v>
      </c>
      <c r="I692" s="176">
        <f>+G692+H692</f>
        <v>0</v>
      </c>
      <c r="J692" s="806"/>
      <c r="K692" s="521">
        <f>-MIN(ABS(I692),ABS(J695))*SIGN(I692)</f>
        <v>0</v>
      </c>
      <c r="L692" s="813">
        <f>+K692+H692</f>
        <v>0</v>
      </c>
      <c r="M692" s="176">
        <f>+I692+K692</f>
        <v>0</v>
      </c>
      <c r="N692" s="206"/>
      <c r="Q692" s="166"/>
    </row>
    <row r="693" spans="2:17" ht="13" x14ac:dyDescent="0.25">
      <c r="B693" s="1075">
        <v>2016</v>
      </c>
      <c r="C693" s="1076"/>
      <c r="D693" s="1076">
        <v>2016</v>
      </c>
      <c r="E693" s="1077"/>
      <c r="F693" s="275"/>
      <c r="G693" s="176">
        <f>+M686</f>
        <v>0</v>
      </c>
      <c r="H693" s="813">
        <f>IF(SIGN(G694*M687)&lt;0,IF(G693&lt;&gt;0,-SIGN(G693)*MIN(ABS(G694-H692),ABS(G693)),0),0)</f>
        <v>0</v>
      </c>
      <c r="I693" s="176">
        <f>+G693+H693</f>
        <v>0</v>
      </c>
      <c r="J693" s="806"/>
      <c r="K693" s="521">
        <f>-MIN(ABS(I693),ABS(J695-K692))*SIGN(I693)</f>
        <v>0</v>
      </c>
      <c r="L693" s="813">
        <f>+K693+H693</f>
        <v>0</v>
      </c>
      <c r="M693" s="176">
        <f>+I693+K693</f>
        <v>0</v>
      </c>
      <c r="N693" s="206"/>
      <c r="Q693" s="166"/>
    </row>
    <row r="694" spans="2:17" ht="13" x14ac:dyDescent="0.25">
      <c r="B694" s="1075">
        <v>2017</v>
      </c>
      <c r="C694" s="1076"/>
      <c r="D694" s="1076"/>
      <c r="E694" s="1077"/>
      <c r="F694" s="275"/>
      <c r="G694" s="176">
        <f>I233</f>
        <v>0</v>
      </c>
      <c r="H694" s="813">
        <f>IF(SIGN(G694*M687)&lt;0,-SUM(H692:H693),0)</f>
        <v>0</v>
      </c>
      <c r="I694" s="176">
        <f>+G694+H694</f>
        <v>0</v>
      </c>
      <c r="J694" s="806"/>
      <c r="K694" s="521">
        <f>-MIN(ABS(I694),ABS(J695-K692-K693))*SIGN(I694)</f>
        <v>0</v>
      </c>
      <c r="L694" s="813">
        <f>+K694+H694</f>
        <v>0</v>
      </c>
      <c r="M694" s="176">
        <f>+I694+K694</f>
        <v>0</v>
      </c>
      <c r="N694" s="206"/>
      <c r="Q694" s="166"/>
    </row>
    <row r="695" spans="2:17" s="273" customFormat="1" ht="13" x14ac:dyDescent="0.25">
      <c r="G695" s="276">
        <f>SUM(G692:G694)</f>
        <v>0</v>
      </c>
      <c r="H695" s="168">
        <f>SUM(H692:H694)</f>
        <v>0</v>
      </c>
      <c r="I695" s="276">
        <f>SUM(I692:I694)</f>
        <v>0</v>
      </c>
      <c r="J695" s="276">
        <f>-I695*0.6</f>
        <v>0</v>
      </c>
      <c r="K695" s="168">
        <f>SUM(K692:K694)</f>
        <v>0</v>
      </c>
      <c r="L695" s="528"/>
      <c r="M695" s="276">
        <f>SUM(M692:M694)</f>
        <v>0</v>
      </c>
    </row>
    <row r="696" spans="2:17" x14ac:dyDescent="0.25">
      <c r="Q696" s="166"/>
    </row>
    <row r="697" spans="2:17" ht="13" x14ac:dyDescent="0.25">
      <c r="B697" s="273" t="s">
        <v>139</v>
      </c>
      <c r="F697" s="810">
        <v>2020</v>
      </c>
      <c r="Q697" s="166"/>
    </row>
    <row r="698" spans="2:17" x14ac:dyDescent="0.25">
      <c r="Q698" s="166"/>
    </row>
    <row r="699" spans="2:17" ht="80.150000000000006" customHeight="1" x14ac:dyDescent="0.25">
      <c r="B699" s="1078" t="s">
        <v>140</v>
      </c>
      <c r="C699" s="1079"/>
      <c r="D699" s="1079"/>
      <c r="E699" s="1080"/>
      <c r="F699" s="274"/>
      <c r="G699" s="165" t="str">
        <f>"Nog af te bouwen regulatoir saldo einde "&amp;F697-1</f>
        <v>Nog af te bouwen regulatoir saldo einde 2019</v>
      </c>
      <c r="H699" s="165" t="str">
        <f>"Afbouw oudste openstaande regulatoir saldo vanaf boekjaar "&amp;F697-3&amp;" en vroeger, door aanwending van compensatie met regulatoir saldo ontstaan over boekjaar "&amp;F697-2</f>
        <v>Afbouw oudste openstaande regulatoir saldo vanaf boekjaar 2017 en vroeger, door aanwending van compensatie met regulatoir saldo ontstaan over boekjaar 2018</v>
      </c>
      <c r="I699" s="165" t="str">
        <f>"Nog af te bouwen regulatoir saldo na compensatie einde "&amp;F697-1</f>
        <v>Nog af te bouwen regulatoir saldo na compensatie einde 2019</v>
      </c>
      <c r="J699" s="165" t="str">
        <f>"60% van het geaccumuleerd regulatoir saldo door te rekenen volgens de tariefmethodologie in het boekjaar "&amp;F697</f>
        <v>60% van het geaccumuleerd regulatoir saldo door te rekenen volgens de tariefmethodologie in het boekjaar 2020</v>
      </c>
      <c r="K699" s="165" t="str">
        <f>"Aanwending van het 60% van het geaccumuleerd regulatoir saldo door te rekenen volgens de tariefmethodologie in het boekjaar "&amp;F697</f>
        <v>Aanwending van het 60% van het geaccumuleerd regulatoir saldo door te rekenen volgens de tariefmethodologie in het boekjaar 2020</v>
      </c>
      <c r="L699" s="165" t="str">
        <f>"Totale afbouw over "&amp;F697</f>
        <v>Totale afbouw over 2020</v>
      </c>
      <c r="M699" s="165" t="str">
        <f>"Nog af te bouwen regulatoir saldo einde "&amp;F697</f>
        <v>Nog af te bouwen regulatoir saldo einde 2020</v>
      </c>
      <c r="N699" s="206"/>
      <c r="Q699" s="166"/>
    </row>
    <row r="700" spans="2:17" ht="13" x14ac:dyDescent="0.25">
      <c r="B700" s="1075">
        <v>2015</v>
      </c>
      <c r="C700" s="1076"/>
      <c r="D700" s="1076"/>
      <c r="E700" s="1077"/>
      <c r="F700" s="275"/>
      <c r="G700" s="176">
        <f>+M692</f>
        <v>0</v>
      </c>
      <c r="H700" s="813">
        <f>IF(SIGN(G703*M695)&lt;0,IF(G700&lt;&gt;0,-SIGN(G700)*MIN(ABS(G703),ABS(G700)),0),0)</f>
        <v>0</v>
      </c>
      <c r="I700" s="176">
        <f>+G700+H700</f>
        <v>0</v>
      </c>
      <c r="J700" s="806"/>
      <c r="K700" s="521">
        <f>-MIN(ABS(I700),ABS(J704))*SIGN(I700)</f>
        <v>0</v>
      </c>
      <c r="L700" s="813">
        <f>+K700+H700</f>
        <v>0</v>
      </c>
      <c r="M700" s="176">
        <f>+I700+K700</f>
        <v>0</v>
      </c>
      <c r="N700" s="206"/>
      <c r="Q700" s="166"/>
    </row>
    <row r="701" spans="2:17" ht="13" x14ac:dyDescent="0.25">
      <c r="B701" s="1075">
        <v>2016</v>
      </c>
      <c r="C701" s="1076"/>
      <c r="D701" s="1076"/>
      <c r="E701" s="1077"/>
      <c r="F701" s="275"/>
      <c r="G701" s="176">
        <f>+M693</f>
        <v>0</v>
      </c>
      <c r="H701" s="813">
        <f>IF(SIGN(G703*M695)&lt;0,IF(G701&lt;&gt;0,-SIGN(G701)*MIN(ABS(G703-H700),ABS(G701)),0),0)</f>
        <v>0</v>
      </c>
      <c r="I701" s="176">
        <f>+G701+H701</f>
        <v>0</v>
      </c>
      <c r="J701" s="806"/>
      <c r="K701" s="521">
        <f>-MIN(ABS(I701),ABS(J704-K700))*SIGN(I701)</f>
        <v>0</v>
      </c>
      <c r="L701" s="813">
        <f>+K701+H701</f>
        <v>0</v>
      </c>
      <c r="M701" s="176">
        <f>+I701+K701</f>
        <v>0</v>
      </c>
      <c r="N701" s="206"/>
      <c r="Q701" s="166"/>
    </row>
    <row r="702" spans="2:17" ht="13" x14ac:dyDescent="0.25">
      <c r="B702" s="1075">
        <v>2017</v>
      </c>
      <c r="C702" s="1076"/>
      <c r="D702" s="1076">
        <v>2016</v>
      </c>
      <c r="E702" s="1077"/>
      <c r="F702" s="275"/>
      <c r="G702" s="176">
        <f>+M694</f>
        <v>0</v>
      </c>
      <c r="H702" s="813">
        <f>IF(SIGN(G703*M695)&lt;0,IF(G702&lt;&gt;0,-SIGN(G702)*MIN(ABS(G703-H700-H701),ABS(G702)),0),0)</f>
        <v>0</v>
      </c>
      <c r="I702" s="176">
        <f>+G702+H702</f>
        <v>0</v>
      </c>
      <c r="J702" s="806"/>
      <c r="K702" s="521">
        <f>-MIN(ABS(I702),ABS(J704-K700-K701))*SIGN(I702)</f>
        <v>0</v>
      </c>
      <c r="L702" s="813">
        <f>+K702+H702</f>
        <v>0</v>
      </c>
      <c r="M702" s="176">
        <f>+I702+K702</f>
        <v>0</v>
      </c>
      <c r="N702" s="206"/>
      <c r="Q702" s="166"/>
    </row>
    <row r="703" spans="2:17" ht="13" x14ac:dyDescent="0.25">
      <c r="B703" s="1075">
        <v>2018</v>
      </c>
      <c r="C703" s="1076"/>
      <c r="D703" s="1076"/>
      <c r="E703" s="1077"/>
      <c r="F703" s="275"/>
      <c r="G703" s="176">
        <f>J234</f>
        <v>0</v>
      </c>
      <c r="H703" s="813">
        <f>IF(SIGN(G703*M695)&lt;0,-SUM(H700:H702),0)</f>
        <v>0</v>
      </c>
      <c r="I703" s="176">
        <f>+G703+H703</f>
        <v>0</v>
      </c>
      <c r="J703" s="806"/>
      <c r="K703" s="521">
        <f>-MIN(ABS(I703),ABS(J704-K700-K701-K702))*SIGN(I703)</f>
        <v>0</v>
      </c>
      <c r="L703" s="813">
        <f>+K703+H703</f>
        <v>0</v>
      </c>
      <c r="M703" s="176">
        <f>+I703+K703</f>
        <v>0</v>
      </c>
      <c r="N703" s="206"/>
      <c r="Q703" s="166"/>
    </row>
    <row r="704" spans="2:17" s="273" customFormat="1" ht="13" x14ac:dyDescent="0.25">
      <c r="G704" s="276">
        <f>SUM(G700:G703)</f>
        <v>0</v>
      </c>
      <c r="H704" s="168">
        <f>SUM(H700:H703)</f>
        <v>0</v>
      </c>
      <c r="I704" s="276">
        <f>SUM(I700:I703)</f>
        <v>0</v>
      </c>
      <c r="J704" s="276">
        <f>-I704*0.6</f>
        <v>0</v>
      </c>
      <c r="K704" s="168">
        <f>SUM(K700:K703)</f>
        <v>0</v>
      </c>
      <c r="L704" s="168"/>
      <c r="M704" s="276">
        <f>SUM(M700:M703)</f>
        <v>0</v>
      </c>
    </row>
    <row r="705" spans="2:17" x14ac:dyDescent="0.25">
      <c r="Q705" s="166"/>
    </row>
    <row r="706" spans="2:17" ht="13" x14ac:dyDescent="0.25">
      <c r="B706" s="273" t="s">
        <v>139</v>
      </c>
      <c r="F706" s="810">
        <v>2021</v>
      </c>
      <c r="Q706" s="166"/>
    </row>
    <row r="707" spans="2:17" x14ac:dyDescent="0.25">
      <c r="Q707" s="166"/>
    </row>
    <row r="708" spans="2:17" ht="78" customHeight="1" x14ac:dyDescent="0.25">
      <c r="B708" s="1078" t="s">
        <v>140</v>
      </c>
      <c r="C708" s="1079"/>
      <c r="D708" s="1079"/>
      <c r="E708" s="1080"/>
      <c r="F708" s="274"/>
      <c r="G708" s="165" t="str">
        <f>"Nog af te bouwen regulatoir saldo einde "&amp;F706-1</f>
        <v>Nog af te bouwen regulatoir saldo einde 2020</v>
      </c>
      <c r="H708" s="165" t="str">
        <f>"50% van het oorspronkelijk regulatoir saldo door te rekenen volgens de tariefmethodologie in het boekjaar "&amp;F706</f>
        <v>50% van het oorspronkelijk regulatoir saldo door te rekenen volgens de tariefmethodologie in het boekjaar 2021</v>
      </c>
      <c r="I708" s="165" t="str">
        <f>"Nog af te bouwen regulatoir saldo einde "&amp;F706</f>
        <v>Nog af te bouwen regulatoir saldo einde 2021</v>
      </c>
      <c r="J708" s="206"/>
      <c r="Q708" s="166"/>
    </row>
    <row r="709" spans="2:17" ht="13" x14ac:dyDescent="0.25">
      <c r="B709" s="1075">
        <v>2015</v>
      </c>
      <c r="C709" s="1076"/>
      <c r="D709" s="1076"/>
      <c r="E709" s="1077"/>
      <c r="F709" s="275"/>
      <c r="G709" s="176">
        <f>M700</f>
        <v>0</v>
      </c>
      <c r="H709" s="176">
        <f>-G709*0.5</f>
        <v>0</v>
      </c>
      <c r="I709" s="176">
        <f>+G709+H709</f>
        <v>0</v>
      </c>
      <c r="J709" s="206"/>
      <c r="Q709" s="166"/>
    </row>
    <row r="710" spans="2:17" ht="13" x14ac:dyDescent="0.25">
      <c r="B710" s="1075">
        <v>2016</v>
      </c>
      <c r="C710" s="1076"/>
      <c r="D710" s="1076"/>
      <c r="E710" s="1077"/>
      <c r="F710" s="275"/>
      <c r="G710" s="176">
        <f t="shared" ref="G710:G712" si="114">M701</f>
        <v>0</v>
      </c>
      <c r="H710" s="176">
        <f t="shared" ref="H710:H713" si="115">-G710*0.5</f>
        <v>0</v>
      </c>
      <c r="I710" s="176">
        <f t="shared" ref="I710:I713" si="116">+G710+H710</f>
        <v>0</v>
      </c>
      <c r="J710" s="206"/>
      <c r="Q710" s="166"/>
    </row>
    <row r="711" spans="2:17" ht="13" x14ac:dyDescent="0.25">
      <c r="B711" s="1075">
        <v>2017</v>
      </c>
      <c r="C711" s="1076"/>
      <c r="D711" s="1076">
        <v>2016</v>
      </c>
      <c r="E711" s="1077"/>
      <c r="F711" s="275"/>
      <c r="G711" s="176">
        <f t="shared" si="114"/>
        <v>0</v>
      </c>
      <c r="H711" s="176">
        <f t="shared" si="115"/>
        <v>0</v>
      </c>
      <c r="I711" s="176">
        <f t="shared" si="116"/>
        <v>0</v>
      </c>
      <c r="J711" s="206"/>
      <c r="Q711" s="166"/>
    </row>
    <row r="712" spans="2:17" ht="13" x14ac:dyDescent="0.25">
      <c r="B712" s="1075">
        <v>2018</v>
      </c>
      <c r="C712" s="1076"/>
      <c r="D712" s="1076"/>
      <c r="E712" s="1077"/>
      <c r="F712" s="275"/>
      <c r="G712" s="176">
        <f t="shared" si="114"/>
        <v>0</v>
      </c>
      <c r="H712" s="176">
        <f t="shared" si="115"/>
        <v>0</v>
      </c>
      <c r="I712" s="176">
        <f t="shared" si="116"/>
        <v>0</v>
      </c>
      <c r="J712" s="206"/>
      <c r="Q712" s="166"/>
    </row>
    <row r="713" spans="2:17" ht="13" x14ac:dyDescent="0.25">
      <c r="B713" s="1075">
        <v>2019</v>
      </c>
      <c r="C713" s="1076"/>
      <c r="D713" s="1076"/>
      <c r="E713" s="1077"/>
      <c r="F713" s="275"/>
      <c r="G713" s="176">
        <f>K235</f>
        <v>0</v>
      </c>
      <c r="H713" s="176">
        <f t="shared" si="115"/>
        <v>0</v>
      </c>
      <c r="I713" s="176">
        <f t="shared" si="116"/>
        <v>0</v>
      </c>
      <c r="J713" s="206"/>
      <c r="Q713" s="166"/>
    </row>
    <row r="714" spans="2:17" s="273" customFormat="1" ht="13" x14ac:dyDescent="0.25">
      <c r="G714" s="276">
        <f>SUM(G709:G713)</f>
        <v>0</v>
      </c>
      <c r="H714" s="276">
        <f>SUM(H709:H713)</f>
        <v>0</v>
      </c>
      <c r="I714" s="276">
        <f>SUM(I709:I713)</f>
        <v>0</v>
      </c>
    </row>
    <row r="715" spans="2:17" x14ac:dyDescent="0.25">
      <c r="Q715" s="166"/>
    </row>
    <row r="716" spans="2:17" ht="13" x14ac:dyDescent="0.25">
      <c r="B716" s="273" t="s">
        <v>139</v>
      </c>
      <c r="F716" s="810">
        <v>2022</v>
      </c>
      <c r="Q716" s="166"/>
    </row>
    <row r="717" spans="2:17" x14ac:dyDescent="0.25">
      <c r="Q717" s="166"/>
    </row>
    <row r="718" spans="2:17" ht="78" customHeight="1" x14ac:dyDescent="0.25">
      <c r="B718" s="1078" t="s">
        <v>140</v>
      </c>
      <c r="C718" s="1079"/>
      <c r="D718" s="1079"/>
      <c r="E718" s="1080"/>
      <c r="F718" s="274"/>
      <c r="G718" s="165" t="str">
        <f>"Nog af te bouwen regulatoir saldo einde "&amp;F716-1</f>
        <v>Nog af te bouwen regulatoir saldo einde 2021</v>
      </c>
      <c r="H718" s="165" t="str">
        <f>"50% van het oorspronkelijk regulatoir saldo door te rekenen volgens de tariefmethodologie in het boekjaar "&amp;F716</f>
        <v>50% van het oorspronkelijk regulatoir saldo door te rekenen volgens de tariefmethodologie in het boekjaar 2022</v>
      </c>
      <c r="I718" s="165" t="str">
        <f>"Nog af te bouwen regulatoir saldo einde "&amp;F716</f>
        <v>Nog af te bouwen regulatoir saldo einde 2022</v>
      </c>
      <c r="J718" s="206"/>
      <c r="Q718" s="166"/>
    </row>
    <row r="719" spans="2:17" ht="13" x14ac:dyDescent="0.25">
      <c r="B719" s="1075">
        <v>2015</v>
      </c>
      <c r="C719" s="1076"/>
      <c r="D719" s="1076"/>
      <c r="E719" s="1077"/>
      <c r="F719" s="275"/>
      <c r="G719" s="176">
        <f>+I709</f>
        <v>0</v>
      </c>
      <c r="H719" s="176">
        <f>-G709*0.5</f>
        <v>0</v>
      </c>
      <c r="I719" s="176">
        <f>+G719+H719</f>
        <v>0</v>
      </c>
      <c r="J719" s="206"/>
      <c r="Q719" s="166"/>
    </row>
    <row r="720" spans="2:17" ht="13" x14ac:dyDescent="0.25">
      <c r="B720" s="1075">
        <v>2016</v>
      </c>
      <c r="C720" s="1076"/>
      <c r="D720" s="1076"/>
      <c r="E720" s="1077"/>
      <c r="F720" s="275"/>
      <c r="G720" s="176">
        <f t="shared" ref="G720:G723" si="117">+I710</f>
        <v>0</v>
      </c>
      <c r="H720" s="176">
        <f t="shared" ref="H720:H723" si="118">-G710*0.5</f>
        <v>0</v>
      </c>
      <c r="I720" s="176">
        <f t="shared" ref="I720:I724" si="119">+G720+H720</f>
        <v>0</v>
      </c>
      <c r="J720" s="206"/>
      <c r="Q720" s="166"/>
    </row>
    <row r="721" spans="2:17" ht="13" x14ac:dyDescent="0.25">
      <c r="B721" s="1075">
        <v>2017</v>
      </c>
      <c r="C721" s="1076"/>
      <c r="D721" s="1076">
        <v>2016</v>
      </c>
      <c r="E721" s="1077"/>
      <c r="F721" s="275"/>
      <c r="G721" s="176">
        <f t="shared" si="117"/>
        <v>0</v>
      </c>
      <c r="H721" s="176">
        <f t="shared" si="118"/>
        <v>0</v>
      </c>
      <c r="I721" s="176">
        <f t="shared" si="119"/>
        <v>0</v>
      </c>
      <c r="J721" s="206"/>
      <c r="Q721" s="166"/>
    </row>
    <row r="722" spans="2:17" ht="13" x14ac:dyDescent="0.25">
      <c r="B722" s="1075">
        <v>2018</v>
      </c>
      <c r="C722" s="1076"/>
      <c r="D722" s="1076"/>
      <c r="E722" s="1077"/>
      <c r="F722" s="275"/>
      <c r="G722" s="176">
        <f t="shared" si="117"/>
        <v>0</v>
      </c>
      <c r="H722" s="176">
        <f t="shared" si="118"/>
        <v>0</v>
      </c>
      <c r="I722" s="176">
        <f t="shared" si="119"/>
        <v>0</v>
      </c>
      <c r="J722" s="206"/>
      <c r="Q722" s="166"/>
    </row>
    <row r="723" spans="2:17" ht="13" x14ac:dyDescent="0.25">
      <c r="B723" s="1075">
        <v>2019</v>
      </c>
      <c r="C723" s="1076"/>
      <c r="D723" s="1076"/>
      <c r="E723" s="1077"/>
      <c r="F723" s="275"/>
      <c r="G723" s="176">
        <f t="shared" si="117"/>
        <v>0</v>
      </c>
      <c r="H723" s="176">
        <f t="shared" si="118"/>
        <v>0</v>
      </c>
      <c r="I723" s="176">
        <f t="shared" si="119"/>
        <v>0</v>
      </c>
      <c r="J723" s="206"/>
      <c r="Q723" s="166"/>
    </row>
    <row r="724" spans="2:17" ht="13" x14ac:dyDescent="0.25">
      <c r="B724" s="1075">
        <v>2020</v>
      </c>
      <c r="C724" s="1076"/>
      <c r="D724" s="1076"/>
      <c r="E724" s="1077"/>
      <c r="F724" s="275"/>
      <c r="G724" s="176">
        <f>L236</f>
        <v>0</v>
      </c>
      <c r="H724" s="176">
        <f t="shared" ref="H724" si="120">-G724*0.5</f>
        <v>0</v>
      </c>
      <c r="I724" s="176">
        <f t="shared" si="119"/>
        <v>0</v>
      </c>
      <c r="J724" s="206"/>
      <c r="Q724" s="166"/>
    </row>
    <row r="725" spans="2:17" s="273" customFormat="1" ht="13" x14ac:dyDescent="0.25">
      <c r="G725" s="276">
        <f>SUM(G719:G724)</f>
        <v>0</v>
      </c>
      <c r="H725" s="276">
        <f t="shared" ref="H725" si="121">SUM(H719:H724)</f>
        <v>0</v>
      </c>
      <c r="I725" s="276">
        <f t="shared" ref="I725" si="122">SUM(I719:I724)</f>
        <v>0</v>
      </c>
    </row>
    <row r="726" spans="2:17" x14ac:dyDescent="0.25">
      <c r="Q726" s="166"/>
    </row>
    <row r="727" spans="2:17" ht="13" x14ac:dyDescent="0.25">
      <c r="B727" s="273" t="s">
        <v>202</v>
      </c>
      <c r="F727" s="810">
        <v>2023</v>
      </c>
      <c r="Q727" s="166"/>
    </row>
    <row r="728" spans="2:17" x14ac:dyDescent="0.25">
      <c r="Q728" s="166"/>
    </row>
    <row r="729" spans="2:17" ht="78" customHeight="1" x14ac:dyDescent="0.25">
      <c r="B729" s="1078" t="s">
        <v>140</v>
      </c>
      <c r="C729" s="1079"/>
      <c r="D729" s="1079"/>
      <c r="E729" s="1080"/>
      <c r="F729" s="274"/>
      <c r="G729" s="165" t="str">
        <f>"Nog af te bouwen regulatoir saldo einde "&amp;F727-1</f>
        <v>Nog af te bouwen regulatoir saldo einde 2022</v>
      </c>
      <c r="H729" s="165" t="str">
        <f>"50% van het oorspronkelijk regulatoir saldo door te rekenen volgens de tariefmethodologie in het boekjaar "&amp;F727</f>
        <v>50% van het oorspronkelijk regulatoir saldo door te rekenen volgens de tariefmethodologie in het boekjaar 2023</v>
      </c>
      <c r="I729" s="165" t="str">
        <f>"Nog af te bouwen regulatoir saldo einde "&amp;F727</f>
        <v>Nog af te bouwen regulatoir saldo einde 2023</v>
      </c>
      <c r="J729" s="206"/>
      <c r="Q729" s="166"/>
    </row>
    <row r="730" spans="2:17" ht="13" x14ac:dyDescent="0.25">
      <c r="B730" s="1075">
        <v>2020</v>
      </c>
      <c r="C730" s="1076"/>
      <c r="D730" s="1076"/>
      <c r="E730" s="1077"/>
      <c r="F730" s="275"/>
      <c r="G730" s="176">
        <f>+I724</f>
        <v>0</v>
      </c>
      <c r="H730" s="176">
        <f>-G724*0.5</f>
        <v>0</v>
      </c>
      <c r="I730" s="176">
        <f t="shared" ref="I730:I731" si="123">+G730+H730</f>
        <v>0</v>
      </c>
      <c r="J730" s="206"/>
      <c r="Q730" s="166"/>
    </row>
    <row r="731" spans="2:17" ht="13" x14ac:dyDescent="0.25">
      <c r="B731" s="1075">
        <v>2021</v>
      </c>
      <c r="C731" s="1076"/>
      <c r="D731" s="1076"/>
      <c r="E731" s="1077"/>
      <c r="F731" s="275"/>
      <c r="G731" s="176">
        <f>M237</f>
        <v>0</v>
      </c>
      <c r="H731" s="176">
        <f t="shared" ref="H731" si="124">-G731*0.5</f>
        <v>0</v>
      </c>
      <c r="I731" s="176">
        <f t="shared" si="123"/>
        <v>0</v>
      </c>
      <c r="J731" s="206"/>
      <c r="Q731" s="166"/>
    </row>
    <row r="732" spans="2:17" s="273" customFormat="1" ht="13" x14ac:dyDescent="0.25">
      <c r="G732" s="276">
        <f>SUM(G730:G731)</f>
        <v>0</v>
      </c>
      <c r="H732" s="276">
        <f>SUM(H730:H731)</f>
        <v>0</v>
      </c>
      <c r="I732" s="276">
        <f>SUM(I730:I731)</f>
        <v>0</v>
      </c>
    </row>
    <row r="733" spans="2:17" x14ac:dyDescent="0.25">
      <c r="Q733" s="166"/>
    </row>
    <row r="734" spans="2:17" ht="13" x14ac:dyDescent="0.25">
      <c r="B734" s="273" t="s">
        <v>139</v>
      </c>
      <c r="F734" s="810">
        <v>2024</v>
      </c>
      <c r="Q734" s="166"/>
    </row>
    <row r="735" spans="2:17" x14ac:dyDescent="0.25">
      <c r="Q735" s="166"/>
    </row>
    <row r="736" spans="2:17" ht="78" customHeight="1" x14ac:dyDescent="0.25">
      <c r="B736" s="1078" t="s">
        <v>140</v>
      </c>
      <c r="C736" s="1079"/>
      <c r="D736" s="1079"/>
      <c r="E736" s="1080"/>
      <c r="F736" s="274"/>
      <c r="G736" s="165" t="str">
        <f>"Nog af te bouwen regulatoir saldo einde "&amp;F734-1</f>
        <v>Nog af te bouwen regulatoir saldo einde 2023</v>
      </c>
      <c r="H736" s="165" t="str">
        <f>"50% van het oorspronkelijk regulatoir saldo door te rekenen volgens de tariefmethodologie in het boekjaar "&amp;F734</f>
        <v>50% van het oorspronkelijk regulatoir saldo door te rekenen volgens de tariefmethodologie in het boekjaar 2024</v>
      </c>
      <c r="I736" s="165" t="str">
        <f>"Nog af te bouwen regulatoir saldo einde "&amp;F734</f>
        <v>Nog af te bouwen regulatoir saldo einde 2024</v>
      </c>
      <c r="J736" s="206"/>
      <c r="Q736" s="166"/>
    </row>
    <row r="737" spans="2:17" ht="13" x14ac:dyDescent="0.25">
      <c r="B737" s="1075">
        <v>2021</v>
      </c>
      <c r="C737" s="1076"/>
      <c r="D737" s="1076"/>
      <c r="E737" s="1077"/>
      <c r="F737" s="275"/>
      <c r="G737" s="176">
        <f>+I731</f>
        <v>0</v>
      </c>
      <c r="H737" s="176">
        <f>-G731*0.5</f>
        <v>0</v>
      </c>
      <c r="I737" s="176">
        <f t="shared" ref="I737" si="125">+G737+H737</f>
        <v>0</v>
      </c>
      <c r="J737" s="206"/>
      <c r="Q737" s="166"/>
    </row>
    <row r="738" spans="2:17" s="273" customFormat="1" ht="13" x14ac:dyDescent="0.25">
      <c r="G738" s="276">
        <f>SUM(G737:G737)</f>
        <v>0</v>
      </c>
      <c r="H738" s="276">
        <f>SUM(H737:H737)</f>
        <v>0</v>
      </c>
      <c r="I738" s="276">
        <f>SUM(I737:I737)</f>
        <v>0</v>
      </c>
    </row>
    <row r="739" spans="2:17" x14ac:dyDescent="0.25">
      <c r="Q739" s="166"/>
    </row>
    <row r="740" spans="2:17" ht="13" x14ac:dyDescent="0.25">
      <c r="B740" s="273" t="s">
        <v>96</v>
      </c>
      <c r="C740" s="216"/>
      <c r="D740" s="216"/>
      <c r="E740" s="216"/>
      <c r="Q740" s="166"/>
    </row>
    <row r="741" spans="2:17" ht="13" x14ac:dyDescent="0.25">
      <c r="B741" s="273" t="s">
        <v>141</v>
      </c>
      <c r="C741" s="216"/>
      <c r="D741" s="216"/>
      <c r="E741" s="216"/>
      <c r="Q741" s="166"/>
    </row>
    <row r="742" spans="2:17" ht="13" x14ac:dyDescent="0.25">
      <c r="B742" s="273"/>
      <c r="C742" s="216"/>
      <c r="D742" s="216"/>
      <c r="E742" s="216"/>
      <c r="Q742" s="166"/>
    </row>
    <row r="743" spans="2:17" ht="13" x14ac:dyDescent="0.25">
      <c r="B743" s="275">
        <v>2021</v>
      </c>
      <c r="C743" s="279">
        <f>+H714</f>
        <v>0</v>
      </c>
      <c r="D743" s="216"/>
      <c r="E743" s="216"/>
      <c r="Q743" s="166"/>
    </row>
    <row r="744" spans="2:17" ht="13" x14ac:dyDescent="0.25">
      <c r="B744" s="275">
        <v>2022</v>
      </c>
      <c r="C744" s="279">
        <f>+H725</f>
        <v>0</v>
      </c>
      <c r="D744" s="216"/>
      <c r="E744" s="216"/>
      <c r="Q744" s="166"/>
    </row>
    <row r="745" spans="2:17" ht="13" x14ac:dyDescent="0.25">
      <c r="B745" s="275">
        <v>2023</v>
      </c>
      <c r="C745" s="279">
        <f>+H732</f>
        <v>0</v>
      </c>
      <c r="D745" s="216"/>
      <c r="E745" s="216"/>
      <c r="Q745" s="166"/>
    </row>
    <row r="746" spans="2:17" ht="13" x14ac:dyDescent="0.25">
      <c r="B746" s="275">
        <v>2024</v>
      </c>
      <c r="C746" s="279">
        <f>+H738</f>
        <v>0</v>
      </c>
      <c r="D746" s="216"/>
      <c r="E746" s="216"/>
      <c r="Q746" s="166"/>
    </row>
    <row r="747" spans="2:17" x14ac:dyDescent="0.25">
      <c r="Q747" s="166"/>
    </row>
    <row r="748" spans="2:17" x14ac:dyDescent="0.25">
      <c r="Q748" s="166"/>
    </row>
    <row r="749" spans="2:17" ht="12.75" customHeight="1" x14ac:dyDescent="0.25">
      <c r="B749" s="321" t="s">
        <v>356</v>
      </c>
      <c r="C749" s="322"/>
      <c r="D749" s="322"/>
      <c r="E749" s="322"/>
      <c r="F749" s="323"/>
      <c r="G749" s="323"/>
      <c r="H749" s="323"/>
      <c r="I749" s="323"/>
      <c r="J749" s="323"/>
      <c r="K749" s="323"/>
      <c r="L749" s="323"/>
      <c r="M749" s="323"/>
      <c r="Q749" s="166"/>
    </row>
    <row r="750" spans="2:17" x14ac:dyDescent="0.25">
      <c r="Q750" s="166"/>
    </row>
    <row r="751" spans="2:17" ht="13" x14ac:dyDescent="0.25">
      <c r="B751" s="273" t="s">
        <v>139</v>
      </c>
      <c r="F751" s="810">
        <v>2017</v>
      </c>
      <c r="Q751" s="166"/>
    </row>
    <row r="752" spans="2:17" x14ac:dyDescent="0.25">
      <c r="L752" s="206"/>
      <c r="Q752" s="166"/>
    </row>
    <row r="753" spans="2:17" ht="82.5" customHeight="1" x14ac:dyDescent="0.25">
      <c r="B753" s="1078" t="s">
        <v>140</v>
      </c>
      <c r="C753" s="1079"/>
      <c r="D753" s="1079"/>
      <c r="E753" s="1080"/>
      <c r="F753" s="274"/>
      <c r="G753" s="165" t="str">
        <f>"Nog af te bouwen regulatoir saldo einde "&amp;F751-1</f>
        <v>Nog af te bouwen regulatoir saldo einde 2016</v>
      </c>
      <c r="H753" s="165" t="str">
        <f>"Afbouw oudste openstaande regulatoir saldo vanaf boekjaar "&amp;F751-3&amp;" en vroeger, door aanwending van compensatie met regulatoir saldo ontstaan over boekjaar "&amp;F751-2</f>
        <v>Afbouw oudste openstaande regulatoir saldo vanaf boekjaar 2014 en vroeger, door aanwending van compensatie met regulatoir saldo ontstaan over boekjaar 2015</v>
      </c>
      <c r="I753" s="165" t="str">
        <f>"Nog af te bouwen regulatoir saldo na compensatie einde "&amp;F751-1</f>
        <v>Nog af te bouwen regulatoir saldo na compensatie einde 2016</v>
      </c>
      <c r="J753" s="165" t="str">
        <f>"Aanwending van 60% van het geaccumuleerd regulatoir saldo door te rekenen volgens de tariefmethodologie in het boekjaar "&amp;F751</f>
        <v>Aanwending van 60% van het geaccumuleerd regulatoir saldo door te rekenen volgens de tariefmethodologie in het boekjaar 2017</v>
      </c>
      <c r="K753" s="165" t="str">
        <f>"Nog af te bouwen regulatoir saldo einde "&amp;F751</f>
        <v>Nog af te bouwen regulatoir saldo einde 2017</v>
      </c>
      <c r="L753" s="206"/>
      <c r="Q753" s="166"/>
    </row>
    <row r="754" spans="2:17" ht="13" x14ac:dyDescent="0.25">
      <c r="B754" s="1075">
        <v>2015</v>
      </c>
      <c r="C754" s="1076"/>
      <c r="D754" s="1076"/>
      <c r="E754" s="1077"/>
      <c r="F754" s="275"/>
      <c r="G754" s="176">
        <f>G242</f>
        <v>0</v>
      </c>
      <c r="H754" s="521">
        <v>0</v>
      </c>
      <c r="I754" s="176">
        <f>+G754+H754</f>
        <v>0</v>
      </c>
      <c r="J754" s="176">
        <f>-I754*0.6</f>
        <v>0</v>
      </c>
      <c r="K754" s="811">
        <f>+J754+G754</f>
        <v>0</v>
      </c>
      <c r="L754" s="206"/>
      <c r="Q754" s="166"/>
    </row>
    <row r="755" spans="2:17" x14ac:dyDescent="0.25">
      <c r="H755" s="214"/>
      <c r="L755" s="206"/>
      <c r="Q755" s="166"/>
    </row>
    <row r="756" spans="2:17" ht="13" x14ac:dyDescent="0.25">
      <c r="B756" s="273" t="s">
        <v>139</v>
      </c>
      <c r="F756" s="810">
        <v>2018</v>
      </c>
      <c r="Q756" s="166"/>
    </row>
    <row r="757" spans="2:17" x14ac:dyDescent="0.25">
      <c r="Q757" s="166"/>
    </row>
    <row r="758" spans="2:17" ht="80.150000000000006" customHeight="1" x14ac:dyDescent="0.25">
      <c r="B758" s="1078" t="s">
        <v>140</v>
      </c>
      <c r="C758" s="1079"/>
      <c r="D758" s="1079"/>
      <c r="E758" s="1080"/>
      <c r="F758" s="274"/>
      <c r="G758" s="165" t="str">
        <f>"Nog af te bouwen regulatoir saldo einde "&amp;F756-1</f>
        <v>Nog af te bouwen regulatoir saldo einde 2017</v>
      </c>
      <c r="H758" s="165" t="str">
        <f>"Afbouw oudste openstaande regulatoir saldo vanaf boekjaar "&amp;F756-3&amp;" en vroeger, door aanwending van compensatie met regulatoir saldo ontstaan over boekjaar "&amp;F756-2</f>
        <v>Afbouw oudste openstaande regulatoir saldo vanaf boekjaar 2015 en vroeger, door aanwending van compensatie met regulatoir saldo ontstaan over boekjaar 2016</v>
      </c>
      <c r="I758" s="165" t="str">
        <f>"Nog af te bouwen regulatoir saldo na compensatie einde "&amp;F756-1</f>
        <v>Nog af te bouwen regulatoir saldo na compensatie einde 2017</v>
      </c>
      <c r="J758" s="165" t="str">
        <f>"60% van het geaccumuleerd regulatoir saldo door te rekenen volgens de tariefmethodologie in het boekjaar "&amp;F756</f>
        <v>60% van het geaccumuleerd regulatoir saldo door te rekenen volgens de tariefmethodologie in het boekjaar 2018</v>
      </c>
      <c r="K758" s="165" t="str">
        <f>"Aanwending van 60% van het geaccumuleerd regulatoir saldo door te rekenen volgens de tariefmethodologie in het boekjaar "&amp;F756</f>
        <v>Aanwending van 60% van het geaccumuleerd regulatoir saldo door te rekenen volgens de tariefmethodologie in het boekjaar 2018</v>
      </c>
      <c r="L758" s="165" t="str">
        <f>"Totale afbouw over "&amp;F756</f>
        <v>Totale afbouw over 2018</v>
      </c>
      <c r="M758" s="165" t="str">
        <f>"Nog af te bouwen regulatoir saldo einde "&amp;F756</f>
        <v>Nog af te bouwen regulatoir saldo einde 2018</v>
      </c>
      <c r="N758" s="206"/>
      <c r="Q758" s="166"/>
    </row>
    <row r="759" spans="2:17" ht="13" x14ac:dyDescent="0.25">
      <c r="B759" s="1075">
        <v>2015</v>
      </c>
      <c r="C759" s="1076"/>
      <c r="D759" s="1076"/>
      <c r="E759" s="1077"/>
      <c r="F759" s="275"/>
      <c r="G759" s="176">
        <f>K754</f>
        <v>0</v>
      </c>
      <c r="H759" s="521">
        <f>IF(SIGN(G760*K754)&lt;0,IF(G759&lt;&gt;0,-SIGN(G759)*MIN(ABS(G760),ABS(G759)),0),0)</f>
        <v>0</v>
      </c>
      <c r="I759" s="176">
        <f>+G759+H759</f>
        <v>0</v>
      </c>
      <c r="J759" s="806"/>
      <c r="K759" s="521">
        <f>-MIN(ABS(I759),ABS(J761))*SIGN(I759)</f>
        <v>0</v>
      </c>
      <c r="L759" s="813">
        <f>+K759+H759</f>
        <v>0</v>
      </c>
      <c r="M759" s="176">
        <f>+I759+K759</f>
        <v>0</v>
      </c>
      <c r="N759" s="206"/>
      <c r="Q759" s="166"/>
    </row>
    <row r="760" spans="2:17" ht="13" x14ac:dyDescent="0.25">
      <c r="B760" s="1075">
        <v>2016</v>
      </c>
      <c r="C760" s="1076"/>
      <c r="D760" s="1076"/>
      <c r="E760" s="1077"/>
      <c r="F760" s="275"/>
      <c r="G760" s="176">
        <f>H243</f>
        <v>0</v>
      </c>
      <c r="H760" s="813">
        <f>IF(SIGN(G760*K754)&lt;0,-H759,0)</f>
        <v>0</v>
      </c>
      <c r="I760" s="176">
        <f>+G760+H760</f>
        <v>0</v>
      </c>
      <c r="J760" s="806"/>
      <c r="K760" s="521">
        <f>-MIN(ABS(I760),ABS(J761-K759))*SIGN(I760)</f>
        <v>0</v>
      </c>
      <c r="L760" s="813">
        <f>+K760+H760</f>
        <v>0</v>
      </c>
      <c r="M760" s="176">
        <f>+I760+K760</f>
        <v>0</v>
      </c>
      <c r="N760" s="206"/>
      <c r="Q760" s="166"/>
    </row>
    <row r="761" spans="2:17" s="273" customFormat="1" ht="13" x14ac:dyDescent="0.25">
      <c r="G761" s="276">
        <f>SUM(G759:G760)</f>
        <v>0</v>
      </c>
      <c r="H761" s="168">
        <f>SUM(H759:H760)</f>
        <v>0</v>
      </c>
      <c r="I761" s="276">
        <f>SUM(I759:I760)</f>
        <v>0</v>
      </c>
      <c r="J761" s="276">
        <f>-I761*0.6</f>
        <v>0</v>
      </c>
      <c r="K761" s="168">
        <f>SUM(K759:K760)</f>
        <v>0</v>
      </c>
      <c r="L761" s="528"/>
      <c r="M761" s="276">
        <f>SUM(M759:M760)</f>
        <v>0</v>
      </c>
    </row>
    <row r="762" spans="2:17" x14ac:dyDescent="0.25">
      <c r="Q762" s="166"/>
    </row>
    <row r="763" spans="2:17" ht="13" x14ac:dyDescent="0.25">
      <c r="B763" s="273" t="s">
        <v>139</v>
      </c>
      <c r="F763" s="810">
        <v>2019</v>
      </c>
      <c r="Q763" s="166"/>
    </row>
    <row r="764" spans="2:17" x14ac:dyDescent="0.25">
      <c r="Q764" s="166"/>
    </row>
    <row r="765" spans="2:17" ht="80.150000000000006" customHeight="1" x14ac:dyDescent="0.25">
      <c r="B765" s="1078" t="s">
        <v>140</v>
      </c>
      <c r="C765" s="1079"/>
      <c r="D765" s="1079"/>
      <c r="E765" s="1080"/>
      <c r="F765" s="274"/>
      <c r="G765" s="165" t="str">
        <f>"Nog af te bouwen regulatoir saldo einde "&amp;F763-1</f>
        <v>Nog af te bouwen regulatoir saldo einde 2018</v>
      </c>
      <c r="H765" s="165" t="str">
        <f>"Afbouw oudste openstaande regulatoir saldo vanaf boekjaar "&amp;F763-3&amp;" en vroeger, door aanwending van compensatie met regulatoir saldo ontstaan over boekjaar "&amp;F763-2</f>
        <v>Afbouw oudste openstaande regulatoir saldo vanaf boekjaar 2016 en vroeger, door aanwending van compensatie met regulatoir saldo ontstaan over boekjaar 2017</v>
      </c>
      <c r="I765" s="165" t="str">
        <f>"Nog af te bouwen regulatoir saldo na compensatie einde "&amp;F763-1</f>
        <v>Nog af te bouwen regulatoir saldo na compensatie einde 2018</v>
      </c>
      <c r="J765" s="165" t="str">
        <f>"60% van het geaccumuleerd regulatoir saldo door te rekenen volgens de tariefmethodologie in het boekjaar "&amp;F763</f>
        <v>60% van het geaccumuleerd regulatoir saldo door te rekenen volgens de tariefmethodologie in het boekjaar 2019</v>
      </c>
      <c r="K765" s="165" t="str">
        <f>"Aanwending van het 60% van het geaccumuleerd regulatoir saldo door te rekenen volgens de tariefmethodologie in het boekjaar "&amp;F763</f>
        <v>Aanwending van het 60% van het geaccumuleerd regulatoir saldo door te rekenen volgens de tariefmethodologie in het boekjaar 2019</v>
      </c>
      <c r="L765" s="165" t="str">
        <f>"Totale afbouw over "&amp;F763</f>
        <v>Totale afbouw over 2019</v>
      </c>
      <c r="M765" s="165" t="str">
        <f>"Nog af te bouwen regulatoir saldo einde "&amp;F763</f>
        <v>Nog af te bouwen regulatoir saldo einde 2019</v>
      </c>
      <c r="N765" s="206"/>
      <c r="Q765" s="166"/>
    </row>
    <row r="766" spans="2:17" ht="13" x14ac:dyDescent="0.25">
      <c r="B766" s="1075">
        <v>2015</v>
      </c>
      <c r="C766" s="1076"/>
      <c r="D766" s="1076"/>
      <c r="E766" s="1077"/>
      <c r="F766" s="275"/>
      <c r="G766" s="176">
        <f>+M759</f>
        <v>0</v>
      </c>
      <c r="H766" s="813">
        <f>IF(SIGN(G768*M761)&lt;0,IF(G766&lt;&gt;0,-SIGN(G766)*MIN(ABS(G768),ABS(G766)),0),0)</f>
        <v>0</v>
      </c>
      <c r="I766" s="176">
        <f>+G766+H766</f>
        <v>0</v>
      </c>
      <c r="J766" s="806"/>
      <c r="K766" s="521">
        <f>-MIN(ABS(I766),ABS(J769))*SIGN(I766)</f>
        <v>0</v>
      </c>
      <c r="L766" s="813">
        <f>+K766+H766</f>
        <v>0</v>
      </c>
      <c r="M766" s="176">
        <f>+I766+K766</f>
        <v>0</v>
      </c>
      <c r="N766" s="206"/>
      <c r="Q766" s="166"/>
    </row>
    <row r="767" spans="2:17" ht="13" x14ac:dyDescent="0.25">
      <c r="B767" s="1075">
        <v>2016</v>
      </c>
      <c r="C767" s="1076"/>
      <c r="D767" s="1076">
        <v>2016</v>
      </c>
      <c r="E767" s="1077"/>
      <c r="F767" s="275"/>
      <c r="G767" s="176">
        <f>+M760</f>
        <v>0</v>
      </c>
      <c r="H767" s="813">
        <f>IF(SIGN(G768*M761)&lt;0,IF(G767&lt;&gt;0,-SIGN(G767)*MIN(ABS(G768-H766),ABS(G767)),0),0)</f>
        <v>0</v>
      </c>
      <c r="I767" s="176">
        <f>+G767+H767</f>
        <v>0</v>
      </c>
      <c r="J767" s="806"/>
      <c r="K767" s="521">
        <f>-MIN(ABS(I767),ABS(J769-K766))*SIGN(I767)</f>
        <v>0</v>
      </c>
      <c r="L767" s="813">
        <f>+K767+H767</f>
        <v>0</v>
      </c>
      <c r="M767" s="176">
        <f>+I767+K767</f>
        <v>0</v>
      </c>
      <c r="N767" s="206"/>
      <c r="Q767" s="166"/>
    </row>
    <row r="768" spans="2:17" ht="13" x14ac:dyDescent="0.25">
      <c r="B768" s="1075">
        <v>2017</v>
      </c>
      <c r="C768" s="1076"/>
      <c r="D768" s="1076"/>
      <c r="E768" s="1077"/>
      <c r="F768" s="275"/>
      <c r="G768" s="176">
        <f>I244</f>
        <v>0</v>
      </c>
      <c r="H768" s="813">
        <f>IF(SIGN(G768*M761)&lt;0,-SUM(H766:H767),0)</f>
        <v>0</v>
      </c>
      <c r="I768" s="176">
        <f>+G768+H768</f>
        <v>0</v>
      </c>
      <c r="J768" s="806"/>
      <c r="K768" s="521">
        <f>-MIN(ABS(I768),ABS(J769-K766-K767))*SIGN(I768)</f>
        <v>0</v>
      </c>
      <c r="L768" s="813">
        <f>+K768+H768</f>
        <v>0</v>
      </c>
      <c r="M768" s="176">
        <f>+I768+K768</f>
        <v>0</v>
      </c>
      <c r="N768" s="206"/>
      <c r="Q768" s="166"/>
    </row>
    <row r="769" spans="2:17" s="273" customFormat="1" ht="13" x14ac:dyDescent="0.25">
      <c r="G769" s="276">
        <f>SUM(G766:G768)</f>
        <v>0</v>
      </c>
      <c r="H769" s="168">
        <f>SUM(H766:H768)</f>
        <v>0</v>
      </c>
      <c r="I769" s="276">
        <f>SUM(I766:I768)</f>
        <v>0</v>
      </c>
      <c r="J769" s="276">
        <f>-I769*0.6</f>
        <v>0</v>
      </c>
      <c r="K769" s="168">
        <f>SUM(K766:K768)</f>
        <v>0</v>
      </c>
      <c r="L769" s="528"/>
      <c r="M769" s="276">
        <f>SUM(M766:M768)</f>
        <v>0</v>
      </c>
    </row>
    <row r="770" spans="2:17" x14ac:dyDescent="0.25">
      <c r="H770" s="214"/>
      <c r="Q770" s="166"/>
    </row>
    <row r="771" spans="2:17" ht="13" x14ac:dyDescent="0.25">
      <c r="B771" s="273" t="s">
        <v>139</v>
      </c>
      <c r="F771" s="810">
        <v>2020</v>
      </c>
      <c r="Q771" s="166"/>
    </row>
    <row r="772" spans="2:17" x14ac:dyDescent="0.25">
      <c r="Q772" s="166"/>
    </row>
    <row r="773" spans="2:17" ht="80.150000000000006" customHeight="1" x14ac:dyDescent="0.25">
      <c r="B773" s="1078" t="s">
        <v>140</v>
      </c>
      <c r="C773" s="1079"/>
      <c r="D773" s="1079"/>
      <c r="E773" s="1080"/>
      <c r="F773" s="274"/>
      <c r="G773" s="165" t="str">
        <f>"Nog af te bouwen regulatoir saldo einde "&amp;F771-1</f>
        <v>Nog af te bouwen regulatoir saldo einde 2019</v>
      </c>
      <c r="H773" s="165" t="str">
        <f>"Afbouw oudste openstaande regulatoir saldo vanaf boekjaar "&amp;F771-3&amp;" en vroeger, door aanwending van compensatie met regulatoir saldo ontstaan over boekjaar "&amp;F771-2</f>
        <v>Afbouw oudste openstaande regulatoir saldo vanaf boekjaar 2017 en vroeger, door aanwending van compensatie met regulatoir saldo ontstaan over boekjaar 2018</v>
      </c>
      <c r="I773" s="165" t="str">
        <f>"Nog af te bouwen regulatoir saldo na compensatie einde "&amp;F771-1</f>
        <v>Nog af te bouwen regulatoir saldo na compensatie einde 2019</v>
      </c>
      <c r="J773" s="165" t="str">
        <f>"60% van het geaccumuleerd regulatoir saldo door te rekenen volgens de tariefmethodologie in het boekjaar "&amp;F771</f>
        <v>60% van het geaccumuleerd regulatoir saldo door te rekenen volgens de tariefmethodologie in het boekjaar 2020</v>
      </c>
      <c r="K773" s="165" t="str">
        <f>"Aanwending van het 60% van het geaccumuleerd regulatoir saldo door te rekenen volgens de tariefmethodologie in het boekjaar "&amp;F771</f>
        <v>Aanwending van het 60% van het geaccumuleerd regulatoir saldo door te rekenen volgens de tariefmethodologie in het boekjaar 2020</v>
      </c>
      <c r="L773" s="165" t="str">
        <f>"Totale afbouw over "&amp;F771</f>
        <v>Totale afbouw over 2020</v>
      </c>
      <c r="M773" s="165" t="str">
        <f>"Nog af te bouwen regulatoir saldo einde "&amp;F771</f>
        <v>Nog af te bouwen regulatoir saldo einde 2020</v>
      </c>
      <c r="N773" s="206"/>
      <c r="Q773" s="166"/>
    </row>
    <row r="774" spans="2:17" ht="13" x14ac:dyDescent="0.25">
      <c r="B774" s="1075">
        <v>2015</v>
      </c>
      <c r="C774" s="1076"/>
      <c r="D774" s="1076"/>
      <c r="E774" s="1077"/>
      <c r="F774" s="275"/>
      <c r="G774" s="176">
        <f>+M766</f>
        <v>0</v>
      </c>
      <c r="H774" s="813">
        <f>IF(SIGN(G777*M769)&lt;0,IF(G774&lt;&gt;0,-SIGN(G774)*MIN(ABS(G777),ABS(G774)),0),0)</f>
        <v>0</v>
      </c>
      <c r="I774" s="176">
        <f>+G774+H774</f>
        <v>0</v>
      </c>
      <c r="J774" s="806"/>
      <c r="K774" s="521">
        <f>-MIN(ABS(I774),ABS(J778))*SIGN(I774)</f>
        <v>0</v>
      </c>
      <c r="L774" s="813">
        <f>+K774+H774</f>
        <v>0</v>
      </c>
      <c r="M774" s="176">
        <f>+I774+K774</f>
        <v>0</v>
      </c>
      <c r="N774" s="206"/>
      <c r="Q774" s="166"/>
    </row>
    <row r="775" spans="2:17" ht="13" x14ac:dyDescent="0.25">
      <c r="B775" s="1075">
        <v>2016</v>
      </c>
      <c r="C775" s="1076"/>
      <c r="D775" s="1076"/>
      <c r="E775" s="1077"/>
      <c r="F775" s="275"/>
      <c r="G775" s="176">
        <f>+M767</f>
        <v>0</v>
      </c>
      <c r="H775" s="813">
        <f>IF(SIGN(G777*M769)&lt;0,IF(G775&lt;&gt;0,-SIGN(G775)*MIN(ABS(G777-H774),ABS(G775)),0),0)</f>
        <v>0</v>
      </c>
      <c r="I775" s="176">
        <f>+G775+H775</f>
        <v>0</v>
      </c>
      <c r="J775" s="806"/>
      <c r="K775" s="521">
        <f>-MIN(ABS(I775),ABS(J778-K774))*SIGN(I775)</f>
        <v>0</v>
      </c>
      <c r="L775" s="813">
        <f>+K775+H775</f>
        <v>0</v>
      </c>
      <c r="M775" s="176">
        <f>+I775+K775</f>
        <v>0</v>
      </c>
      <c r="N775" s="206"/>
      <c r="Q775" s="166"/>
    </row>
    <row r="776" spans="2:17" ht="13" x14ac:dyDescent="0.25">
      <c r="B776" s="1075">
        <v>2017</v>
      </c>
      <c r="C776" s="1076"/>
      <c r="D776" s="1076">
        <v>2016</v>
      </c>
      <c r="E776" s="1077"/>
      <c r="F776" s="275"/>
      <c r="G776" s="176">
        <f>+M768</f>
        <v>0</v>
      </c>
      <c r="H776" s="813">
        <f>IF(SIGN(G777*M769)&lt;0,IF(G776&lt;&gt;0,-SIGN(G776)*MIN(ABS(G777-H774-H775),ABS(G776)),0),0)</f>
        <v>0</v>
      </c>
      <c r="I776" s="176">
        <f>+G776+H776</f>
        <v>0</v>
      </c>
      <c r="J776" s="806"/>
      <c r="K776" s="521">
        <f>-MIN(ABS(I776),ABS(J778-K774-K775))*SIGN(I776)</f>
        <v>0</v>
      </c>
      <c r="L776" s="813">
        <f>+K776+H776</f>
        <v>0</v>
      </c>
      <c r="M776" s="176">
        <f>+I776+K776</f>
        <v>0</v>
      </c>
      <c r="N776" s="206"/>
      <c r="Q776" s="166"/>
    </row>
    <row r="777" spans="2:17" ht="13" x14ac:dyDescent="0.25">
      <c r="B777" s="1075">
        <v>2018</v>
      </c>
      <c r="C777" s="1076"/>
      <c r="D777" s="1076"/>
      <c r="E777" s="1077"/>
      <c r="F777" s="275"/>
      <c r="G777" s="176">
        <f>J245</f>
        <v>0</v>
      </c>
      <c r="H777" s="813">
        <f>IF(SIGN(G777*M769)&lt;0,-SUM(H774:H776),0)</f>
        <v>0</v>
      </c>
      <c r="I777" s="176">
        <f>+G777+H777</f>
        <v>0</v>
      </c>
      <c r="J777" s="806"/>
      <c r="K777" s="521">
        <f>-MIN(ABS(I777),ABS(J778-K774-K775-K776))*SIGN(I777)</f>
        <v>0</v>
      </c>
      <c r="L777" s="813">
        <f>+K777+H777</f>
        <v>0</v>
      </c>
      <c r="M777" s="176">
        <f>+I777+K777</f>
        <v>0</v>
      </c>
      <c r="N777" s="206"/>
      <c r="Q777" s="166"/>
    </row>
    <row r="778" spans="2:17" s="273" customFormat="1" ht="13" x14ac:dyDescent="0.25">
      <c r="G778" s="276">
        <f>SUM(G774:G777)</f>
        <v>0</v>
      </c>
      <c r="H778" s="168">
        <f>SUM(H774:H777)</f>
        <v>0</v>
      </c>
      <c r="I778" s="276">
        <f>SUM(I774:I777)</f>
        <v>0</v>
      </c>
      <c r="J778" s="276">
        <f>-I778*0.6</f>
        <v>0</v>
      </c>
      <c r="K778" s="168">
        <f>SUM(K774:K777)</f>
        <v>0</v>
      </c>
      <c r="L778" s="168"/>
      <c r="M778" s="276">
        <f>SUM(M774:M777)</f>
        <v>0</v>
      </c>
    </row>
    <row r="779" spans="2:17" x14ac:dyDescent="0.25">
      <c r="Q779" s="166"/>
    </row>
    <row r="780" spans="2:17" ht="13" x14ac:dyDescent="0.25">
      <c r="B780" s="273" t="s">
        <v>139</v>
      </c>
      <c r="F780" s="810">
        <v>2021</v>
      </c>
      <c r="Q780" s="166"/>
    </row>
    <row r="781" spans="2:17" x14ac:dyDescent="0.25">
      <c r="Q781" s="166"/>
    </row>
    <row r="782" spans="2:17" ht="78" customHeight="1" x14ac:dyDescent="0.25">
      <c r="B782" s="1078" t="s">
        <v>140</v>
      </c>
      <c r="C782" s="1079"/>
      <c r="D782" s="1079"/>
      <c r="E782" s="1080"/>
      <c r="F782" s="274"/>
      <c r="G782" s="165" t="str">
        <f>"Nog af te bouwen regulatoir saldo einde "&amp;F780-1</f>
        <v>Nog af te bouwen regulatoir saldo einde 2020</v>
      </c>
      <c r="H782" s="165" t="str">
        <f>"50% van het oorspronkelijk regulatoir saldo door te rekenen volgens de tariefmethodologie in het boekjaar "&amp;F780</f>
        <v>50% van het oorspronkelijk regulatoir saldo door te rekenen volgens de tariefmethodologie in het boekjaar 2021</v>
      </c>
      <c r="I782" s="165" t="str">
        <f>"Nog af te bouwen regulatoir saldo einde "&amp;F780</f>
        <v>Nog af te bouwen regulatoir saldo einde 2021</v>
      </c>
      <c r="J782" s="206"/>
      <c r="Q782" s="166"/>
    </row>
    <row r="783" spans="2:17" ht="13" x14ac:dyDescent="0.25">
      <c r="B783" s="1075">
        <v>2015</v>
      </c>
      <c r="C783" s="1076"/>
      <c r="D783" s="1076"/>
      <c r="E783" s="1077"/>
      <c r="F783" s="275"/>
      <c r="G783" s="176">
        <f>M774</f>
        <v>0</v>
      </c>
      <c r="H783" s="176">
        <f>-G783*0.5</f>
        <v>0</v>
      </c>
      <c r="I783" s="176">
        <f>+G783+H783</f>
        <v>0</v>
      </c>
      <c r="J783" s="206"/>
      <c r="Q783" s="166"/>
    </row>
    <row r="784" spans="2:17" ht="13" x14ac:dyDescent="0.25">
      <c r="B784" s="1075">
        <v>2016</v>
      </c>
      <c r="C784" s="1076"/>
      <c r="D784" s="1076"/>
      <c r="E784" s="1077"/>
      <c r="F784" s="275"/>
      <c r="G784" s="176">
        <f t="shared" ref="G784:G786" si="126">M775</f>
        <v>0</v>
      </c>
      <c r="H784" s="176">
        <f t="shared" ref="H784:H787" si="127">-G784*0.5</f>
        <v>0</v>
      </c>
      <c r="I784" s="176">
        <f t="shared" ref="I784:I787" si="128">+G784+H784</f>
        <v>0</v>
      </c>
      <c r="J784" s="206"/>
      <c r="Q784" s="166"/>
    </row>
    <row r="785" spans="2:17" ht="13" x14ac:dyDescent="0.25">
      <c r="B785" s="1075">
        <v>2017</v>
      </c>
      <c r="C785" s="1076"/>
      <c r="D785" s="1076">
        <v>2016</v>
      </c>
      <c r="E785" s="1077"/>
      <c r="F785" s="275"/>
      <c r="G785" s="176">
        <f t="shared" si="126"/>
        <v>0</v>
      </c>
      <c r="H785" s="176">
        <f t="shared" si="127"/>
        <v>0</v>
      </c>
      <c r="I785" s="176">
        <f t="shared" si="128"/>
        <v>0</v>
      </c>
      <c r="J785" s="206"/>
      <c r="Q785" s="166"/>
    </row>
    <row r="786" spans="2:17" ht="13" x14ac:dyDescent="0.25">
      <c r="B786" s="1075">
        <v>2018</v>
      </c>
      <c r="C786" s="1076"/>
      <c r="D786" s="1076"/>
      <c r="E786" s="1077"/>
      <c r="F786" s="275"/>
      <c r="G786" s="176">
        <f t="shared" si="126"/>
        <v>0</v>
      </c>
      <c r="H786" s="176">
        <f t="shared" si="127"/>
        <v>0</v>
      </c>
      <c r="I786" s="176">
        <f t="shared" si="128"/>
        <v>0</v>
      </c>
      <c r="J786" s="206"/>
      <c r="Q786" s="166"/>
    </row>
    <row r="787" spans="2:17" ht="13" x14ac:dyDescent="0.25">
      <c r="B787" s="1075">
        <v>2019</v>
      </c>
      <c r="C787" s="1076"/>
      <c r="D787" s="1076"/>
      <c r="E787" s="1077"/>
      <c r="F787" s="275"/>
      <c r="G787" s="176">
        <f>K246</f>
        <v>0</v>
      </c>
      <c r="H787" s="176">
        <f t="shared" si="127"/>
        <v>0</v>
      </c>
      <c r="I787" s="176">
        <f t="shared" si="128"/>
        <v>0</v>
      </c>
      <c r="J787" s="206"/>
      <c r="Q787" s="166"/>
    </row>
    <row r="788" spans="2:17" s="273" customFormat="1" ht="13" x14ac:dyDescent="0.25">
      <c r="G788" s="276">
        <f>SUM(G783:G787)</f>
        <v>0</v>
      </c>
      <c r="H788" s="276">
        <f>SUM(H783:H787)</f>
        <v>0</v>
      </c>
      <c r="I788" s="276">
        <f>SUM(I783:I787)</f>
        <v>0</v>
      </c>
    </row>
    <row r="789" spans="2:17" x14ac:dyDescent="0.25">
      <c r="Q789" s="166"/>
    </row>
    <row r="790" spans="2:17" ht="13" x14ac:dyDescent="0.25">
      <c r="B790" s="273" t="s">
        <v>139</v>
      </c>
      <c r="F790" s="810">
        <v>2022</v>
      </c>
      <c r="Q790" s="166"/>
    </row>
    <row r="791" spans="2:17" x14ac:dyDescent="0.25">
      <c r="Q791" s="166"/>
    </row>
    <row r="792" spans="2:17" ht="78" customHeight="1" x14ac:dyDescent="0.25">
      <c r="B792" s="1078" t="s">
        <v>140</v>
      </c>
      <c r="C792" s="1079"/>
      <c r="D792" s="1079"/>
      <c r="E792" s="1080"/>
      <c r="F792" s="274"/>
      <c r="G792" s="165" t="str">
        <f>"Nog af te bouwen regulatoir saldo einde "&amp;F790-1</f>
        <v>Nog af te bouwen regulatoir saldo einde 2021</v>
      </c>
      <c r="H792" s="165" t="str">
        <f>"50% van het oorspronkelijk regulatoir saldo door te rekenen volgens de tariefmethodologie in het boekjaar "&amp;F790</f>
        <v>50% van het oorspronkelijk regulatoir saldo door te rekenen volgens de tariefmethodologie in het boekjaar 2022</v>
      </c>
      <c r="I792" s="165" t="str">
        <f>"Nog af te bouwen regulatoir saldo einde "&amp;F790</f>
        <v>Nog af te bouwen regulatoir saldo einde 2022</v>
      </c>
      <c r="J792" s="206"/>
      <c r="Q792" s="166"/>
    </row>
    <row r="793" spans="2:17" ht="13" x14ac:dyDescent="0.25">
      <c r="B793" s="1075">
        <v>2015</v>
      </c>
      <c r="C793" s="1076"/>
      <c r="D793" s="1076"/>
      <c r="E793" s="1077"/>
      <c r="F793" s="275"/>
      <c r="G793" s="176">
        <f>+I783</f>
        <v>0</v>
      </c>
      <c r="H793" s="176">
        <f>-G783*0.5</f>
        <v>0</v>
      </c>
      <c r="I793" s="176">
        <f>+G793+H793</f>
        <v>0</v>
      </c>
      <c r="J793" s="206"/>
      <c r="Q793" s="166"/>
    </row>
    <row r="794" spans="2:17" ht="13" x14ac:dyDescent="0.25">
      <c r="B794" s="1075">
        <v>2016</v>
      </c>
      <c r="C794" s="1076"/>
      <c r="D794" s="1076"/>
      <c r="E794" s="1077"/>
      <c r="F794" s="275"/>
      <c r="G794" s="176">
        <f t="shared" ref="G794:G797" si="129">+I784</f>
        <v>0</v>
      </c>
      <c r="H794" s="176">
        <f t="shared" ref="H794:H797" si="130">-G784*0.5</f>
        <v>0</v>
      </c>
      <c r="I794" s="176">
        <f t="shared" ref="I794:I798" si="131">+G794+H794</f>
        <v>0</v>
      </c>
      <c r="J794" s="206"/>
      <c r="Q794" s="166"/>
    </row>
    <row r="795" spans="2:17" ht="13" x14ac:dyDescent="0.25">
      <c r="B795" s="1075">
        <v>2017</v>
      </c>
      <c r="C795" s="1076"/>
      <c r="D795" s="1076">
        <v>2016</v>
      </c>
      <c r="E795" s="1077"/>
      <c r="F795" s="275"/>
      <c r="G795" s="176">
        <f t="shared" si="129"/>
        <v>0</v>
      </c>
      <c r="H795" s="176">
        <f t="shared" si="130"/>
        <v>0</v>
      </c>
      <c r="I795" s="176">
        <f t="shared" si="131"/>
        <v>0</v>
      </c>
      <c r="J795" s="206"/>
      <c r="Q795" s="166"/>
    </row>
    <row r="796" spans="2:17" ht="13" x14ac:dyDescent="0.25">
      <c r="B796" s="1075">
        <v>2018</v>
      </c>
      <c r="C796" s="1076"/>
      <c r="D796" s="1076"/>
      <c r="E796" s="1077"/>
      <c r="F796" s="275"/>
      <c r="G796" s="176">
        <f t="shared" si="129"/>
        <v>0</v>
      </c>
      <c r="H796" s="176">
        <f t="shared" si="130"/>
        <v>0</v>
      </c>
      <c r="I796" s="176">
        <f t="shared" si="131"/>
        <v>0</v>
      </c>
      <c r="J796" s="206"/>
      <c r="Q796" s="166"/>
    </row>
    <row r="797" spans="2:17" ht="13" x14ac:dyDescent="0.25">
      <c r="B797" s="1075">
        <v>2019</v>
      </c>
      <c r="C797" s="1076"/>
      <c r="D797" s="1076"/>
      <c r="E797" s="1077"/>
      <c r="F797" s="275"/>
      <c r="G797" s="176">
        <f t="shared" si="129"/>
        <v>0</v>
      </c>
      <c r="H797" s="176">
        <f t="shared" si="130"/>
        <v>0</v>
      </c>
      <c r="I797" s="176">
        <f t="shared" si="131"/>
        <v>0</v>
      </c>
      <c r="J797" s="206"/>
      <c r="Q797" s="166"/>
    </row>
    <row r="798" spans="2:17" ht="13" x14ac:dyDescent="0.25">
      <c r="B798" s="1075">
        <v>2020</v>
      </c>
      <c r="C798" s="1076"/>
      <c r="D798" s="1076"/>
      <c r="E798" s="1077"/>
      <c r="F798" s="275"/>
      <c r="G798" s="176">
        <f>L247</f>
        <v>0</v>
      </c>
      <c r="H798" s="176">
        <f t="shared" ref="H798" si="132">-G798*0.5</f>
        <v>0</v>
      </c>
      <c r="I798" s="176">
        <f t="shared" si="131"/>
        <v>0</v>
      </c>
      <c r="J798" s="206"/>
      <c r="Q798" s="166"/>
    </row>
    <row r="799" spans="2:17" s="273" customFormat="1" ht="13" x14ac:dyDescent="0.25">
      <c r="G799" s="276">
        <f>SUM(G793:G798)</f>
        <v>0</v>
      </c>
      <c r="H799" s="276">
        <f t="shared" ref="H799" si="133">SUM(H793:H798)</f>
        <v>0</v>
      </c>
      <c r="I799" s="276">
        <f t="shared" ref="I799" si="134">SUM(I793:I798)</f>
        <v>0</v>
      </c>
    </row>
    <row r="800" spans="2:17" x14ac:dyDescent="0.25">
      <c r="Q800" s="166"/>
    </row>
    <row r="801" spans="2:17" ht="13" x14ac:dyDescent="0.25">
      <c r="B801" s="273" t="s">
        <v>139</v>
      </c>
      <c r="F801" s="810">
        <v>2023</v>
      </c>
      <c r="Q801" s="166"/>
    </row>
    <row r="802" spans="2:17" x14ac:dyDescent="0.25">
      <c r="Q802" s="166"/>
    </row>
    <row r="803" spans="2:17" ht="78" customHeight="1" x14ac:dyDescent="0.25">
      <c r="B803" s="1078" t="s">
        <v>140</v>
      </c>
      <c r="C803" s="1079"/>
      <c r="D803" s="1079"/>
      <c r="E803" s="1080"/>
      <c r="F803" s="274"/>
      <c r="G803" s="165" t="str">
        <f>"Nog af te bouwen regulatoir saldo einde "&amp;F801-1</f>
        <v>Nog af te bouwen regulatoir saldo einde 2022</v>
      </c>
      <c r="H803" s="165" t="str">
        <f>"50% van het oorspronkelijk regulatoir saldo door te rekenen volgens de tariefmethodologie in het boekjaar "&amp;F801</f>
        <v>50% van het oorspronkelijk regulatoir saldo door te rekenen volgens de tariefmethodologie in het boekjaar 2023</v>
      </c>
      <c r="I803" s="165" t="str">
        <f>"Nog af te bouwen regulatoir saldo einde "&amp;F801</f>
        <v>Nog af te bouwen regulatoir saldo einde 2023</v>
      </c>
      <c r="J803" s="206"/>
      <c r="Q803" s="166"/>
    </row>
    <row r="804" spans="2:17" ht="13" x14ac:dyDescent="0.25">
      <c r="B804" s="1075">
        <v>2020</v>
      </c>
      <c r="C804" s="1076"/>
      <c r="D804" s="1076"/>
      <c r="E804" s="1077"/>
      <c r="F804" s="275"/>
      <c r="G804" s="176">
        <f>+I798</f>
        <v>0</v>
      </c>
      <c r="H804" s="176">
        <f>-G798*0.5</f>
        <v>0</v>
      </c>
      <c r="I804" s="176">
        <f t="shared" ref="I804:I805" si="135">+G804+H804</f>
        <v>0</v>
      </c>
      <c r="J804" s="206"/>
      <c r="Q804" s="166"/>
    </row>
    <row r="805" spans="2:17" ht="13" x14ac:dyDescent="0.25">
      <c r="B805" s="1075">
        <v>2021</v>
      </c>
      <c r="C805" s="1076"/>
      <c r="D805" s="1076"/>
      <c r="E805" s="1077"/>
      <c r="F805" s="275"/>
      <c r="G805" s="176">
        <f>M248</f>
        <v>0</v>
      </c>
      <c r="H805" s="176">
        <f t="shared" ref="H805" si="136">-G805*0.5</f>
        <v>0</v>
      </c>
      <c r="I805" s="176">
        <f t="shared" si="135"/>
        <v>0</v>
      </c>
      <c r="J805" s="206"/>
      <c r="Q805" s="166"/>
    </row>
    <row r="806" spans="2:17" s="273" customFormat="1" ht="13" x14ac:dyDescent="0.25">
      <c r="G806" s="276">
        <f>SUM(G804:G805)</f>
        <v>0</v>
      </c>
      <c r="H806" s="276">
        <f>SUM(H804:H805)</f>
        <v>0</v>
      </c>
      <c r="I806" s="276">
        <f>SUM(I804:I805)</f>
        <v>0</v>
      </c>
    </row>
    <row r="807" spans="2:17" x14ac:dyDescent="0.25">
      <c r="Q807" s="166"/>
    </row>
    <row r="808" spans="2:17" ht="13" x14ac:dyDescent="0.25">
      <c r="B808" s="273" t="s">
        <v>139</v>
      </c>
      <c r="F808" s="810">
        <v>2024</v>
      </c>
      <c r="Q808" s="166"/>
    </row>
    <row r="809" spans="2:17" x14ac:dyDescent="0.25">
      <c r="Q809" s="166"/>
    </row>
    <row r="810" spans="2:17" ht="78" customHeight="1" x14ac:dyDescent="0.25">
      <c r="B810" s="1078" t="s">
        <v>140</v>
      </c>
      <c r="C810" s="1079"/>
      <c r="D810" s="1079"/>
      <c r="E810" s="1080"/>
      <c r="F810" s="274"/>
      <c r="G810" s="165" t="str">
        <f>"Nog af te bouwen regulatoir saldo einde "&amp;F808-1</f>
        <v>Nog af te bouwen regulatoir saldo einde 2023</v>
      </c>
      <c r="H810" s="165" t="str">
        <f>"50% van het oorspronkelijk regulatoir saldo door te rekenen volgens de tariefmethodologie in het boekjaar "&amp;F808</f>
        <v>50% van het oorspronkelijk regulatoir saldo door te rekenen volgens de tariefmethodologie in het boekjaar 2024</v>
      </c>
      <c r="I810" s="165" t="str">
        <f>"Nog af te bouwen regulatoir saldo einde "&amp;F808</f>
        <v>Nog af te bouwen regulatoir saldo einde 2024</v>
      </c>
      <c r="J810" s="206"/>
      <c r="Q810" s="166"/>
    </row>
    <row r="811" spans="2:17" ht="13" x14ac:dyDescent="0.25">
      <c r="B811" s="1075">
        <v>2021</v>
      </c>
      <c r="C811" s="1076"/>
      <c r="D811" s="1076"/>
      <c r="E811" s="1077"/>
      <c r="F811" s="275"/>
      <c r="G811" s="176">
        <f>+I805</f>
        <v>0</v>
      </c>
      <c r="H811" s="176">
        <f>-G805*0.5</f>
        <v>0</v>
      </c>
      <c r="I811" s="176">
        <f t="shared" ref="I811:I812" si="137">+G811+H811</f>
        <v>0</v>
      </c>
      <c r="J811" s="206"/>
      <c r="Q811" s="166"/>
    </row>
    <row r="812" spans="2:17" ht="13" x14ac:dyDescent="0.25">
      <c r="B812" s="1075">
        <v>2022</v>
      </c>
      <c r="C812" s="1076"/>
      <c r="D812" s="1076"/>
      <c r="E812" s="1077"/>
      <c r="F812" s="275"/>
      <c r="G812" s="176">
        <f>N249</f>
        <v>0</v>
      </c>
      <c r="H812" s="176">
        <f t="shared" ref="H812" si="138">-G812*0.5</f>
        <v>0</v>
      </c>
      <c r="I812" s="176">
        <f t="shared" si="137"/>
        <v>0</v>
      </c>
      <c r="J812" s="206"/>
      <c r="Q812" s="166"/>
    </row>
    <row r="813" spans="2:17" s="273" customFormat="1" ht="13" x14ac:dyDescent="0.25">
      <c r="G813" s="276">
        <f>SUM(G811:G812)</f>
        <v>0</v>
      </c>
      <c r="H813" s="276">
        <f>SUM(H811:H812)</f>
        <v>0</v>
      </c>
      <c r="I813" s="276">
        <f>SUM(I811:I812)</f>
        <v>0</v>
      </c>
    </row>
    <row r="814" spans="2:17" x14ac:dyDescent="0.25">
      <c r="Q814" s="166"/>
    </row>
    <row r="815" spans="2:17" ht="13" x14ac:dyDescent="0.25">
      <c r="B815" s="273" t="s">
        <v>356</v>
      </c>
      <c r="Q815" s="166"/>
    </row>
    <row r="816" spans="2:17" ht="13" x14ac:dyDescent="0.25">
      <c r="B816" s="273" t="s">
        <v>141</v>
      </c>
      <c r="C816" s="216"/>
      <c r="D816" s="216"/>
      <c r="E816" s="216"/>
      <c r="Q816" s="166"/>
    </row>
    <row r="817" spans="2:17" ht="13" x14ac:dyDescent="0.25">
      <c r="B817" s="273"/>
      <c r="C817" s="216"/>
      <c r="D817" s="216"/>
      <c r="E817" s="216"/>
      <c r="Q817" s="166"/>
    </row>
    <row r="818" spans="2:17" ht="13" x14ac:dyDescent="0.25">
      <c r="B818" s="275">
        <v>2021</v>
      </c>
      <c r="C818" s="279">
        <f>+H788</f>
        <v>0</v>
      </c>
      <c r="D818" s="216"/>
      <c r="E818" s="216"/>
      <c r="Q818" s="166"/>
    </row>
    <row r="819" spans="2:17" ht="13" x14ac:dyDescent="0.25">
      <c r="B819" s="275">
        <v>2022</v>
      </c>
      <c r="C819" s="279">
        <f>+H799</f>
        <v>0</v>
      </c>
      <c r="D819" s="216"/>
      <c r="E819" s="216"/>
      <c r="Q819" s="166"/>
    </row>
    <row r="820" spans="2:17" ht="13" x14ac:dyDescent="0.25">
      <c r="B820" s="275">
        <v>2023</v>
      </c>
      <c r="C820" s="279">
        <f>+H806</f>
        <v>0</v>
      </c>
      <c r="D820" s="216"/>
      <c r="E820" s="216"/>
      <c r="Q820" s="166"/>
    </row>
    <row r="821" spans="2:17" ht="13" x14ac:dyDescent="0.25">
      <c r="B821" s="275">
        <v>2024</v>
      </c>
      <c r="C821" s="279">
        <f>+H813</f>
        <v>0</v>
      </c>
      <c r="D821" s="216"/>
      <c r="E821" s="216"/>
      <c r="P821" s="203"/>
      <c r="Q821" s="166"/>
    </row>
    <row r="822" spans="2:17" x14ac:dyDescent="0.25">
      <c r="Q822" s="166"/>
    </row>
    <row r="823" spans="2:17" x14ac:dyDescent="0.25">
      <c r="Q823" s="166"/>
    </row>
    <row r="824" spans="2:17" ht="12.75" customHeight="1" x14ac:dyDescent="0.25">
      <c r="B824" s="321" t="s">
        <v>349</v>
      </c>
      <c r="C824" s="322"/>
      <c r="D824" s="322"/>
      <c r="E824" s="322"/>
      <c r="F824" s="323"/>
      <c r="G824" s="323"/>
      <c r="H824" s="323"/>
      <c r="I824" s="323"/>
      <c r="J824" s="323"/>
      <c r="K824" s="323"/>
      <c r="L824" s="323"/>
      <c r="M824" s="323"/>
      <c r="Q824" s="166"/>
    </row>
    <row r="825" spans="2:17" x14ac:dyDescent="0.25">
      <c r="Q825" s="166"/>
    </row>
    <row r="826" spans="2:17" ht="13" x14ac:dyDescent="0.25">
      <c r="B826" s="273" t="s">
        <v>139</v>
      </c>
      <c r="F826" s="810">
        <v>2017</v>
      </c>
      <c r="Q826" s="166"/>
    </row>
    <row r="827" spans="2:17" x14ac:dyDescent="0.25">
      <c r="L827" s="206"/>
      <c r="Q827" s="166"/>
    </row>
    <row r="828" spans="2:17" ht="82.5" customHeight="1" x14ac:dyDescent="0.25">
      <c r="B828" s="1078" t="s">
        <v>140</v>
      </c>
      <c r="C828" s="1079"/>
      <c r="D828" s="1079"/>
      <c r="E828" s="1080"/>
      <c r="F828" s="274"/>
      <c r="G828" s="165" t="str">
        <f>"Nog af te bouwen regulatoir saldo einde "&amp;F826-1</f>
        <v>Nog af te bouwen regulatoir saldo einde 2016</v>
      </c>
      <c r="H828" s="165" t="str">
        <f>"Afbouw oudste openstaande regulatoir saldo vanaf boekjaar "&amp;F826-3&amp;" en vroeger, door aanwending van compensatie met regulatoir saldo ontstaan over boekjaar "&amp;F826-2</f>
        <v>Afbouw oudste openstaande regulatoir saldo vanaf boekjaar 2014 en vroeger, door aanwending van compensatie met regulatoir saldo ontstaan over boekjaar 2015</v>
      </c>
      <c r="I828" s="165" t="str">
        <f>"Nog af te bouwen regulatoir saldo na compensatie einde "&amp;F826-1</f>
        <v>Nog af te bouwen regulatoir saldo na compensatie einde 2016</v>
      </c>
      <c r="J828" s="165" t="str">
        <f>"Aanwending van 60% van het geaccumuleerd regulatoir saldo door te rekenen volgens de tariefmethodologie in het boekjaar "&amp;F826</f>
        <v>Aanwending van 60% van het geaccumuleerd regulatoir saldo door te rekenen volgens de tariefmethodologie in het boekjaar 2017</v>
      </c>
      <c r="K828" s="165" t="str">
        <f>"Nog af te bouwen regulatoir saldo einde "&amp;F826</f>
        <v>Nog af te bouwen regulatoir saldo einde 2017</v>
      </c>
      <c r="L828" s="206"/>
      <c r="Q828" s="166"/>
    </row>
    <row r="829" spans="2:17" ht="13" x14ac:dyDescent="0.25">
      <c r="B829" s="1075">
        <v>2015</v>
      </c>
      <c r="C829" s="1076"/>
      <c r="D829" s="1076"/>
      <c r="E829" s="1077"/>
      <c r="F829" s="275"/>
      <c r="G829" s="176">
        <f>G253</f>
        <v>0</v>
      </c>
      <c r="H829" s="521">
        <v>0</v>
      </c>
      <c r="I829" s="176">
        <f>+G829+H829</f>
        <v>0</v>
      </c>
      <c r="J829" s="176">
        <f>-I829*0.6</f>
        <v>0</v>
      </c>
      <c r="K829" s="811">
        <f>+J829+G829</f>
        <v>0</v>
      </c>
      <c r="L829" s="206"/>
      <c r="Q829" s="166"/>
    </row>
    <row r="830" spans="2:17" x14ac:dyDescent="0.25">
      <c r="H830" s="214"/>
      <c r="L830" s="206"/>
      <c r="Q830" s="166"/>
    </row>
    <row r="831" spans="2:17" ht="13" x14ac:dyDescent="0.25">
      <c r="B831" s="273" t="s">
        <v>139</v>
      </c>
      <c r="F831" s="810">
        <v>2018</v>
      </c>
      <c r="Q831" s="166"/>
    </row>
    <row r="832" spans="2:17" x14ac:dyDescent="0.25">
      <c r="Q832" s="166"/>
    </row>
    <row r="833" spans="2:17" ht="80.150000000000006" customHeight="1" x14ac:dyDescent="0.25">
      <c r="B833" s="1078" t="s">
        <v>140</v>
      </c>
      <c r="C833" s="1079"/>
      <c r="D833" s="1079"/>
      <c r="E833" s="1080"/>
      <c r="F833" s="274"/>
      <c r="G833" s="165" t="str">
        <f>"Nog af te bouwen regulatoir saldo einde "&amp;F831-1</f>
        <v>Nog af te bouwen regulatoir saldo einde 2017</v>
      </c>
      <c r="H833" s="165" t="str">
        <f>"Afbouw oudste openstaande regulatoir saldo vanaf boekjaar "&amp;F831-3&amp;" en vroeger, door aanwending van compensatie met regulatoir saldo ontstaan over boekjaar "&amp;F831-2</f>
        <v>Afbouw oudste openstaande regulatoir saldo vanaf boekjaar 2015 en vroeger, door aanwending van compensatie met regulatoir saldo ontstaan over boekjaar 2016</v>
      </c>
      <c r="I833" s="165" t="str">
        <f>"Nog af te bouwen regulatoir saldo na compensatie einde "&amp;F831-1</f>
        <v>Nog af te bouwen regulatoir saldo na compensatie einde 2017</v>
      </c>
      <c r="J833" s="165" t="str">
        <f>"60% van het geaccumuleerd regulatoir saldo door te rekenen volgens de tariefmethodologie in het boekjaar "&amp;F831</f>
        <v>60% van het geaccumuleerd regulatoir saldo door te rekenen volgens de tariefmethodologie in het boekjaar 2018</v>
      </c>
      <c r="K833" s="165" t="str">
        <f>"Aanwending van 60% van het geaccumuleerd regulatoir saldo door te rekenen volgens de tariefmethodologie in het boekjaar "&amp;F831</f>
        <v>Aanwending van 60% van het geaccumuleerd regulatoir saldo door te rekenen volgens de tariefmethodologie in het boekjaar 2018</v>
      </c>
      <c r="L833" s="165" t="str">
        <f>"Totale afbouw over "&amp;F831</f>
        <v>Totale afbouw over 2018</v>
      </c>
      <c r="M833" s="165" t="str">
        <f>"Nog af te bouwen regulatoir saldo einde "&amp;F831</f>
        <v>Nog af te bouwen regulatoir saldo einde 2018</v>
      </c>
      <c r="N833" s="206"/>
      <c r="Q833" s="166"/>
    </row>
    <row r="834" spans="2:17" ht="13" x14ac:dyDescent="0.25">
      <c r="B834" s="1075">
        <v>2015</v>
      </c>
      <c r="C834" s="1076"/>
      <c r="D834" s="1076"/>
      <c r="E834" s="1077"/>
      <c r="F834" s="275"/>
      <c r="G834" s="176">
        <f>K829</f>
        <v>0</v>
      </c>
      <c r="H834" s="521">
        <f>IF(SIGN(G835*K829)&lt;0,IF(G834&lt;&gt;0,-SIGN(G834)*MIN(ABS(G835),ABS(G834)),0),0)</f>
        <v>0</v>
      </c>
      <c r="I834" s="176">
        <f>+G834+H834</f>
        <v>0</v>
      </c>
      <c r="J834" s="806"/>
      <c r="K834" s="521">
        <f>-MIN(ABS(I834),ABS(J836))*SIGN(I834)</f>
        <v>0</v>
      </c>
      <c r="L834" s="813">
        <f>+K834+H834</f>
        <v>0</v>
      </c>
      <c r="M834" s="176">
        <f>+I834+K834</f>
        <v>0</v>
      </c>
      <c r="N834" s="206"/>
      <c r="Q834" s="166"/>
    </row>
    <row r="835" spans="2:17" ht="13" x14ac:dyDescent="0.25">
      <c r="B835" s="1075">
        <v>2016</v>
      </c>
      <c r="C835" s="1076"/>
      <c r="D835" s="1076"/>
      <c r="E835" s="1077"/>
      <c r="F835" s="275"/>
      <c r="G835" s="176">
        <f>+H254</f>
        <v>0</v>
      </c>
      <c r="H835" s="813">
        <f>IF(SIGN(G835*K829)&lt;0,-H834,0)</f>
        <v>0</v>
      </c>
      <c r="I835" s="176">
        <f>+G835+H835</f>
        <v>0</v>
      </c>
      <c r="J835" s="806"/>
      <c r="K835" s="521">
        <f>-MIN(ABS(I835),ABS(J836-K834))*SIGN(I835)</f>
        <v>0</v>
      </c>
      <c r="L835" s="813">
        <f>+K835+H835</f>
        <v>0</v>
      </c>
      <c r="M835" s="176">
        <f>+I835+K835</f>
        <v>0</v>
      </c>
      <c r="N835" s="206"/>
      <c r="Q835" s="166"/>
    </row>
    <row r="836" spans="2:17" s="273" customFormat="1" ht="13" x14ac:dyDescent="0.25">
      <c r="G836" s="276">
        <f>SUM(G834:G835)</f>
        <v>0</v>
      </c>
      <c r="H836" s="168">
        <f>SUM(H834:H835)</f>
        <v>0</v>
      </c>
      <c r="I836" s="276">
        <f>SUM(I834:I835)</f>
        <v>0</v>
      </c>
      <c r="J836" s="276">
        <f>-I836*0.6</f>
        <v>0</v>
      </c>
      <c r="K836" s="168">
        <f>SUM(K834:K835)</f>
        <v>0</v>
      </c>
      <c r="L836" s="528"/>
      <c r="M836" s="276">
        <f>SUM(M834:M835)</f>
        <v>0</v>
      </c>
    </row>
    <row r="837" spans="2:17" x14ac:dyDescent="0.25">
      <c r="Q837" s="166"/>
    </row>
    <row r="838" spans="2:17" ht="13" x14ac:dyDescent="0.25">
      <c r="B838" s="273" t="s">
        <v>139</v>
      </c>
      <c r="F838" s="810">
        <v>2019</v>
      </c>
      <c r="Q838" s="166"/>
    </row>
    <row r="839" spans="2:17" x14ac:dyDescent="0.25">
      <c r="Q839" s="166"/>
    </row>
    <row r="840" spans="2:17" ht="80.150000000000006" customHeight="1" x14ac:dyDescent="0.25">
      <c r="B840" s="1078" t="s">
        <v>140</v>
      </c>
      <c r="C840" s="1079"/>
      <c r="D840" s="1079"/>
      <c r="E840" s="1080"/>
      <c r="F840" s="274"/>
      <c r="G840" s="165" t="str">
        <f>"Nog af te bouwen regulatoir saldo einde "&amp;F838-1</f>
        <v>Nog af te bouwen regulatoir saldo einde 2018</v>
      </c>
      <c r="H840" s="165" t="str">
        <f>"Afbouw oudste openstaande regulatoir saldo vanaf boekjaar "&amp;F838-3&amp;" en vroeger, door aanwending van compensatie met regulatoir saldo ontstaan over boekjaar "&amp;F838-2</f>
        <v>Afbouw oudste openstaande regulatoir saldo vanaf boekjaar 2016 en vroeger, door aanwending van compensatie met regulatoir saldo ontstaan over boekjaar 2017</v>
      </c>
      <c r="I840" s="165" t="str">
        <f>"Nog af te bouwen regulatoir saldo na compensatie einde "&amp;F838-1</f>
        <v>Nog af te bouwen regulatoir saldo na compensatie einde 2018</v>
      </c>
      <c r="J840" s="165" t="str">
        <f>"60% van het geaccumuleerd regulatoir saldo door te rekenen volgens de tariefmethodologie in het boekjaar "&amp;F838</f>
        <v>60% van het geaccumuleerd regulatoir saldo door te rekenen volgens de tariefmethodologie in het boekjaar 2019</v>
      </c>
      <c r="K840" s="165" t="str">
        <f>"Aanwending van het 60% van het geaccumuleerd regulatoir saldo door te rekenen volgens de tariefmethodologie in het boekjaar "&amp;F838</f>
        <v>Aanwending van het 60% van het geaccumuleerd regulatoir saldo door te rekenen volgens de tariefmethodologie in het boekjaar 2019</v>
      </c>
      <c r="L840" s="165" t="str">
        <f>"Totale afbouw over "&amp;F838</f>
        <v>Totale afbouw over 2019</v>
      </c>
      <c r="M840" s="165" t="str">
        <f>"Nog af te bouwen regulatoir saldo einde "&amp;F838</f>
        <v>Nog af te bouwen regulatoir saldo einde 2019</v>
      </c>
      <c r="N840" s="206"/>
      <c r="Q840" s="166"/>
    </row>
    <row r="841" spans="2:17" ht="13" x14ac:dyDescent="0.25">
      <c r="B841" s="1075">
        <v>2015</v>
      </c>
      <c r="C841" s="1076"/>
      <c r="D841" s="1076"/>
      <c r="E841" s="1077"/>
      <c r="F841" s="275"/>
      <c r="G841" s="176">
        <f>+M834</f>
        <v>0</v>
      </c>
      <c r="H841" s="813">
        <f>IF(SIGN(G843*M836)&lt;0,IF(G841&lt;&gt;0,-SIGN(G841)*MIN(ABS(G843),ABS(G841)),0),0)</f>
        <v>0</v>
      </c>
      <c r="I841" s="176">
        <f>+G841+H841</f>
        <v>0</v>
      </c>
      <c r="J841" s="806"/>
      <c r="K841" s="521">
        <f>-MIN(ABS(I841),ABS(J844))*SIGN(I841)</f>
        <v>0</v>
      </c>
      <c r="L841" s="813">
        <f>+K841+H841</f>
        <v>0</v>
      </c>
      <c r="M841" s="176">
        <f>+I841+K841</f>
        <v>0</v>
      </c>
      <c r="N841" s="206"/>
      <c r="Q841" s="166"/>
    </row>
    <row r="842" spans="2:17" ht="13" x14ac:dyDescent="0.25">
      <c r="B842" s="1075">
        <v>2016</v>
      </c>
      <c r="C842" s="1076"/>
      <c r="D842" s="1076">
        <v>2016</v>
      </c>
      <c r="E842" s="1077"/>
      <c r="F842" s="275"/>
      <c r="G842" s="176">
        <f>+M835</f>
        <v>0</v>
      </c>
      <c r="H842" s="813">
        <f>IF(SIGN(G843*M836)&lt;0,IF(G842&lt;&gt;0,-SIGN(G842)*MIN(ABS(G843-H841),ABS(G842)),0),0)</f>
        <v>0</v>
      </c>
      <c r="I842" s="176">
        <f>+G842+H842</f>
        <v>0</v>
      </c>
      <c r="J842" s="806"/>
      <c r="K842" s="521">
        <f>-MIN(ABS(I842),ABS(J844-K841))*SIGN(I842)</f>
        <v>0</v>
      </c>
      <c r="L842" s="813">
        <f>+K842+H842</f>
        <v>0</v>
      </c>
      <c r="M842" s="176">
        <f>+I842+K842</f>
        <v>0</v>
      </c>
      <c r="N842" s="206"/>
      <c r="Q842" s="166"/>
    </row>
    <row r="843" spans="2:17" ht="13" x14ac:dyDescent="0.25">
      <c r="B843" s="1075">
        <v>2017</v>
      </c>
      <c r="C843" s="1076"/>
      <c r="D843" s="1076"/>
      <c r="E843" s="1077"/>
      <c r="F843" s="275"/>
      <c r="G843" s="176">
        <f>+I255</f>
        <v>0</v>
      </c>
      <c r="H843" s="813">
        <f>IF(SIGN(G843*M836)&lt;0,-SUM(H841:H842),0)</f>
        <v>0</v>
      </c>
      <c r="I843" s="176">
        <f>+G843+H843</f>
        <v>0</v>
      </c>
      <c r="J843" s="806"/>
      <c r="K843" s="521">
        <f>-MIN(ABS(I843),ABS(J844-K841-K842))*SIGN(I843)</f>
        <v>0</v>
      </c>
      <c r="L843" s="813">
        <f>+K843+H843</f>
        <v>0</v>
      </c>
      <c r="M843" s="176">
        <f>+I843+K843</f>
        <v>0</v>
      </c>
      <c r="N843" s="206"/>
      <c r="Q843" s="166"/>
    </row>
    <row r="844" spans="2:17" s="273" customFormat="1" ht="13" x14ac:dyDescent="0.25">
      <c r="G844" s="276">
        <f>SUM(G841:G843)</f>
        <v>0</v>
      </c>
      <c r="H844" s="168">
        <f>SUM(H841:H843)</f>
        <v>0</v>
      </c>
      <c r="I844" s="276">
        <f>SUM(I841:I843)</f>
        <v>0</v>
      </c>
      <c r="J844" s="276">
        <f>-I844*0.6</f>
        <v>0</v>
      </c>
      <c r="K844" s="168">
        <f>SUM(K841:K843)</f>
        <v>0</v>
      </c>
      <c r="L844" s="528"/>
      <c r="M844" s="276">
        <f>SUM(M841:M843)</f>
        <v>0</v>
      </c>
    </row>
    <row r="845" spans="2:17" x14ac:dyDescent="0.25">
      <c r="H845" s="214"/>
      <c r="Q845" s="166"/>
    </row>
    <row r="846" spans="2:17" ht="13" x14ac:dyDescent="0.25">
      <c r="B846" s="273" t="s">
        <v>139</v>
      </c>
      <c r="F846" s="810">
        <v>2020</v>
      </c>
      <c r="Q846" s="166"/>
    </row>
    <row r="847" spans="2:17" x14ac:dyDescent="0.25">
      <c r="Q847" s="166"/>
    </row>
    <row r="848" spans="2:17" ht="80.150000000000006" customHeight="1" x14ac:dyDescent="0.25">
      <c r="B848" s="1078" t="s">
        <v>140</v>
      </c>
      <c r="C848" s="1079"/>
      <c r="D848" s="1079"/>
      <c r="E848" s="1080"/>
      <c r="F848" s="274"/>
      <c r="G848" s="165" t="str">
        <f>"Nog af te bouwen regulatoir saldo einde "&amp;F846-1</f>
        <v>Nog af te bouwen regulatoir saldo einde 2019</v>
      </c>
      <c r="H848" s="165" t="str">
        <f>"Afbouw oudste openstaande regulatoir saldo vanaf boekjaar "&amp;F846-3&amp;" en vroeger, door aanwending van compensatie met regulatoir saldo ontstaan over boekjaar "&amp;F846-2</f>
        <v>Afbouw oudste openstaande regulatoir saldo vanaf boekjaar 2017 en vroeger, door aanwending van compensatie met regulatoir saldo ontstaan over boekjaar 2018</v>
      </c>
      <c r="I848" s="165" t="str">
        <f>"Nog af te bouwen regulatoir saldo na compensatie einde "&amp;F846-1</f>
        <v>Nog af te bouwen regulatoir saldo na compensatie einde 2019</v>
      </c>
      <c r="J848" s="165" t="str">
        <f>"60% van het geaccumuleerd regulatoir saldo door te rekenen volgens de tariefmethodologie in het boekjaar "&amp;F846</f>
        <v>60% van het geaccumuleerd regulatoir saldo door te rekenen volgens de tariefmethodologie in het boekjaar 2020</v>
      </c>
      <c r="K848" s="165" t="str">
        <f>"Aanwending van het 60% van het geaccumuleerd regulatoir saldo door te rekenen volgens de tariefmethodologie in het boekjaar "&amp;F846</f>
        <v>Aanwending van het 60% van het geaccumuleerd regulatoir saldo door te rekenen volgens de tariefmethodologie in het boekjaar 2020</v>
      </c>
      <c r="L848" s="165" t="str">
        <f>"Totale afbouw over "&amp;F846</f>
        <v>Totale afbouw over 2020</v>
      </c>
      <c r="M848" s="165" t="str">
        <f>"Nog af te bouwen regulatoir saldo einde "&amp;F846</f>
        <v>Nog af te bouwen regulatoir saldo einde 2020</v>
      </c>
      <c r="N848" s="206"/>
      <c r="Q848" s="166"/>
    </row>
    <row r="849" spans="2:17" ht="13" x14ac:dyDescent="0.25">
      <c r="B849" s="1075">
        <v>2015</v>
      </c>
      <c r="C849" s="1076"/>
      <c r="D849" s="1076"/>
      <c r="E849" s="1077"/>
      <c r="F849" s="275"/>
      <c r="G849" s="176">
        <f>+M841</f>
        <v>0</v>
      </c>
      <c r="H849" s="813">
        <f>IF(SIGN(G852*M844)&lt;0,IF(G849&lt;&gt;0,-SIGN(G849)*MIN(ABS(G852),ABS(G849)),0),0)</f>
        <v>0</v>
      </c>
      <c r="I849" s="176">
        <f>+G849+H849</f>
        <v>0</v>
      </c>
      <c r="J849" s="806"/>
      <c r="K849" s="521">
        <f>-MIN(ABS(I849),ABS(J853))*SIGN(I849)</f>
        <v>0</v>
      </c>
      <c r="L849" s="813">
        <f>+K849+H849</f>
        <v>0</v>
      </c>
      <c r="M849" s="176">
        <f>+I849+K849</f>
        <v>0</v>
      </c>
      <c r="N849" s="206"/>
      <c r="Q849" s="166"/>
    </row>
    <row r="850" spans="2:17" ht="13" x14ac:dyDescent="0.25">
      <c r="B850" s="1075">
        <v>2016</v>
      </c>
      <c r="C850" s="1076"/>
      <c r="D850" s="1076"/>
      <c r="E850" s="1077"/>
      <c r="F850" s="275"/>
      <c r="G850" s="176">
        <f>+M842</f>
        <v>0</v>
      </c>
      <c r="H850" s="813">
        <f>IF(SIGN(G852*M844)&lt;0,IF(G850&lt;&gt;0,-SIGN(G850)*MIN(ABS(G852-H849),ABS(G850)),0),0)</f>
        <v>0</v>
      </c>
      <c r="I850" s="176">
        <f>+G850+H850</f>
        <v>0</v>
      </c>
      <c r="J850" s="806"/>
      <c r="K850" s="521">
        <f>-MIN(ABS(I850),ABS(J853-K849))*SIGN(I850)</f>
        <v>0</v>
      </c>
      <c r="L850" s="813">
        <f>+K850+H850</f>
        <v>0</v>
      </c>
      <c r="M850" s="176">
        <f>+I850+K850</f>
        <v>0</v>
      </c>
      <c r="N850" s="206"/>
      <c r="Q850" s="166"/>
    </row>
    <row r="851" spans="2:17" ht="13" x14ac:dyDescent="0.25">
      <c r="B851" s="1075">
        <v>2017</v>
      </c>
      <c r="C851" s="1076"/>
      <c r="D851" s="1076">
        <v>2016</v>
      </c>
      <c r="E851" s="1077"/>
      <c r="F851" s="275"/>
      <c r="G851" s="176">
        <f>+M843</f>
        <v>0</v>
      </c>
      <c r="H851" s="813">
        <f>IF(SIGN(G852*M844)&lt;0,IF(G851&lt;&gt;0,-SIGN(G851)*MIN(ABS(G852-H849-H850),ABS(G851)),0),0)</f>
        <v>0</v>
      </c>
      <c r="I851" s="176">
        <f>+G851+H851</f>
        <v>0</v>
      </c>
      <c r="J851" s="806"/>
      <c r="K851" s="521">
        <f>-MIN(ABS(I851),ABS(J853-K849-K850))*SIGN(I851)</f>
        <v>0</v>
      </c>
      <c r="L851" s="813">
        <f>+K851+H851</f>
        <v>0</v>
      </c>
      <c r="M851" s="176">
        <f>+I851+K851</f>
        <v>0</v>
      </c>
      <c r="N851" s="206"/>
      <c r="Q851" s="166"/>
    </row>
    <row r="852" spans="2:17" ht="13" x14ac:dyDescent="0.25">
      <c r="B852" s="1075">
        <v>2018</v>
      </c>
      <c r="C852" s="1076"/>
      <c r="D852" s="1076"/>
      <c r="E852" s="1077"/>
      <c r="F852" s="275"/>
      <c r="G852" s="176">
        <f>+J256</f>
        <v>0</v>
      </c>
      <c r="H852" s="813">
        <f>IF(SIGN(G852*M844)&lt;0,-SUM(H849:H851),0)</f>
        <v>0</v>
      </c>
      <c r="I852" s="176">
        <f>+G852+H852</f>
        <v>0</v>
      </c>
      <c r="J852" s="806"/>
      <c r="K852" s="521">
        <f>-MIN(ABS(I852),ABS(J853-K849-K850-K851))*SIGN(I852)</f>
        <v>0</v>
      </c>
      <c r="L852" s="813">
        <f>+K852+H852</f>
        <v>0</v>
      </c>
      <c r="M852" s="176">
        <f>+I852+K852</f>
        <v>0</v>
      </c>
      <c r="N852" s="206"/>
      <c r="Q852" s="166"/>
    </row>
    <row r="853" spans="2:17" s="273" customFormat="1" ht="13" x14ac:dyDescent="0.25">
      <c r="G853" s="276">
        <f>SUM(G849:G852)</f>
        <v>0</v>
      </c>
      <c r="H853" s="168">
        <f>SUM(H849:H852)</f>
        <v>0</v>
      </c>
      <c r="I853" s="276">
        <f>SUM(I849:I852)</f>
        <v>0</v>
      </c>
      <c r="J853" s="276">
        <f>-I853*0.6</f>
        <v>0</v>
      </c>
      <c r="K853" s="168">
        <f>SUM(K849:K852)</f>
        <v>0</v>
      </c>
      <c r="L853" s="168"/>
      <c r="M853" s="276">
        <f>SUM(M849:M852)</f>
        <v>0</v>
      </c>
    </row>
    <row r="854" spans="2:17" x14ac:dyDescent="0.25">
      <c r="Q854" s="166"/>
    </row>
    <row r="855" spans="2:17" ht="13" x14ac:dyDescent="0.25">
      <c r="B855" s="273" t="s">
        <v>139</v>
      </c>
      <c r="F855" s="810">
        <v>2021</v>
      </c>
      <c r="Q855" s="166"/>
    </row>
    <row r="856" spans="2:17" x14ac:dyDescent="0.25">
      <c r="Q856" s="166"/>
    </row>
    <row r="857" spans="2:17" ht="78" customHeight="1" x14ac:dyDescent="0.25">
      <c r="B857" s="1078" t="s">
        <v>140</v>
      </c>
      <c r="C857" s="1079"/>
      <c r="D857" s="1079"/>
      <c r="E857" s="1080"/>
      <c r="F857" s="274"/>
      <c r="G857" s="165" t="str">
        <f>"Nog af te bouwen regulatoir saldo einde "&amp;F855-1</f>
        <v>Nog af te bouwen regulatoir saldo einde 2020</v>
      </c>
      <c r="H857" s="165" t="str">
        <f>"50% van het oorspronkelijk regulatoir saldo door te rekenen volgens de tariefmethodologie in het boekjaar "&amp;F855</f>
        <v>50% van het oorspronkelijk regulatoir saldo door te rekenen volgens de tariefmethodologie in het boekjaar 2021</v>
      </c>
      <c r="I857" s="165" t="str">
        <f>"Nog af te bouwen regulatoir saldo einde "&amp;F855</f>
        <v>Nog af te bouwen regulatoir saldo einde 2021</v>
      </c>
      <c r="J857" s="206"/>
      <c r="Q857" s="166"/>
    </row>
    <row r="858" spans="2:17" ht="13" x14ac:dyDescent="0.25">
      <c r="B858" s="1075">
        <v>2015</v>
      </c>
      <c r="C858" s="1076"/>
      <c r="D858" s="1076"/>
      <c r="E858" s="1077"/>
      <c r="F858" s="275"/>
      <c r="G858" s="176">
        <f>M849</f>
        <v>0</v>
      </c>
      <c r="H858" s="176">
        <f>-G858*0.5</f>
        <v>0</v>
      </c>
      <c r="I858" s="176">
        <f>+G858+H858</f>
        <v>0</v>
      </c>
      <c r="J858" s="206"/>
      <c r="Q858" s="166"/>
    </row>
    <row r="859" spans="2:17" ht="13" x14ac:dyDescent="0.25">
      <c r="B859" s="1075">
        <v>2016</v>
      </c>
      <c r="C859" s="1076"/>
      <c r="D859" s="1076"/>
      <c r="E859" s="1077"/>
      <c r="F859" s="275"/>
      <c r="G859" s="176">
        <f t="shared" ref="G859:G861" si="139">M850</f>
        <v>0</v>
      </c>
      <c r="H859" s="176">
        <f t="shared" ref="H859:H862" si="140">-G859*0.5</f>
        <v>0</v>
      </c>
      <c r="I859" s="176">
        <f t="shared" ref="I859:I862" si="141">+G859+H859</f>
        <v>0</v>
      </c>
      <c r="J859" s="206"/>
      <c r="Q859" s="166"/>
    </row>
    <row r="860" spans="2:17" ht="13" x14ac:dyDescent="0.25">
      <c r="B860" s="1075">
        <v>2017</v>
      </c>
      <c r="C860" s="1076"/>
      <c r="D860" s="1076">
        <v>2016</v>
      </c>
      <c r="E860" s="1077"/>
      <c r="F860" s="275"/>
      <c r="G860" s="176">
        <f t="shared" si="139"/>
        <v>0</v>
      </c>
      <c r="H860" s="176">
        <f t="shared" si="140"/>
        <v>0</v>
      </c>
      <c r="I860" s="176">
        <f t="shared" si="141"/>
        <v>0</v>
      </c>
      <c r="J860" s="206"/>
      <c r="Q860" s="166"/>
    </row>
    <row r="861" spans="2:17" ht="13" x14ac:dyDescent="0.25">
      <c r="B861" s="1075">
        <v>2018</v>
      </c>
      <c r="C861" s="1076"/>
      <c r="D861" s="1076"/>
      <c r="E861" s="1077"/>
      <c r="F861" s="275"/>
      <c r="G861" s="176">
        <f t="shared" si="139"/>
        <v>0</v>
      </c>
      <c r="H861" s="176">
        <f t="shared" si="140"/>
        <v>0</v>
      </c>
      <c r="I861" s="176">
        <f t="shared" si="141"/>
        <v>0</v>
      </c>
      <c r="J861" s="206"/>
      <c r="Q861" s="166"/>
    </row>
    <row r="862" spans="2:17" ht="13" x14ac:dyDescent="0.25">
      <c r="B862" s="1075">
        <v>2019</v>
      </c>
      <c r="C862" s="1076"/>
      <c r="D862" s="1076"/>
      <c r="E862" s="1077"/>
      <c r="F862" s="275"/>
      <c r="G862" s="176">
        <f>+K257</f>
        <v>0</v>
      </c>
      <c r="H862" s="176">
        <f t="shared" si="140"/>
        <v>0</v>
      </c>
      <c r="I862" s="176">
        <f t="shared" si="141"/>
        <v>0</v>
      </c>
      <c r="J862" s="206"/>
      <c r="Q862" s="166"/>
    </row>
    <row r="863" spans="2:17" s="273" customFormat="1" ht="13" x14ac:dyDescent="0.25">
      <c r="G863" s="276">
        <f>SUM(G858:G862)</f>
        <v>0</v>
      </c>
      <c r="H863" s="276">
        <f>SUM(H858:H862)</f>
        <v>0</v>
      </c>
      <c r="I863" s="276">
        <f>SUM(I858:I862)</f>
        <v>0</v>
      </c>
    </row>
    <row r="864" spans="2:17" x14ac:dyDescent="0.25">
      <c r="Q864" s="166"/>
    </row>
    <row r="865" spans="2:17" ht="13" x14ac:dyDescent="0.25">
      <c r="B865" s="273" t="s">
        <v>139</v>
      </c>
      <c r="F865" s="810">
        <v>2022</v>
      </c>
      <c r="Q865" s="166"/>
    </row>
    <row r="866" spans="2:17" x14ac:dyDescent="0.25">
      <c r="Q866" s="166"/>
    </row>
    <row r="867" spans="2:17" ht="78" customHeight="1" x14ac:dyDescent="0.25">
      <c r="B867" s="1078" t="s">
        <v>140</v>
      </c>
      <c r="C867" s="1079"/>
      <c r="D867" s="1079"/>
      <c r="E867" s="1080"/>
      <c r="F867" s="274"/>
      <c r="G867" s="165" t="str">
        <f>"Nog af te bouwen regulatoir saldo einde "&amp;F865-1</f>
        <v>Nog af te bouwen regulatoir saldo einde 2021</v>
      </c>
      <c r="H867" s="165" t="str">
        <f>"50% van het oorspronkelijk regulatoir saldo door te rekenen volgens de tariefmethodologie in het boekjaar "&amp;F865</f>
        <v>50% van het oorspronkelijk regulatoir saldo door te rekenen volgens de tariefmethodologie in het boekjaar 2022</v>
      </c>
      <c r="I867" s="165" t="str">
        <f>"Nog af te bouwen regulatoir saldo einde "&amp;F865</f>
        <v>Nog af te bouwen regulatoir saldo einde 2022</v>
      </c>
      <c r="J867" s="206"/>
      <c r="Q867" s="166"/>
    </row>
    <row r="868" spans="2:17" ht="13" x14ac:dyDescent="0.25">
      <c r="B868" s="1075">
        <v>2015</v>
      </c>
      <c r="C868" s="1076"/>
      <c r="D868" s="1076"/>
      <c r="E868" s="1077"/>
      <c r="F868" s="275"/>
      <c r="G868" s="176">
        <f>+I858</f>
        <v>0</v>
      </c>
      <c r="H868" s="176">
        <f>-G858*0.5</f>
        <v>0</v>
      </c>
      <c r="I868" s="176">
        <f>+G868+H868</f>
        <v>0</v>
      </c>
      <c r="J868" s="206"/>
      <c r="Q868" s="166"/>
    </row>
    <row r="869" spans="2:17" ht="13" x14ac:dyDescent="0.25">
      <c r="B869" s="1075">
        <v>2016</v>
      </c>
      <c r="C869" s="1076"/>
      <c r="D869" s="1076"/>
      <c r="E869" s="1077"/>
      <c r="F869" s="275"/>
      <c r="G869" s="176">
        <f t="shared" ref="G869:G872" si="142">+I859</f>
        <v>0</v>
      </c>
      <c r="H869" s="176">
        <f t="shared" ref="H869:H872" si="143">-G859*0.5</f>
        <v>0</v>
      </c>
      <c r="I869" s="176">
        <f t="shared" ref="I869:I873" si="144">+G869+H869</f>
        <v>0</v>
      </c>
      <c r="J869" s="206"/>
      <c r="Q869" s="166"/>
    </row>
    <row r="870" spans="2:17" ht="13" x14ac:dyDescent="0.25">
      <c r="B870" s="1075">
        <v>2017</v>
      </c>
      <c r="C870" s="1076"/>
      <c r="D870" s="1076">
        <v>2016</v>
      </c>
      <c r="E870" s="1077"/>
      <c r="F870" s="275"/>
      <c r="G870" s="176">
        <f t="shared" si="142"/>
        <v>0</v>
      </c>
      <c r="H870" s="176">
        <f t="shared" si="143"/>
        <v>0</v>
      </c>
      <c r="I870" s="176">
        <f t="shared" si="144"/>
        <v>0</v>
      </c>
      <c r="J870" s="206"/>
      <c r="Q870" s="166"/>
    </row>
    <row r="871" spans="2:17" ht="13" x14ac:dyDescent="0.25">
      <c r="B871" s="1075">
        <v>2018</v>
      </c>
      <c r="C871" s="1076"/>
      <c r="D871" s="1076"/>
      <c r="E871" s="1077"/>
      <c r="F871" s="275"/>
      <c r="G871" s="176">
        <f t="shared" si="142"/>
        <v>0</v>
      </c>
      <c r="H871" s="176">
        <f t="shared" si="143"/>
        <v>0</v>
      </c>
      <c r="I871" s="176">
        <f t="shared" si="144"/>
        <v>0</v>
      </c>
      <c r="J871" s="206"/>
      <c r="Q871" s="166"/>
    </row>
    <row r="872" spans="2:17" ht="13" x14ac:dyDescent="0.25">
      <c r="B872" s="1075">
        <v>2019</v>
      </c>
      <c r="C872" s="1076"/>
      <c r="D872" s="1076"/>
      <c r="E872" s="1077"/>
      <c r="F872" s="275"/>
      <c r="G872" s="176">
        <f t="shared" si="142"/>
        <v>0</v>
      </c>
      <c r="H872" s="176">
        <f t="shared" si="143"/>
        <v>0</v>
      </c>
      <c r="I872" s="176">
        <f t="shared" si="144"/>
        <v>0</v>
      </c>
      <c r="J872" s="206"/>
      <c r="Q872" s="166"/>
    </row>
    <row r="873" spans="2:17" ht="13" x14ac:dyDescent="0.25">
      <c r="B873" s="1075">
        <v>2020</v>
      </c>
      <c r="C873" s="1076"/>
      <c r="D873" s="1076"/>
      <c r="E873" s="1077"/>
      <c r="F873" s="275"/>
      <c r="G873" s="176">
        <f>L258</f>
        <v>0</v>
      </c>
      <c r="H873" s="176">
        <f t="shared" ref="H873" si="145">-G873*0.5</f>
        <v>0</v>
      </c>
      <c r="I873" s="176">
        <f t="shared" si="144"/>
        <v>0</v>
      </c>
      <c r="J873" s="206"/>
      <c r="Q873" s="166"/>
    </row>
    <row r="874" spans="2:17" s="273" customFormat="1" ht="13" x14ac:dyDescent="0.25">
      <c r="G874" s="276">
        <f>SUM(G868:G873)</f>
        <v>0</v>
      </c>
      <c r="H874" s="276">
        <f t="shared" ref="H874:I874" si="146">SUM(H868:H873)</f>
        <v>0</v>
      </c>
      <c r="I874" s="276">
        <f t="shared" si="146"/>
        <v>0</v>
      </c>
    </row>
    <row r="875" spans="2:17" x14ac:dyDescent="0.25">
      <c r="Q875" s="166"/>
    </row>
    <row r="876" spans="2:17" ht="13" x14ac:dyDescent="0.25">
      <c r="B876" s="273" t="s">
        <v>139</v>
      </c>
      <c r="F876" s="810">
        <v>2023</v>
      </c>
      <c r="Q876" s="166"/>
    </row>
    <row r="877" spans="2:17" x14ac:dyDescent="0.25">
      <c r="Q877" s="166"/>
    </row>
    <row r="878" spans="2:17" ht="78" customHeight="1" x14ac:dyDescent="0.25">
      <c r="B878" s="1078" t="s">
        <v>140</v>
      </c>
      <c r="C878" s="1079"/>
      <c r="D878" s="1079"/>
      <c r="E878" s="1080"/>
      <c r="F878" s="274"/>
      <c r="G878" s="165" t="str">
        <f>"Nog af te bouwen regulatoir saldo einde "&amp;F876-1</f>
        <v>Nog af te bouwen regulatoir saldo einde 2022</v>
      </c>
      <c r="H878" s="165" t="str">
        <f>"50% van het oorspronkelijk regulatoir saldo door te rekenen volgens de tariefmethodologie in het boekjaar "&amp;F876</f>
        <v>50% van het oorspronkelijk regulatoir saldo door te rekenen volgens de tariefmethodologie in het boekjaar 2023</v>
      </c>
      <c r="I878" s="165" t="str">
        <f>"Nog af te bouwen regulatoir saldo einde "&amp;F876</f>
        <v>Nog af te bouwen regulatoir saldo einde 2023</v>
      </c>
      <c r="J878" s="206"/>
      <c r="Q878" s="166"/>
    </row>
    <row r="879" spans="2:17" ht="13" x14ac:dyDescent="0.25">
      <c r="B879" s="1075">
        <v>2020</v>
      </c>
      <c r="C879" s="1076"/>
      <c r="D879" s="1076"/>
      <c r="E879" s="1077"/>
      <c r="F879" s="275"/>
      <c r="G879" s="176">
        <f>+I873</f>
        <v>0</v>
      </c>
      <c r="H879" s="176">
        <f>-G873*0.5</f>
        <v>0</v>
      </c>
      <c r="I879" s="176">
        <f t="shared" ref="I879:I880" si="147">+G879+H879</f>
        <v>0</v>
      </c>
      <c r="J879" s="206"/>
      <c r="Q879" s="166"/>
    </row>
    <row r="880" spans="2:17" ht="13" x14ac:dyDescent="0.25">
      <c r="B880" s="1075">
        <v>2021</v>
      </c>
      <c r="C880" s="1076"/>
      <c r="D880" s="1076"/>
      <c r="E880" s="1077"/>
      <c r="F880" s="275"/>
      <c r="G880" s="176">
        <f>M259</f>
        <v>0</v>
      </c>
      <c r="H880" s="176">
        <f t="shared" ref="H880" si="148">-G880*0.5</f>
        <v>0</v>
      </c>
      <c r="I880" s="176">
        <f t="shared" si="147"/>
        <v>0</v>
      </c>
      <c r="J880" s="206"/>
      <c r="Q880" s="166"/>
    </row>
    <row r="881" spans="2:17" s="273" customFormat="1" ht="13" x14ac:dyDescent="0.25">
      <c r="G881" s="276">
        <f>SUM(G879:G880)</f>
        <v>0</v>
      </c>
      <c r="H881" s="276">
        <f>SUM(H879:H880)</f>
        <v>0</v>
      </c>
      <c r="I881" s="276">
        <f>SUM(I879:I880)</f>
        <v>0</v>
      </c>
    </row>
    <row r="882" spans="2:17" x14ac:dyDescent="0.25">
      <c r="Q882" s="166"/>
    </row>
    <row r="883" spans="2:17" ht="13" x14ac:dyDescent="0.25">
      <c r="B883" s="273" t="s">
        <v>139</v>
      </c>
      <c r="F883" s="810">
        <v>2024</v>
      </c>
      <c r="Q883" s="166"/>
    </row>
    <row r="884" spans="2:17" x14ac:dyDescent="0.25">
      <c r="Q884" s="166"/>
    </row>
    <row r="885" spans="2:17" ht="78" customHeight="1" x14ac:dyDescent="0.25">
      <c r="B885" s="1078" t="s">
        <v>140</v>
      </c>
      <c r="C885" s="1079"/>
      <c r="D885" s="1079"/>
      <c r="E885" s="1080"/>
      <c r="F885" s="274"/>
      <c r="G885" s="165" t="str">
        <f>"Nog af te bouwen regulatoir saldo einde "&amp;F883-1</f>
        <v>Nog af te bouwen regulatoir saldo einde 2023</v>
      </c>
      <c r="H885" s="165" t="str">
        <f>"50% van het oorspronkelijk regulatoir saldo door te rekenen volgens de tariefmethodologie in het boekjaar "&amp;F883</f>
        <v>50% van het oorspronkelijk regulatoir saldo door te rekenen volgens de tariefmethodologie in het boekjaar 2024</v>
      </c>
      <c r="I885" s="165" t="str">
        <f>"Nog af te bouwen regulatoir saldo einde "&amp;F883</f>
        <v>Nog af te bouwen regulatoir saldo einde 2024</v>
      </c>
      <c r="J885" s="206"/>
      <c r="Q885" s="166"/>
    </row>
    <row r="886" spans="2:17" ht="13" x14ac:dyDescent="0.25">
      <c r="B886" s="1075">
        <v>2021</v>
      </c>
      <c r="C886" s="1076"/>
      <c r="D886" s="1076"/>
      <c r="E886" s="1077"/>
      <c r="F886" s="275"/>
      <c r="G886" s="176">
        <f>+I880</f>
        <v>0</v>
      </c>
      <c r="H886" s="176">
        <f>-G880*0.5</f>
        <v>0</v>
      </c>
      <c r="I886" s="176">
        <f t="shared" ref="I886" si="149">+G886+H886</f>
        <v>0</v>
      </c>
      <c r="J886" s="206"/>
      <c r="Q886" s="166"/>
    </row>
    <row r="887" spans="2:17" s="273" customFormat="1" ht="13" x14ac:dyDescent="0.25">
      <c r="G887" s="276">
        <f>SUM(G886:G886)</f>
        <v>0</v>
      </c>
      <c r="H887" s="276">
        <f>SUM(H886:H886)</f>
        <v>0</v>
      </c>
      <c r="I887" s="276">
        <f>SUM(I886:I886)</f>
        <v>0</v>
      </c>
    </row>
    <row r="888" spans="2:17" x14ac:dyDescent="0.25">
      <c r="Q888" s="166"/>
    </row>
    <row r="889" spans="2:17" ht="13" x14ac:dyDescent="0.25">
      <c r="B889" s="273" t="s">
        <v>349</v>
      </c>
      <c r="C889" s="216"/>
      <c r="D889" s="216"/>
      <c r="E889" s="216"/>
      <c r="Q889" s="166"/>
    </row>
    <row r="890" spans="2:17" ht="13" x14ac:dyDescent="0.25">
      <c r="B890" s="273" t="s">
        <v>141</v>
      </c>
      <c r="C890" s="216"/>
      <c r="D890" s="216"/>
      <c r="E890" s="216"/>
      <c r="Q890" s="166"/>
    </row>
    <row r="891" spans="2:17" ht="13" x14ac:dyDescent="0.25">
      <c r="B891" s="273"/>
      <c r="C891" s="216"/>
      <c r="D891" s="216"/>
      <c r="E891" s="216"/>
      <c r="Q891" s="166"/>
    </row>
    <row r="892" spans="2:17" ht="13" x14ac:dyDescent="0.25">
      <c r="B892" s="275">
        <v>2021</v>
      </c>
      <c r="C892" s="279">
        <f>+H863</f>
        <v>0</v>
      </c>
      <c r="D892" s="216"/>
      <c r="E892" s="216"/>
      <c r="Q892" s="166"/>
    </row>
    <row r="893" spans="2:17" ht="13" x14ac:dyDescent="0.25">
      <c r="B893" s="275">
        <v>2022</v>
      </c>
      <c r="C893" s="279">
        <f>+H874</f>
        <v>0</v>
      </c>
      <c r="D893" s="216"/>
      <c r="E893" s="216"/>
      <c r="Q893" s="166"/>
    </row>
    <row r="894" spans="2:17" ht="13" x14ac:dyDescent="0.25">
      <c r="B894" s="275">
        <v>2023</v>
      </c>
      <c r="C894" s="279">
        <f>+H881</f>
        <v>0</v>
      </c>
      <c r="D894" s="216"/>
      <c r="E894" s="216"/>
      <c r="Q894" s="166"/>
    </row>
    <row r="895" spans="2:17" ht="13" x14ac:dyDescent="0.25">
      <c r="B895" s="275">
        <v>2024</v>
      </c>
      <c r="C895" s="279">
        <f>+H887</f>
        <v>0</v>
      </c>
      <c r="D895" s="216"/>
      <c r="E895" s="216"/>
      <c r="P895" s="203"/>
      <c r="Q895" s="166"/>
    </row>
    <row r="896" spans="2:17" x14ac:dyDescent="0.25">
      <c r="Q896" s="206"/>
    </row>
    <row r="897" spans="2:18" x14ac:dyDescent="0.25">
      <c r="Q897" s="206"/>
    </row>
    <row r="898" spans="2:18" ht="13" x14ac:dyDescent="0.25">
      <c r="B898" s="321" t="s">
        <v>355</v>
      </c>
      <c r="C898" s="322"/>
      <c r="D898" s="322"/>
      <c r="E898" s="322"/>
      <c r="F898" s="323"/>
      <c r="G898" s="323"/>
      <c r="H898" s="323"/>
      <c r="I898" s="323"/>
      <c r="J898" s="323"/>
      <c r="K898" s="323"/>
      <c r="L898" s="323"/>
      <c r="M898" s="323"/>
      <c r="N898" s="323"/>
      <c r="O898" s="323"/>
      <c r="P898" s="323"/>
      <c r="Q898" s="324"/>
      <c r="R898" s="323"/>
    </row>
    <row r="899" spans="2:18" x14ac:dyDescent="0.25">
      <c r="Q899" s="206"/>
    </row>
    <row r="900" spans="2:18" ht="13" x14ac:dyDescent="0.25">
      <c r="B900" s="273" t="s">
        <v>139</v>
      </c>
      <c r="F900" s="810">
        <v>2024</v>
      </c>
      <c r="Q900" s="166"/>
    </row>
    <row r="901" spans="2:18" x14ac:dyDescent="0.25">
      <c r="Q901" s="166"/>
    </row>
    <row r="902" spans="2:18" ht="78" customHeight="1" x14ac:dyDescent="0.25">
      <c r="B902" s="1078" t="s">
        <v>140</v>
      </c>
      <c r="C902" s="1079"/>
      <c r="D902" s="1079"/>
      <c r="E902" s="1080"/>
      <c r="F902" s="274"/>
      <c r="G902" s="165" t="str">
        <f>"Nog af te bouwen regulatoir saldo einde "&amp;F900-1</f>
        <v>Nog af te bouwen regulatoir saldo einde 2023</v>
      </c>
      <c r="H902" s="165" t="str">
        <f>"50% van het oorspronkelijk regulatoir saldo door te rekenen volgens de tariefmethodologie in het boekjaar "&amp;F900</f>
        <v>50% van het oorspronkelijk regulatoir saldo door te rekenen volgens de tariefmethodologie in het boekjaar 2024</v>
      </c>
      <c r="I902" s="165" t="str">
        <f>"Nog af te bouwen regulatoir saldo einde "&amp;F900</f>
        <v>Nog af te bouwen regulatoir saldo einde 2024</v>
      </c>
      <c r="J902" s="206"/>
      <c r="Q902" s="166"/>
    </row>
    <row r="903" spans="2:18" ht="13" x14ac:dyDescent="0.25">
      <c r="B903" s="1075">
        <v>2022</v>
      </c>
      <c r="C903" s="1076"/>
      <c r="D903" s="1076"/>
      <c r="E903" s="1077"/>
      <c r="F903" s="275"/>
      <c r="G903" s="176">
        <f>+N271</f>
        <v>0</v>
      </c>
      <c r="H903" s="176">
        <f t="shared" ref="H903" si="150">-G903*0.5</f>
        <v>0</v>
      </c>
      <c r="I903" s="176">
        <f t="shared" ref="I903" si="151">+G903+H903</f>
        <v>0</v>
      </c>
      <c r="J903" s="206"/>
      <c r="Q903" s="166"/>
    </row>
    <row r="904" spans="2:18" s="273" customFormat="1" ht="13" x14ac:dyDescent="0.25">
      <c r="G904" s="276">
        <f>SUM(G903:G903)</f>
        <v>0</v>
      </c>
      <c r="H904" s="276">
        <f>SUM(H903:H903)</f>
        <v>0</v>
      </c>
      <c r="I904" s="276">
        <f>SUM(I903:I903)</f>
        <v>0</v>
      </c>
    </row>
    <row r="905" spans="2:18" ht="13" x14ac:dyDescent="0.25">
      <c r="B905" s="273" t="s">
        <v>355</v>
      </c>
      <c r="C905" s="216"/>
      <c r="D905" s="216"/>
      <c r="E905" s="216"/>
      <c r="Q905" s="166"/>
    </row>
    <row r="906" spans="2:18" ht="13" x14ac:dyDescent="0.25">
      <c r="B906" s="273" t="s">
        <v>141</v>
      </c>
      <c r="C906" s="216"/>
      <c r="D906" s="216"/>
      <c r="E906" s="216"/>
      <c r="Q906" s="166"/>
    </row>
    <row r="907" spans="2:18" ht="13" x14ac:dyDescent="0.25">
      <c r="B907" s="273"/>
      <c r="C907" s="216"/>
      <c r="D907" s="216"/>
      <c r="E907" s="216"/>
      <c r="Q907" s="166"/>
    </row>
    <row r="908" spans="2:18" ht="13" x14ac:dyDescent="0.25">
      <c r="B908" s="336">
        <v>2021</v>
      </c>
      <c r="C908" s="337">
        <v>0</v>
      </c>
      <c r="D908" s="216"/>
      <c r="E908" s="216"/>
      <c r="Q908" s="166"/>
    </row>
    <row r="909" spans="2:18" ht="13" x14ac:dyDescent="0.25">
      <c r="B909" s="336">
        <v>2022</v>
      </c>
      <c r="C909" s="337">
        <v>0</v>
      </c>
      <c r="D909" s="216"/>
      <c r="E909" s="216"/>
      <c r="Q909" s="166"/>
    </row>
    <row r="910" spans="2:18" ht="13" x14ac:dyDescent="0.25">
      <c r="B910" s="336">
        <v>2023</v>
      </c>
      <c r="C910" s="337">
        <v>0</v>
      </c>
      <c r="D910" s="216"/>
      <c r="E910" s="216"/>
      <c r="Q910" s="166"/>
    </row>
    <row r="911" spans="2:18" ht="13" x14ac:dyDescent="0.25">
      <c r="B911" s="275">
        <v>2024</v>
      </c>
      <c r="C911" s="279">
        <f>+H904</f>
        <v>0</v>
      </c>
      <c r="D911" s="216"/>
      <c r="E911" s="216"/>
      <c r="Q911" s="166"/>
    </row>
  </sheetData>
  <sheetProtection algorithmName="SHA-512" hashValue="v3F0mrFUZOFythPbCzlIouiUcNbi+Wac1w8rUGqhPBTfsPbR8lA/IsjolkHok81nzF6jeaQlnmm1zpj/gGNesg==" saltValue="GwlzKKqggqnbKmNoFfVGvA==" spinCount="100000" sheet="1" objects="1" scenarios="1"/>
  <mergeCells count="528">
    <mergeCell ref="B902:E902"/>
    <mergeCell ref="B903:E903"/>
    <mergeCell ref="B870:E870"/>
    <mergeCell ref="B871:E871"/>
    <mergeCell ref="B872:E872"/>
    <mergeCell ref="B873:E873"/>
    <mergeCell ref="B878:E878"/>
    <mergeCell ref="B879:E879"/>
    <mergeCell ref="B880:E880"/>
    <mergeCell ref="B885:E885"/>
    <mergeCell ref="B886:E886"/>
    <mergeCell ref="B857:E857"/>
    <mergeCell ref="B858:E858"/>
    <mergeCell ref="B859:E859"/>
    <mergeCell ref="B860:E860"/>
    <mergeCell ref="B861:E861"/>
    <mergeCell ref="B862:E862"/>
    <mergeCell ref="B867:E867"/>
    <mergeCell ref="B868:E868"/>
    <mergeCell ref="B869:E869"/>
    <mergeCell ref="B840:E840"/>
    <mergeCell ref="B841:E841"/>
    <mergeCell ref="B842:E842"/>
    <mergeCell ref="B843:E843"/>
    <mergeCell ref="B848:E848"/>
    <mergeCell ref="B849:E849"/>
    <mergeCell ref="B850:E850"/>
    <mergeCell ref="B851:E851"/>
    <mergeCell ref="B852:E852"/>
    <mergeCell ref="B828:E828"/>
    <mergeCell ref="B829:E829"/>
    <mergeCell ref="B833:E833"/>
    <mergeCell ref="B834:E834"/>
    <mergeCell ref="B835:E835"/>
    <mergeCell ref="B270:E270"/>
    <mergeCell ref="B271:E271"/>
    <mergeCell ref="B272:E272"/>
    <mergeCell ref="B805:E805"/>
    <mergeCell ref="B810:E810"/>
    <mergeCell ref="B811:E811"/>
    <mergeCell ref="B812:E812"/>
    <mergeCell ref="B522:E522"/>
    <mergeCell ref="B792:E792"/>
    <mergeCell ref="B793:E793"/>
    <mergeCell ref="B794:E794"/>
    <mergeCell ref="B795:E795"/>
    <mergeCell ref="B796:E796"/>
    <mergeCell ref="B797:E797"/>
    <mergeCell ref="B798:E798"/>
    <mergeCell ref="B803:E803"/>
    <mergeCell ref="B804:E804"/>
    <mergeCell ref="B782:E782"/>
    <mergeCell ref="B783:E783"/>
    <mergeCell ref="B381:E381"/>
    <mergeCell ref="B339:E339"/>
    <mergeCell ref="B345:E345"/>
    <mergeCell ref="B346:E346"/>
    <mergeCell ref="B347:E347"/>
    <mergeCell ref="B348:E348"/>
    <mergeCell ref="B349:E349"/>
    <mergeCell ref="B350:E350"/>
    <mergeCell ref="B286:E286"/>
    <mergeCell ref="B313:E313"/>
    <mergeCell ref="B318:E318"/>
    <mergeCell ref="B294:E294"/>
    <mergeCell ref="B338:E338"/>
    <mergeCell ref="B340:E340"/>
    <mergeCell ref="B116:E116"/>
    <mergeCell ref="B117:E117"/>
    <mergeCell ref="B118:E118"/>
    <mergeCell ref="B119:E119"/>
    <mergeCell ref="B239:E239"/>
    <mergeCell ref="B267:E267"/>
    <mergeCell ref="B268:E268"/>
    <mergeCell ref="B269:E269"/>
    <mergeCell ref="B380:E380"/>
    <mergeCell ref="B280:E280"/>
    <mergeCell ref="B285:E285"/>
    <mergeCell ref="B256:E256"/>
    <mergeCell ref="B257:E257"/>
    <mergeCell ref="B258:E258"/>
    <mergeCell ref="B137:E137"/>
    <mergeCell ref="B138:E138"/>
    <mergeCell ref="B139:E139"/>
    <mergeCell ref="B121:E121"/>
    <mergeCell ref="B122:E122"/>
    <mergeCell ref="B123:E123"/>
    <mergeCell ref="B124:E124"/>
    <mergeCell ref="B125:E125"/>
    <mergeCell ref="B126:E126"/>
    <mergeCell ref="B127:E127"/>
    <mergeCell ref="B128:E128"/>
    <mergeCell ref="B129:E129"/>
    <mergeCell ref="B130:E130"/>
    <mergeCell ref="B131:E131"/>
    <mergeCell ref="B784:E784"/>
    <mergeCell ref="B785:E785"/>
    <mergeCell ref="B786:E786"/>
    <mergeCell ref="B787:E787"/>
    <mergeCell ref="B730:E730"/>
    <mergeCell ref="B731:E731"/>
    <mergeCell ref="B736:E736"/>
    <mergeCell ref="B737:E737"/>
    <mergeCell ref="B776:E776"/>
    <mergeCell ref="B777:E777"/>
    <mergeCell ref="B758:E758"/>
    <mergeCell ref="B759:E759"/>
    <mergeCell ref="B760:E760"/>
    <mergeCell ref="B765:E765"/>
    <mergeCell ref="B766:E766"/>
    <mergeCell ref="B767:E767"/>
    <mergeCell ref="B708:E708"/>
    <mergeCell ref="B709:E709"/>
    <mergeCell ref="B633:E633"/>
    <mergeCell ref="B634:E634"/>
    <mergeCell ref="B637:E637"/>
    <mergeCell ref="B638:E638"/>
    <mergeCell ref="B643:E643"/>
    <mergeCell ref="B661:E661"/>
    <mergeCell ref="B662:E662"/>
    <mergeCell ref="B663:E663"/>
    <mergeCell ref="B702:E702"/>
    <mergeCell ref="B647:E647"/>
    <mergeCell ref="B648:E648"/>
    <mergeCell ref="B649:E649"/>
    <mergeCell ref="B654:E654"/>
    <mergeCell ref="B655:E655"/>
    <mergeCell ref="B656:E656"/>
    <mergeCell ref="B611:E611"/>
    <mergeCell ref="B616:E616"/>
    <mergeCell ref="B617:E617"/>
    <mergeCell ref="B618:E618"/>
    <mergeCell ref="B619:E619"/>
    <mergeCell ref="B624:E624"/>
    <mergeCell ref="B604:E604"/>
    <mergeCell ref="B605:E605"/>
    <mergeCell ref="B609:E609"/>
    <mergeCell ref="B610:E610"/>
    <mergeCell ref="B567:E567"/>
    <mergeCell ref="B568:E568"/>
    <mergeCell ref="B569:E569"/>
    <mergeCell ref="B570:E570"/>
    <mergeCell ref="B550:E550"/>
    <mergeCell ref="B551:E551"/>
    <mergeCell ref="B552:E552"/>
    <mergeCell ref="B557:E557"/>
    <mergeCell ref="B558:E558"/>
    <mergeCell ref="B559:E559"/>
    <mergeCell ref="B560:E560"/>
    <mergeCell ref="B561:E561"/>
    <mergeCell ref="B447:E447"/>
    <mergeCell ref="B448:E448"/>
    <mergeCell ref="B453:E453"/>
    <mergeCell ref="B454:E454"/>
    <mergeCell ref="B455:E455"/>
    <mergeCell ref="B566:E566"/>
    <mergeCell ref="B537:E537"/>
    <mergeCell ref="B538:E538"/>
    <mergeCell ref="B542:E542"/>
    <mergeCell ref="B543:E543"/>
    <mergeCell ref="B544:E544"/>
    <mergeCell ref="B549:E549"/>
    <mergeCell ref="B478:E478"/>
    <mergeCell ref="B483:E483"/>
    <mergeCell ref="B484:E484"/>
    <mergeCell ref="B485:E485"/>
    <mergeCell ref="B514:E514"/>
    <mergeCell ref="B515:E515"/>
    <mergeCell ref="B503:E503"/>
    <mergeCell ref="B504:E504"/>
    <mergeCell ref="B505:E505"/>
    <mergeCell ref="B510:E510"/>
    <mergeCell ref="B511:E511"/>
    <mergeCell ref="B512:E512"/>
    <mergeCell ref="B226:E226"/>
    <mergeCell ref="B192:E192"/>
    <mergeCell ref="B409:E409"/>
    <mergeCell ref="B410:E410"/>
    <mergeCell ref="B411:E411"/>
    <mergeCell ref="B416:E416"/>
    <mergeCell ref="B435:E435"/>
    <mergeCell ref="B436:E436"/>
    <mergeCell ref="B437:E437"/>
    <mergeCell ref="B251:E251"/>
    <mergeCell ref="B210:E210"/>
    <mergeCell ref="B216:E216"/>
    <mergeCell ref="B224:E224"/>
    <mergeCell ref="B225:E225"/>
    <mergeCell ref="B217:E217"/>
    <mergeCell ref="B218:E218"/>
    <mergeCell ref="B219:E219"/>
    <mergeCell ref="B220:E220"/>
    <mergeCell ref="B245:E245"/>
    <mergeCell ref="B230:E230"/>
    <mergeCell ref="B231:E231"/>
    <mergeCell ref="B232:E232"/>
    <mergeCell ref="B233:E233"/>
    <mergeCell ref="B234:E234"/>
    <mergeCell ref="B161:E161"/>
    <mergeCell ref="B204:E204"/>
    <mergeCell ref="B205:E205"/>
    <mergeCell ref="B199:E199"/>
    <mergeCell ref="B169:E169"/>
    <mergeCell ref="B170:E170"/>
    <mergeCell ref="B171:E171"/>
    <mergeCell ref="B168:E168"/>
    <mergeCell ref="B356:E356"/>
    <mergeCell ref="B351:E351"/>
    <mergeCell ref="B246:E246"/>
    <mergeCell ref="B247:E247"/>
    <mergeCell ref="B248:E248"/>
    <mergeCell ref="B249:E249"/>
    <mergeCell ref="B281:E281"/>
    <mergeCell ref="B282:E282"/>
    <mergeCell ref="B283:E283"/>
    <mergeCell ref="B284:E284"/>
    <mergeCell ref="B297:E297"/>
    <mergeCell ref="B299:E299"/>
    <mergeCell ref="B295:E295"/>
    <mergeCell ref="B296:E296"/>
    <mergeCell ref="B293:E293"/>
    <mergeCell ref="B306:E306"/>
    <mergeCell ref="B175:E175"/>
    <mergeCell ref="B176:E176"/>
    <mergeCell ref="B214:E214"/>
    <mergeCell ref="B212:E212"/>
    <mergeCell ref="B197:E197"/>
    <mergeCell ref="B211:E211"/>
    <mergeCell ref="B190:E190"/>
    <mergeCell ref="B195:E195"/>
    <mergeCell ref="B207:E207"/>
    <mergeCell ref="B208:E208"/>
    <mergeCell ref="B209:E209"/>
    <mergeCell ref="B177:E177"/>
    <mergeCell ref="B178:E178"/>
    <mergeCell ref="B179:E179"/>
    <mergeCell ref="B180:E180"/>
    <mergeCell ref="B181:E181"/>
    <mergeCell ref="B182:E182"/>
    <mergeCell ref="B183:E183"/>
    <mergeCell ref="B184:E184"/>
    <mergeCell ref="B39:E39"/>
    <mergeCell ref="B40:E40"/>
    <mergeCell ref="B41:E41"/>
    <mergeCell ref="B42:E42"/>
    <mergeCell ref="B61:E61"/>
    <mergeCell ref="B62:E62"/>
    <mergeCell ref="B63:E63"/>
    <mergeCell ref="B64:E64"/>
    <mergeCell ref="B83:E83"/>
    <mergeCell ref="B44:E44"/>
    <mergeCell ref="B45:E45"/>
    <mergeCell ref="B46:E46"/>
    <mergeCell ref="B47:E47"/>
    <mergeCell ref="B48:E48"/>
    <mergeCell ref="B49:E49"/>
    <mergeCell ref="B50:E50"/>
    <mergeCell ref="B51:E51"/>
    <mergeCell ref="B52:E52"/>
    <mergeCell ref="B53:E53"/>
    <mergeCell ref="B54:E54"/>
    <mergeCell ref="B57:E57"/>
    <mergeCell ref="B65:E65"/>
    <mergeCell ref="B55:E55"/>
    <mergeCell ref="B67:E67"/>
    <mergeCell ref="B144:E144"/>
    <mergeCell ref="B115:E115"/>
    <mergeCell ref="B120:E120"/>
    <mergeCell ref="B148:E148"/>
    <mergeCell ref="B92:E92"/>
    <mergeCell ref="B104:E104"/>
    <mergeCell ref="B87:E87"/>
    <mergeCell ref="B142:E142"/>
    <mergeCell ref="B107:E107"/>
    <mergeCell ref="B108:E108"/>
    <mergeCell ref="B146:E146"/>
    <mergeCell ref="B110:E110"/>
    <mergeCell ref="B94:E94"/>
    <mergeCell ref="B95:E95"/>
    <mergeCell ref="B96:E96"/>
    <mergeCell ref="B97:E97"/>
    <mergeCell ref="B147:E147"/>
    <mergeCell ref="B140:E140"/>
    <mergeCell ref="B141:E141"/>
    <mergeCell ref="B132:E132"/>
    <mergeCell ref="B133:E133"/>
    <mergeCell ref="B134:E134"/>
    <mergeCell ref="B135:E135"/>
    <mergeCell ref="B136:E136"/>
    <mergeCell ref="B111:E111"/>
    <mergeCell ref="B74:E74"/>
    <mergeCell ref="B75:E75"/>
    <mergeCell ref="B105:E105"/>
    <mergeCell ref="B106:E106"/>
    <mergeCell ref="B84:E84"/>
    <mergeCell ref="B85:E85"/>
    <mergeCell ref="B86:E86"/>
    <mergeCell ref="B79:E79"/>
    <mergeCell ref="B78:E78"/>
    <mergeCell ref="B82:E82"/>
    <mergeCell ref="B80:E80"/>
    <mergeCell ref="B101:E101"/>
    <mergeCell ref="B100:E100"/>
    <mergeCell ref="B77:E77"/>
    <mergeCell ref="B221:E221"/>
    <mergeCell ref="B222:E222"/>
    <mergeCell ref="B223:E223"/>
    <mergeCell ref="B228:E228"/>
    <mergeCell ref="B196:E196"/>
    <mergeCell ref="B215:E215"/>
    <mergeCell ref="B172:E172"/>
    <mergeCell ref="B191:E191"/>
    <mergeCell ref="B151:E151"/>
    <mergeCell ref="B156:E156"/>
    <mergeCell ref="B173:E173"/>
    <mergeCell ref="B165:E165"/>
    <mergeCell ref="B166:E166"/>
    <mergeCell ref="B167:E167"/>
    <mergeCell ref="B157:E157"/>
    <mergeCell ref="B198:E198"/>
    <mergeCell ref="B193:E193"/>
    <mergeCell ref="B194:E194"/>
    <mergeCell ref="B213:E213"/>
    <mergeCell ref="B152:E152"/>
    <mergeCell ref="B153:E153"/>
    <mergeCell ref="B154:E154"/>
    <mergeCell ref="B155:E155"/>
    <mergeCell ref="B174:E174"/>
    <mergeCell ref="B58:E58"/>
    <mergeCell ref="B56:E56"/>
    <mergeCell ref="B76:E76"/>
    <mergeCell ref="B59:E59"/>
    <mergeCell ref="B60:E60"/>
    <mergeCell ref="B68:E68"/>
    <mergeCell ref="B88:E88"/>
    <mergeCell ref="B66:E66"/>
    <mergeCell ref="B99:E99"/>
    <mergeCell ref="B69:E69"/>
    <mergeCell ref="B70:E70"/>
    <mergeCell ref="B71:E71"/>
    <mergeCell ref="B91:E91"/>
    <mergeCell ref="B98:E98"/>
    <mergeCell ref="B93:E93"/>
    <mergeCell ref="B72:E72"/>
    <mergeCell ref="B73:E73"/>
    <mergeCell ref="B90:E90"/>
    <mergeCell ref="B89:E89"/>
    <mergeCell ref="A1:J1"/>
    <mergeCell ref="B4:E4"/>
    <mergeCell ref="B7:E7"/>
    <mergeCell ref="B13:E13"/>
    <mergeCell ref="B15:E15"/>
    <mergeCell ref="B17:E17"/>
    <mergeCell ref="B34:E34"/>
    <mergeCell ref="B43:E43"/>
    <mergeCell ref="B26:E26"/>
    <mergeCell ref="B31:E31"/>
    <mergeCell ref="B33:E33"/>
    <mergeCell ref="B19:E19"/>
    <mergeCell ref="B20:E20"/>
    <mergeCell ref="B18:E18"/>
    <mergeCell ref="B21:E21"/>
    <mergeCell ref="B24:E24"/>
    <mergeCell ref="B35:E35"/>
    <mergeCell ref="B27:E27"/>
    <mergeCell ref="B36:E36"/>
    <mergeCell ref="B37:E37"/>
    <mergeCell ref="B16:E16"/>
    <mergeCell ref="B22:E22"/>
    <mergeCell ref="B23:E23"/>
    <mergeCell ref="B38:E38"/>
    <mergeCell ref="B259:E259"/>
    <mergeCell ref="B260:E260"/>
    <mergeCell ref="B261:E261"/>
    <mergeCell ref="B262:E262"/>
    <mergeCell ref="B263:E263"/>
    <mergeCell ref="B264:E264"/>
    <mergeCell ref="B240:E240"/>
    <mergeCell ref="B241:E241"/>
    <mergeCell ref="B242:E242"/>
    <mergeCell ref="B243:E243"/>
    <mergeCell ref="B244:E244"/>
    <mergeCell ref="B252:E252"/>
    <mergeCell ref="B253:E253"/>
    <mergeCell ref="B254:E254"/>
    <mergeCell ref="B255:E255"/>
    <mergeCell ref="B235:E235"/>
    <mergeCell ref="B236:E236"/>
    <mergeCell ref="B237:E237"/>
    <mergeCell ref="B238:E238"/>
    <mergeCell ref="B112:E112"/>
    <mergeCell ref="B113:E113"/>
    <mergeCell ref="B114:E114"/>
    <mergeCell ref="B81:E81"/>
    <mergeCell ref="B109:E109"/>
    <mergeCell ref="B102:E102"/>
    <mergeCell ref="B103:E103"/>
    <mergeCell ref="B185:E185"/>
    <mergeCell ref="B186:E186"/>
    <mergeCell ref="B187:E187"/>
    <mergeCell ref="B188:E188"/>
    <mergeCell ref="B189:E189"/>
    <mergeCell ref="B164:E164"/>
    <mergeCell ref="B163:E163"/>
    <mergeCell ref="B149:E149"/>
    <mergeCell ref="B150:E150"/>
    <mergeCell ref="B200:E200"/>
    <mergeCell ref="B201:E201"/>
    <mergeCell ref="B206:E206"/>
    <mergeCell ref="B229:E229"/>
    <mergeCell ref="B577:E577"/>
    <mergeCell ref="B578:E578"/>
    <mergeCell ref="B579:E579"/>
    <mergeCell ref="B580:E580"/>
    <mergeCell ref="B227:E227"/>
    <mergeCell ref="B202:E202"/>
    <mergeCell ref="B203:E203"/>
    <mergeCell ref="B329:E329"/>
    <mergeCell ref="B330:E330"/>
    <mergeCell ref="B396:E396"/>
    <mergeCell ref="B397:E397"/>
    <mergeCell ref="B401:E401"/>
    <mergeCell ref="B402:E402"/>
    <mergeCell ref="B319:E319"/>
    <mergeCell ref="B320:E320"/>
    <mergeCell ref="B321:E321"/>
    <mergeCell ref="B326:E326"/>
    <mergeCell ref="B327:E327"/>
    <mergeCell ref="B328:E328"/>
    <mergeCell ref="B335:E335"/>
    <mergeCell ref="B336:E336"/>
    <mergeCell ref="B337:E337"/>
    <mergeCell ref="B250:E250"/>
    <mergeCell ref="B275:E275"/>
    <mergeCell ref="B513:E513"/>
    <mergeCell ref="B265:E265"/>
    <mergeCell ref="B266:E266"/>
    <mergeCell ref="B276:E276"/>
    <mergeCell ref="B277:E277"/>
    <mergeCell ref="B278:E278"/>
    <mergeCell ref="B279:E279"/>
    <mergeCell ref="B291:E291"/>
    <mergeCell ref="B358:E358"/>
    <mergeCell ref="B357:E357"/>
    <mergeCell ref="B307:E307"/>
    <mergeCell ref="B311:E311"/>
    <mergeCell ref="B312:E312"/>
    <mergeCell ref="B438:E438"/>
    <mergeCell ref="B439:E439"/>
    <mergeCell ref="B440:E440"/>
    <mergeCell ref="B441:E441"/>
    <mergeCell ref="B446:E446"/>
    <mergeCell ref="B363:E363"/>
    <mergeCell ref="B364:E364"/>
    <mergeCell ref="B365:E365"/>
    <mergeCell ref="B425:E425"/>
    <mergeCell ref="B426:E426"/>
    <mergeCell ref="B427:E427"/>
    <mergeCell ref="B428:E428"/>
    <mergeCell ref="B429:E429"/>
    <mergeCell ref="B430:E430"/>
    <mergeCell ref="B417:E417"/>
    <mergeCell ref="B418:E418"/>
    <mergeCell ref="B419:E419"/>
    <mergeCell ref="B420:E420"/>
    <mergeCell ref="B403:E403"/>
    <mergeCell ref="B408:E408"/>
    <mergeCell ref="B471:E471"/>
    <mergeCell ref="B472:E472"/>
    <mergeCell ref="B644:E644"/>
    <mergeCell ref="B645:E645"/>
    <mergeCell ref="B646:E646"/>
    <mergeCell ref="B486:E486"/>
    <mergeCell ref="B491:E491"/>
    <mergeCell ref="B492:E492"/>
    <mergeCell ref="B493:E493"/>
    <mergeCell ref="B494:E494"/>
    <mergeCell ref="B495:E495"/>
    <mergeCell ref="B500:E500"/>
    <mergeCell ref="B501:E501"/>
    <mergeCell ref="B502:E502"/>
    <mergeCell ref="B581:E581"/>
    <mergeCell ref="B582:E582"/>
    <mergeCell ref="B587:E587"/>
    <mergeCell ref="B588:E588"/>
    <mergeCell ref="B476:E476"/>
    <mergeCell ref="B477:E477"/>
    <mergeCell ref="B516:E516"/>
    <mergeCell ref="B521:E521"/>
    <mergeCell ref="B571:E571"/>
    <mergeCell ref="B576:E576"/>
    <mergeCell ref="B625:E625"/>
    <mergeCell ref="B626:E626"/>
    <mergeCell ref="B627:E627"/>
    <mergeCell ref="B628:E628"/>
    <mergeCell ref="B710:E710"/>
    <mergeCell ref="B711:E711"/>
    <mergeCell ref="B712:E712"/>
    <mergeCell ref="B713:E713"/>
    <mergeCell ref="B718:E718"/>
    <mergeCell ref="B703:E703"/>
    <mergeCell ref="B692:E692"/>
    <mergeCell ref="B693:E693"/>
    <mergeCell ref="B694:E694"/>
    <mergeCell ref="B699:E699"/>
    <mergeCell ref="B700:E700"/>
    <mergeCell ref="B701:E701"/>
    <mergeCell ref="B679:E679"/>
    <mergeCell ref="B680:E680"/>
    <mergeCell ref="B684:E684"/>
    <mergeCell ref="B685:E685"/>
    <mergeCell ref="B686:E686"/>
    <mergeCell ref="B691:E691"/>
    <mergeCell ref="B635:E635"/>
    <mergeCell ref="B636:E636"/>
    <mergeCell ref="B768:E768"/>
    <mergeCell ref="B773:E773"/>
    <mergeCell ref="B774:E774"/>
    <mergeCell ref="B775:E775"/>
    <mergeCell ref="B719:E719"/>
    <mergeCell ref="B720:E720"/>
    <mergeCell ref="B721:E721"/>
    <mergeCell ref="B722:E722"/>
    <mergeCell ref="B723:E723"/>
    <mergeCell ref="B724:E724"/>
    <mergeCell ref="B729:E729"/>
    <mergeCell ref="B753:E753"/>
    <mergeCell ref="B754:E754"/>
  </mergeCells>
  <conditionalFormatting sqref="N15:P15 N17:P17 N43 N65 N171:N173 O172:O173 P173 N193:N195 O194:O195 P195 B294:G294 B365:I365 B455:I455">
    <cfRule type="expression" dxfId="48" priority="7">
      <formula>$B$7="elektriciteit"</formula>
    </cfRule>
  </conditionalFormatting>
  <conditionalFormatting sqref="B16:P16 R16 B18:P18 R18 B21:P21 R21 R23:R24 B23:P24 B44:P54 R44:R54 B66:P76 R66:R76 B99:P109 R99:R109 B121:P142 R121:R142 B174:P184 R174:R184 B196:P206 R196:R206 B229:P239 R229:R239 B251:P272 R251:R272 B297:G297 B376:D376 B378:F378 B380:I382 B384:F384 B386:C389 B467:D467 B469:F469 B471:K472 B476:M479 B481:F481 B474:F474 B483:M487 B489:F489 B491:M496 B498:F498 B500:I506 B508:F508 B510:I517 B519:F519 B521:I523 B525:F525 B527:C530 B675:E675 B677:F677 B679:K680 B682:F682 B684:M687 B691:M695 B689:F689 B697:F697 B699:M704 B706:F706 B708:I714 B716:F716 B718:I725 B727:F727 B729:I732 B734:F734 B736:I738 B741:F741 B743:C746 B824:C824 B826:F826 B828:K829 B831:F831 B833:M836 B840:M844 B838:F838 B846:F846 B848:M853 B855:F855 B857:I863 B865:F865 B867:I874 B876:F876 B878:I881 B883:F883 B885:I887 B890:F890 B892:C895 B898:D898 B900:F900 B902:I904 B906:F906 B908:C911">
    <cfRule type="expression" dxfId="47" priority="6">
      <formula>$B$7="gas"</formula>
    </cfRule>
  </conditionalFormatting>
  <conditionalFormatting sqref="B524:F524">
    <cfRule type="expression" dxfId="46" priority="5">
      <formula>$B$7="gas"</formula>
    </cfRule>
  </conditionalFormatting>
  <conditionalFormatting sqref="B740:F740">
    <cfRule type="expression" dxfId="45" priority="4">
      <formula>$B$7="gas"</formula>
    </cfRule>
  </conditionalFormatting>
  <conditionalFormatting sqref="B889:F889">
    <cfRule type="expression" dxfId="44" priority="3">
      <formula>$B$7="gas"</formula>
    </cfRule>
  </conditionalFormatting>
  <conditionalFormatting sqref="B905:F905">
    <cfRule type="expression" dxfId="43" priority="2">
      <formula>$B$7="gas"</formula>
    </cfRule>
  </conditionalFormatting>
  <conditionalFormatting sqref="B383:F383">
    <cfRule type="expression" dxfId="42"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57" max="13" man="1"/>
  </rowBreaks>
  <ignoredErrors>
    <ignoredError sqref="G164 R20 P240 P229 P218 P207 P185 G207:K207 R34:R40 G165:K168 R164 P165:P168 G185:K185 P186:P190 G218:K218 P219:P223 G229:K229 P230:P234 G240:K240 P241:P245 P208:P212 J190 H186:K186 G187 I187:K187 H188 J188:K188 I189 K189 J212 H208:K208 G209 I209:K209 H210 J210:K210 I211 K211 J223 H219:K219 G220 I220:K220 H221 J221:K221 I222 K222 I234:J234 H230:K230 G231 I231:K231 H232 J232:K232 I233 K233 H241:K241 G242 I242:K242 J243:K243 K244 G36:G41 H37:H41 I38:I41 J39:J41 K40:K41 L41 R15 R17 R240 R229 R218 R207 R18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pageSetUpPr fitToPage="1"/>
  </sheetPr>
  <dimension ref="A1:AG105"/>
  <sheetViews>
    <sheetView zoomScale="80" zoomScaleNormal="80" zoomScaleSheetLayoutView="80" workbookViewId="0">
      <selection activeCell="J21" sqref="J21"/>
    </sheetView>
  </sheetViews>
  <sheetFormatPr defaultColWidth="11.453125" defaultRowHeight="12.5" x14ac:dyDescent="0.25"/>
  <cols>
    <col min="1" max="1" width="24.26953125" style="177" customWidth="1"/>
    <col min="2" max="2" width="21.54296875" style="177" customWidth="1"/>
    <col min="3" max="12" width="17.7265625" style="177" customWidth="1"/>
    <col min="13" max="13" width="2.26953125" style="177" customWidth="1"/>
    <col min="14" max="14" width="17.7265625" style="177" customWidth="1"/>
    <col min="15" max="15" width="2" style="177" customWidth="1"/>
    <col min="16" max="16" width="17.7265625" style="177" customWidth="1"/>
    <col min="17" max="17" width="28.7265625" style="177" bestFit="1" customWidth="1"/>
    <col min="18" max="18" width="14" style="177" customWidth="1"/>
    <col min="19" max="19" width="11.453125" style="177"/>
    <col min="20" max="20" width="12.26953125" style="177" bestFit="1" customWidth="1"/>
    <col min="21" max="16384" width="11.453125" style="177"/>
  </cols>
  <sheetData>
    <row r="1" spans="1:22" ht="25.5" customHeight="1" thickBot="1" x14ac:dyDescent="0.3">
      <c r="A1" s="1109" t="s">
        <v>203</v>
      </c>
      <c r="B1" s="1110"/>
      <c r="C1" s="1110"/>
      <c r="D1" s="1110"/>
      <c r="E1" s="1110"/>
      <c r="F1" s="1110"/>
      <c r="G1" s="1110"/>
      <c r="H1" s="1110"/>
      <c r="I1" s="1110"/>
      <c r="J1" s="1110"/>
      <c r="K1" s="1110"/>
      <c r="L1" s="1110"/>
      <c r="M1" s="1110"/>
      <c r="N1" s="1111"/>
      <c r="O1" s="212"/>
      <c r="P1" s="291"/>
      <c r="Q1" s="222"/>
      <c r="R1" s="223"/>
      <c r="S1" s="223"/>
      <c r="T1" s="223"/>
      <c r="U1" s="223"/>
    </row>
    <row r="2" spans="1:22" x14ac:dyDescent="0.25">
      <c r="A2" s="225"/>
      <c r="B2" s="225"/>
      <c r="C2" s="225"/>
      <c r="D2" s="225"/>
      <c r="E2" s="225"/>
      <c r="F2" s="225"/>
      <c r="G2" s="225"/>
      <c r="H2" s="225"/>
      <c r="I2" s="225"/>
      <c r="J2" s="225"/>
      <c r="K2" s="225"/>
      <c r="L2" s="225"/>
      <c r="M2" s="225"/>
      <c r="N2" s="225"/>
      <c r="O2" s="212"/>
      <c r="P2" s="291"/>
      <c r="Q2" s="280"/>
      <c r="R2" s="229"/>
      <c r="S2" s="229"/>
      <c r="T2" s="223"/>
      <c r="U2" s="223"/>
    </row>
    <row r="3" spans="1:22" x14ac:dyDescent="0.25">
      <c r="A3" s="225"/>
      <c r="B3" s="225"/>
      <c r="C3" s="280">
        <f t="shared" ref="C3:L3" si="0">+C7+1</f>
        <v>2016</v>
      </c>
      <c r="D3" s="280">
        <f t="shared" si="0"/>
        <v>2017</v>
      </c>
      <c r="E3" s="280">
        <f t="shared" si="0"/>
        <v>2018</v>
      </c>
      <c r="F3" s="280">
        <f t="shared" si="0"/>
        <v>2019</v>
      </c>
      <c r="G3" s="280">
        <f t="shared" si="0"/>
        <v>2020</v>
      </c>
      <c r="H3" s="280"/>
      <c r="I3" s="280"/>
      <c r="J3" s="280"/>
      <c r="K3" s="280"/>
      <c r="L3" s="280">
        <f t="shared" si="0"/>
        <v>2025</v>
      </c>
      <c r="M3" s="280"/>
      <c r="N3" s="280"/>
      <c r="O3" s="204"/>
      <c r="P3" s="291"/>
      <c r="Q3" s="229"/>
      <c r="R3" s="229"/>
      <c r="S3" s="229"/>
      <c r="T3" s="223"/>
      <c r="U3" s="223"/>
      <c r="V3" s="229"/>
    </row>
    <row r="4" spans="1:22" s="166" customFormat="1" ht="16.5" x14ac:dyDescent="0.25">
      <c r="A4" s="216"/>
      <c r="C4" s="1057" t="str">
        <f>+TITELBLAD!C7</f>
        <v>NAAM DNB</v>
      </c>
      <c r="D4" s="1058"/>
      <c r="E4" s="1058"/>
      <c r="F4" s="1058"/>
      <c r="G4" s="1058"/>
      <c r="H4" s="1058"/>
      <c r="I4" s="1058"/>
      <c r="J4" s="1058"/>
      <c r="K4" s="1058"/>
      <c r="L4" s="1059"/>
      <c r="O4" s="212"/>
      <c r="P4" s="291"/>
      <c r="Q4" s="280" t="str">
        <f>+TITELBLAD!B16</f>
        <v>Rapportering over boekjaar:</v>
      </c>
      <c r="R4" s="229">
        <f>+TITELBLAD!E16</f>
        <v>2022</v>
      </c>
      <c r="S4" s="229" t="str">
        <f>+TITELBLAD!F16</f>
        <v>ex-post</v>
      </c>
      <c r="T4" s="291"/>
      <c r="U4" s="291"/>
    </row>
    <row r="5" spans="1:22" s="166" customFormat="1" ht="16.5" x14ac:dyDescent="0.25">
      <c r="A5" s="216"/>
      <c r="C5" s="1057" t="str">
        <f>+TITELBLAD!C10</f>
        <v>elektriciteit</v>
      </c>
      <c r="D5" s="1058"/>
      <c r="E5" s="1058"/>
      <c r="F5" s="1058"/>
      <c r="G5" s="1058"/>
      <c r="H5" s="1058"/>
      <c r="I5" s="1058"/>
      <c r="J5" s="1058"/>
      <c r="K5" s="1058"/>
      <c r="L5" s="1059"/>
      <c r="O5" s="212"/>
      <c r="P5" s="291"/>
      <c r="Q5" s="203"/>
      <c r="R5" s="203"/>
      <c r="S5" s="203"/>
      <c r="T5" s="291"/>
      <c r="U5" s="291"/>
    </row>
    <row r="6" spans="1:22" s="166" customFormat="1" ht="16.5" x14ac:dyDescent="0.25">
      <c r="A6" s="216"/>
      <c r="C6" s="1057" t="s">
        <v>19</v>
      </c>
      <c r="D6" s="1058"/>
      <c r="E6" s="1058"/>
      <c r="F6" s="1058"/>
      <c r="G6" s="1058"/>
      <c r="H6" s="1058"/>
      <c r="I6" s="1058"/>
      <c r="J6" s="1058"/>
      <c r="K6" s="1058"/>
      <c r="L6" s="1059"/>
      <c r="O6" s="212"/>
      <c r="P6" s="291"/>
      <c r="Q6" s="203"/>
      <c r="R6" s="203"/>
      <c r="S6" s="203"/>
      <c r="T6" s="291"/>
      <c r="U6" s="291"/>
    </row>
    <row r="7" spans="1:22" s="166" customFormat="1" ht="52.5" customHeight="1" thickBot="1" x14ac:dyDescent="0.3">
      <c r="A7" s="1118"/>
      <c r="B7" s="1119"/>
      <c r="C7" s="668">
        <v>2015</v>
      </c>
      <c r="D7" s="668">
        <v>2016</v>
      </c>
      <c r="E7" s="668">
        <v>2017</v>
      </c>
      <c r="F7" s="668">
        <v>2018</v>
      </c>
      <c r="G7" s="668">
        <v>2019</v>
      </c>
      <c r="H7" s="668">
        <v>2020</v>
      </c>
      <c r="I7" s="668">
        <v>2021</v>
      </c>
      <c r="J7" s="668">
        <v>2022</v>
      </c>
      <c r="K7" s="668">
        <v>2023</v>
      </c>
      <c r="L7" s="668">
        <v>2024</v>
      </c>
      <c r="O7" s="212"/>
      <c r="P7" s="291"/>
      <c r="Q7" s="203"/>
      <c r="R7" s="203"/>
      <c r="S7" s="203"/>
      <c r="T7" s="291"/>
      <c r="U7" s="291"/>
    </row>
    <row r="8" spans="1:22" s="166" customFormat="1" ht="31.5" customHeight="1" thickBot="1" x14ac:dyDescent="0.3">
      <c r="A8" s="1120" t="s">
        <v>121</v>
      </c>
      <c r="B8" s="1121"/>
      <c r="C8" s="680">
        <f t="shared" ref="C8:L8" si="1">SUM(C9:C16)</f>
        <v>0</v>
      </c>
      <c r="D8" s="680">
        <f t="shared" si="1"/>
        <v>0</v>
      </c>
      <c r="E8" s="680">
        <f t="shared" si="1"/>
        <v>0</v>
      </c>
      <c r="F8" s="680">
        <f t="shared" si="1"/>
        <v>0</v>
      </c>
      <c r="G8" s="680">
        <f t="shared" si="1"/>
        <v>0</v>
      </c>
      <c r="H8" s="680">
        <f t="shared" si="1"/>
        <v>0</v>
      </c>
      <c r="I8" s="680">
        <f t="shared" si="1"/>
        <v>0</v>
      </c>
      <c r="J8" s="680">
        <f t="shared" si="1"/>
        <v>0</v>
      </c>
      <c r="K8" s="680">
        <f t="shared" si="1"/>
        <v>0</v>
      </c>
      <c r="L8" s="681">
        <f t="shared" si="1"/>
        <v>0</v>
      </c>
      <c r="O8" s="212"/>
      <c r="P8" s="291"/>
      <c r="Q8" s="291"/>
      <c r="R8" s="291"/>
      <c r="S8" s="203"/>
      <c r="T8" s="291"/>
      <c r="U8" s="291"/>
    </row>
    <row r="9" spans="1:22" s="166" customFormat="1" ht="31.5" customHeight="1" x14ac:dyDescent="0.25">
      <c r="A9" s="1114" t="s">
        <v>89</v>
      </c>
      <c r="B9" s="1115"/>
      <c r="C9" s="814">
        <v>0</v>
      </c>
      <c r="D9" s="814">
        <v>0</v>
      </c>
      <c r="E9" s="814">
        <v>0</v>
      </c>
      <c r="F9" s="814">
        <v>0</v>
      </c>
      <c r="G9" s="814">
        <v>0</v>
      </c>
      <c r="H9" s="814">
        <v>0</v>
      </c>
      <c r="I9" s="814">
        <v>0</v>
      </c>
      <c r="J9" s="814">
        <v>0</v>
      </c>
      <c r="K9" s="814">
        <v>0</v>
      </c>
      <c r="L9" s="815">
        <v>0</v>
      </c>
      <c r="O9" s="212"/>
      <c r="P9" s="291"/>
      <c r="Q9" s="291"/>
      <c r="R9" s="291"/>
      <c r="S9" s="291"/>
      <c r="T9" s="291"/>
      <c r="U9" s="291"/>
    </row>
    <row r="10" spans="1:22" s="166" customFormat="1" ht="31.5" customHeight="1" x14ac:dyDescent="0.25">
      <c r="A10" s="1116" t="s">
        <v>331</v>
      </c>
      <c r="B10" s="1117"/>
      <c r="C10" s="335"/>
      <c r="D10" s="335"/>
      <c r="E10" s="335"/>
      <c r="F10" s="335"/>
      <c r="G10" s="335"/>
      <c r="H10" s="335"/>
      <c r="I10" s="335"/>
      <c r="J10" s="207">
        <v>0</v>
      </c>
      <c r="K10" s="207">
        <v>0</v>
      </c>
      <c r="L10" s="816">
        <v>0</v>
      </c>
      <c r="O10" s="212"/>
      <c r="P10" s="291"/>
      <c r="Q10" s="291"/>
      <c r="R10" s="291"/>
      <c r="S10" s="291"/>
      <c r="T10" s="291"/>
      <c r="U10" s="291"/>
    </row>
    <row r="11" spans="1:22" s="166" customFormat="1" ht="31.5" customHeight="1" x14ac:dyDescent="0.25">
      <c r="A11" s="1116" t="s">
        <v>90</v>
      </c>
      <c r="B11" s="1117"/>
      <c r="C11" s="207">
        <v>0</v>
      </c>
      <c r="D11" s="207">
        <v>0</v>
      </c>
      <c r="E11" s="207">
        <v>0</v>
      </c>
      <c r="F11" s="207">
        <v>0</v>
      </c>
      <c r="G11" s="207">
        <v>0</v>
      </c>
      <c r="H11" s="207">
        <v>0</v>
      </c>
      <c r="I11" s="207">
        <v>0</v>
      </c>
      <c r="J11" s="207">
        <v>0</v>
      </c>
      <c r="K11" s="207">
        <v>0</v>
      </c>
      <c r="L11" s="816">
        <v>0</v>
      </c>
      <c r="O11" s="212"/>
      <c r="P11" s="291"/>
      <c r="Q11" s="291"/>
      <c r="R11" s="291"/>
      <c r="S11" s="291"/>
      <c r="T11" s="291"/>
      <c r="U11" s="291"/>
    </row>
    <row r="12" spans="1:22" s="166" customFormat="1" ht="31.5" customHeight="1" x14ac:dyDescent="0.25">
      <c r="A12" s="1116" t="s">
        <v>332</v>
      </c>
      <c r="B12" s="1117"/>
      <c r="C12" s="207">
        <v>0</v>
      </c>
      <c r="D12" s="207">
        <v>0</v>
      </c>
      <c r="E12" s="207">
        <v>0</v>
      </c>
      <c r="F12" s="207">
        <v>0</v>
      </c>
      <c r="G12" s="207">
        <v>0</v>
      </c>
      <c r="H12" s="207">
        <v>0</v>
      </c>
      <c r="I12" s="207">
        <v>0</v>
      </c>
      <c r="J12" s="207">
        <v>0</v>
      </c>
      <c r="K12" s="207">
        <v>0</v>
      </c>
      <c r="L12" s="816">
        <v>0</v>
      </c>
      <c r="O12" s="212"/>
      <c r="P12" s="291"/>
      <c r="Q12" s="291"/>
      <c r="R12" s="291"/>
      <c r="S12" s="291"/>
      <c r="T12" s="291"/>
      <c r="U12" s="291"/>
    </row>
    <row r="13" spans="1:22" s="166" customFormat="1" ht="31.5" customHeight="1" x14ac:dyDescent="0.25">
      <c r="A13" s="1116" t="s">
        <v>168</v>
      </c>
      <c r="B13" s="1117"/>
      <c r="C13" s="335"/>
      <c r="D13" s="335"/>
      <c r="E13" s="335"/>
      <c r="F13" s="335"/>
      <c r="G13" s="335"/>
      <c r="H13" s="335"/>
      <c r="I13" s="207">
        <v>0</v>
      </c>
      <c r="J13" s="207">
        <v>0</v>
      </c>
      <c r="K13" s="207">
        <v>0</v>
      </c>
      <c r="L13" s="816">
        <v>0</v>
      </c>
      <c r="O13" s="212"/>
      <c r="P13" s="291"/>
      <c r="Q13" s="291"/>
      <c r="R13" s="291"/>
      <c r="S13" s="291"/>
      <c r="T13" s="291"/>
      <c r="U13" s="291"/>
    </row>
    <row r="14" spans="1:22" s="166" customFormat="1" ht="31.5" customHeight="1" x14ac:dyDescent="0.25">
      <c r="A14" s="1116" t="s">
        <v>91</v>
      </c>
      <c r="B14" s="1117"/>
      <c r="C14" s="207">
        <v>0</v>
      </c>
      <c r="D14" s="207">
        <v>0</v>
      </c>
      <c r="E14" s="207">
        <v>0</v>
      </c>
      <c r="F14" s="207">
        <v>0</v>
      </c>
      <c r="G14" s="207">
        <v>0</v>
      </c>
      <c r="H14" s="207">
        <v>0</v>
      </c>
      <c r="I14" s="207">
        <v>0</v>
      </c>
      <c r="J14" s="207">
        <v>0</v>
      </c>
      <c r="K14" s="207">
        <v>0</v>
      </c>
      <c r="L14" s="816">
        <v>0</v>
      </c>
      <c r="O14" s="212"/>
      <c r="P14" s="291"/>
      <c r="Q14" s="291"/>
      <c r="R14" s="291"/>
      <c r="S14" s="291"/>
      <c r="T14" s="291"/>
      <c r="U14" s="291"/>
    </row>
    <row r="15" spans="1:22" s="166" customFormat="1" ht="31.5" customHeight="1" x14ac:dyDescent="0.25">
      <c r="A15" s="1116" t="s">
        <v>92</v>
      </c>
      <c r="B15" s="1117"/>
      <c r="C15" s="207">
        <v>0</v>
      </c>
      <c r="D15" s="207">
        <v>0</v>
      </c>
      <c r="E15" s="207">
        <v>0</v>
      </c>
      <c r="F15" s="207">
        <v>0</v>
      </c>
      <c r="G15" s="207">
        <v>0</v>
      </c>
      <c r="H15" s="207">
        <v>0</v>
      </c>
      <c r="I15" s="207">
        <v>0</v>
      </c>
      <c r="J15" s="335"/>
      <c r="K15" s="335"/>
      <c r="L15" s="669"/>
      <c r="O15" s="212"/>
      <c r="P15" s="291"/>
      <c r="Q15" s="291"/>
      <c r="R15" s="291"/>
      <c r="S15" s="291"/>
      <c r="T15" s="291"/>
      <c r="U15" s="291"/>
    </row>
    <row r="16" spans="1:22" s="166" customFormat="1" ht="31.5" customHeight="1" thickBot="1" x14ac:dyDescent="0.3">
      <c r="A16" s="1112" t="s">
        <v>359</v>
      </c>
      <c r="B16" s="1113"/>
      <c r="C16" s="817">
        <v>0</v>
      </c>
      <c r="D16" s="817">
        <v>0</v>
      </c>
      <c r="E16" s="817">
        <v>0</v>
      </c>
      <c r="F16" s="817">
        <v>0</v>
      </c>
      <c r="G16" s="817">
        <v>0</v>
      </c>
      <c r="H16" s="817">
        <v>0</v>
      </c>
      <c r="I16" s="817">
        <v>0</v>
      </c>
      <c r="J16" s="817">
        <v>0</v>
      </c>
      <c r="K16" s="817">
        <v>0</v>
      </c>
      <c r="L16" s="818">
        <v>0</v>
      </c>
      <c r="O16" s="212"/>
      <c r="P16" s="291"/>
      <c r="Q16" s="291"/>
      <c r="R16" s="291"/>
      <c r="S16" s="291"/>
      <c r="T16" s="291"/>
      <c r="U16" s="291"/>
    </row>
    <row r="17" spans="1:21" s="166" customFormat="1" ht="13.5" customHeight="1" thickBot="1" x14ac:dyDescent="0.3">
      <c r="A17" s="670"/>
      <c r="B17" s="670"/>
      <c r="C17" s="671"/>
      <c r="D17" s="671"/>
      <c r="E17" s="671"/>
      <c r="F17" s="671"/>
      <c r="G17" s="671"/>
      <c r="H17" s="671"/>
      <c r="I17" s="671"/>
      <c r="J17" s="671"/>
      <c r="K17" s="671"/>
      <c r="L17" s="671"/>
      <c r="O17" s="212"/>
      <c r="P17" s="291"/>
      <c r="Q17" s="291"/>
      <c r="R17" s="291"/>
      <c r="S17" s="291"/>
      <c r="T17" s="291"/>
      <c r="U17" s="291"/>
    </row>
    <row r="18" spans="1:21" s="166" customFormat="1" ht="31.5" customHeight="1" thickBot="1" x14ac:dyDescent="0.3">
      <c r="A18" s="1120" t="s">
        <v>136</v>
      </c>
      <c r="B18" s="1121"/>
      <c r="C18" s="680">
        <f t="shared" ref="C18:L18" si="2">SUM(C19:C26)</f>
        <v>0</v>
      </c>
      <c r="D18" s="680">
        <f t="shared" si="2"/>
        <v>0</v>
      </c>
      <c r="E18" s="680">
        <f t="shared" si="2"/>
        <v>0</v>
      </c>
      <c r="F18" s="680">
        <f t="shared" si="2"/>
        <v>0</v>
      </c>
      <c r="G18" s="680">
        <f t="shared" si="2"/>
        <v>0</v>
      </c>
      <c r="H18" s="680">
        <f t="shared" si="2"/>
        <v>0</v>
      </c>
      <c r="I18" s="680">
        <f t="shared" si="2"/>
        <v>0</v>
      </c>
      <c r="J18" s="680">
        <f t="shared" si="2"/>
        <v>0</v>
      </c>
      <c r="K18" s="680">
        <f t="shared" si="2"/>
        <v>0</v>
      </c>
      <c r="L18" s="681">
        <f t="shared" si="2"/>
        <v>0</v>
      </c>
      <c r="N18" s="771"/>
      <c r="O18" s="212"/>
    </row>
    <row r="19" spans="1:21" s="166" customFormat="1" ht="31.5" customHeight="1" x14ac:dyDescent="0.25">
      <c r="A19" s="1114" t="s">
        <v>89</v>
      </c>
      <c r="B19" s="1115"/>
      <c r="C19" s="814">
        <v>0</v>
      </c>
      <c r="D19" s="814">
        <v>0</v>
      </c>
      <c r="E19" s="814">
        <v>0</v>
      </c>
      <c r="F19" s="814">
        <v>0</v>
      </c>
      <c r="G19" s="814">
        <v>0</v>
      </c>
      <c r="H19" s="814">
        <v>0</v>
      </c>
      <c r="I19" s="814">
        <v>0</v>
      </c>
      <c r="J19" s="814">
        <v>0</v>
      </c>
      <c r="K19" s="814">
        <v>0</v>
      </c>
      <c r="L19" s="815">
        <v>0</v>
      </c>
      <c r="O19" s="212"/>
    </row>
    <row r="20" spans="1:21" s="166" customFormat="1" ht="31.5" customHeight="1" x14ac:dyDescent="0.25">
      <c r="A20" s="1116" t="s">
        <v>331</v>
      </c>
      <c r="B20" s="1117"/>
      <c r="C20" s="335"/>
      <c r="D20" s="335"/>
      <c r="E20" s="335"/>
      <c r="F20" s="335"/>
      <c r="G20" s="335"/>
      <c r="H20" s="335"/>
      <c r="I20" s="335"/>
      <c r="J20" s="207">
        <v>0</v>
      </c>
      <c r="K20" s="207">
        <v>0</v>
      </c>
      <c r="L20" s="816">
        <v>0</v>
      </c>
      <c r="O20" s="212"/>
    </row>
    <row r="21" spans="1:21" s="166" customFormat="1" ht="31.5" customHeight="1" x14ac:dyDescent="0.25">
      <c r="A21" s="1116" t="s">
        <v>90</v>
      </c>
      <c r="B21" s="1117"/>
      <c r="C21" s="207">
        <v>0</v>
      </c>
      <c r="D21" s="207">
        <v>0</v>
      </c>
      <c r="E21" s="207">
        <v>0</v>
      </c>
      <c r="F21" s="207">
        <v>0</v>
      </c>
      <c r="G21" s="207">
        <v>0</v>
      </c>
      <c r="H21" s="207">
        <v>0</v>
      </c>
      <c r="I21" s="207">
        <v>0</v>
      </c>
      <c r="J21" s="207">
        <v>0</v>
      </c>
      <c r="K21" s="207">
        <v>0</v>
      </c>
      <c r="L21" s="816">
        <v>0</v>
      </c>
      <c r="O21" s="212"/>
    </row>
    <row r="22" spans="1:21" s="166" customFormat="1" ht="31.5" customHeight="1" x14ac:dyDescent="0.25">
      <c r="A22" s="1116" t="s">
        <v>332</v>
      </c>
      <c r="B22" s="1117"/>
      <c r="C22" s="207">
        <v>0</v>
      </c>
      <c r="D22" s="207">
        <v>0</v>
      </c>
      <c r="E22" s="207">
        <v>0</v>
      </c>
      <c r="F22" s="207">
        <v>0</v>
      </c>
      <c r="G22" s="207">
        <v>0</v>
      </c>
      <c r="H22" s="207">
        <v>0</v>
      </c>
      <c r="I22" s="207">
        <v>0</v>
      </c>
      <c r="J22" s="207">
        <v>0</v>
      </c>
      <c r="K22" s="207">
        <v>0</v>
      </c>
      <c r="L22" s="816">
        <v>0</v>
      </c>
      <c r="O22" s="212"/>
    </row>
    <row r="23" spans="1:21" s="166" customFormat="1" ht="31.5" customHeight="1" x14ac:dyDescent="0.25">
      <c r="A23" s="1116" t="s">
        <v>168</v>
      </c>
      <c r="B23" s="1117"/>
      <c r="C23" s="335"/>
      <c r="D23" s="335"/>
      <c r="E23" s="335"/>
      <c r="F23" s="335"/>
      <c r="G23" s="335"/>
      <c r="H23" s="335"/>
      <c r="I23" s="207">
        <v>0</v>
      </c>
      <c r="J23" s="207">
        <v>0</v>
      </c>
      <c r="K23" s="207">
        <v>0</v>
      </c>
      <c r="L23" s="816">
        <v>0</v>
      </c>
      <c r="O23" s="212"/>
    </row>
    <row r="24" spans="1:21" s="166" customFormat="1" ht="31.5" customHeight="1" x14ac:dyDescent="0.25">
      <c r="A24" s="1116" t="s">
        <v>91</v>
      </c>
      <c r="B24" s="1117"/>
      <c r="C24" s="207">
        <v>0</v>
      </c>
      <c r="D24" s="207">
        <v>0</v>
      </c>
      <c r="E24" s="207">
        <v>0</v>
      </c>
      <c r="F24" s="207">
        <v>0</v>
      </c>
      <c r="G24" s="207">
        <v>0</v>
      </c>
      <c r="H24" s="207">
        <v>0</v>
      </c>
      <c r="I24" s="207">
        <v>0</v>
      </c>
      <c r="J24" s="207">
        <v>0</v>
      </c>
      <c r="K24" s="207">
        <v>0</v>
      </c>
      <c r="L24" s="816">
        <v>0</v>
      </c>
      <c r="O24" s="212"/>
    </row>
    <row r="25" spans="1:21" s="166" customFormat="1" ht="31.5" customHeight="1" x14ac:dyDescent="0.25">
      <c r="A25" s="1116" t="s">
        <v>92</v>
      </c>
      <c r="B25" s="1117"/>
      <c r="C25" s="207">
        <v>0</v>
      </c>
      <c r="D25" s="207">
        <v>0</v>
      </c>
      <c r="E25" s="207">
        <v>0</v>
      </c>
      <c r="F25" s="207">
        <v>0</v>
      </c>
      <c r="G25" s="207">
        <v>0</v>
      </c>
      <c r="H25" s="207">
        <v>0</v>
      </c>
      <c r="I25" s="207">
        <v>0</v>
      </c>
      <c r="J25" s="335"/>
      <c r="K25" s="335"/>
      <c r="L25" s="669"/>
      <c r="O25" s="212"/>
    </row>
    <row r="26" spans="1:21" s="166" customFormat="1" ht="31.5" customHeight="1" thickBot="1" x14ac:dyDescent="0.3">
      <c r="A26" s="1112" t="s">
        <v>359</v>
      </c>
      <c r="B26" s="1113"/>
      <c r="C26" s="817">
        <v>0</v>
      </c>
      <c r="D26" s="817">
        <v>0</v>
      </c>
      <c r="E26" s="817">
        <v>0</v>
      </c>
      <c r="F26" s="817">
        <v>0</v>
      </c>
      <c r="G26" s="817">
        <v>0</v>
      </c>
      <c r="H26" s="817">
        <v>0</v>
      </c>
      <c r="I26" s="817">
        <v>0</v>
      </c>
      <c r="J26" s="817">
        <v>0</v>
      </c>
      <c r="K26" s="817">
        <v>0</v>
      </c>
      <c r="L26" s="818">
        <v>0</v>
      </c>
      <c r="O26" s="212"/>
    </row>
    <row r="27" spans="1:21" s="166" customFormat="1" ht="13.5" customHeight="1" thickBot="1" x14ac:dyDescent="0.3">
      <c r="A27" s="670"/>
      <c r="B27" s="670"/>
      <c r="C27" s="671"/>
      <c r="D27" s="671"/>
      <c r="E27" s="671"/>
      <c r="F27" s="671"/>
      <c r="G27" s="671"/>
      <c r="H27" s="671"/>
      <c r="I27" s="671"/>
      <c r="J27" s="671"/>
      <c r="K27" s="671"/>
      <c r="L27" s="671"/>
      <c r="O27" s="212"/>
      <c r="P27" s="291"/>
      <c r="Q27" s="291"/>
      <c r="R27" s="291"/>
      <c r="S27" s="291"/>
      <c r="T27" s="291"/>
      <c r="U27" s="291"/>
    </row>
    <row r="28" spans="1:21" s="175" customFormat="1" ht="31.5" customHeight="1" thickBot="1" x14ac:dyDescent="0.3">
      <c r="A28" s="1122" t="s">
        <v>124</v>
      </c>
      <c r="B28" s="1123"/>
      <c r="C28" s="678">
        <f t="shared" ref="C28:L28" si="3">SUM(C29:C36)</f>
        <v>0</v>
      </c>
      <c r="D28" s="678">
        <f t="shared" si="3"/>
        <v>0</v>
      </c>
      <c r="E28" s="678">
        <f t="shared" si="3"/>
        <v>0</v>
      </c>
      <c r="F28" s="678">
        <f t="shared" si="3"/>
        <v>0</v>
      </c>
      <c r="G28" s="678">
        <f t="shared" si="3"/>
        <v>0</v>
      </c>
      <c r="H28" s="678">
        <f t="shared" si="3"/>
        <v>0</v>
      </c>
      <c r="I28" s="678">
        <f t="shared" si="3"/>
        <v>0</v>
      </c>
      <c r="J28" s="678">
        <f t="shared" si="3"/>
        <v>0</v>
      </c>
      <c r="K28" s="678">
        <f t="shared" si="3"/>
        <v>0</v>
      </c>
      <c r="L28" s="679">
        <f t="shared" si="3"/>
        <v>0</v>
      </c>
    </row>
    <row r="29" spans="1:21" s="216" customFormat="1" ht="31.5" customHeight="1" x14ac:dyDescent="0.25">
      <c r="A29" s="1114" t="s">
        <v>89</v>
      </c>
      <c r="B29" s="1115"/>
      <c r="C29" s="676">
        <f t="shared" ref="C29:H29" si="4">+C9-C19</f>
        <v>0</v>
      </c>
      <c r="D29" s="676">
        <f t="shared" si="4"/>
        <v>0</v>
      </c>
      <c r="E29" s="676">
        <f t="shared" si="4"/>
        <v>0</v>
      </c>
      <c r="F29" s="676">
        <f t="shared" si="4"/>
        <v>0</v>
      </c>
      <c r="G29" s="676">
        <f t="shared" si="4"/>
        <v>0</v>
      </c>
      <c r="H29" s="676">
        <f t="shared" si="4"/>
        <v>0</v>
      </c>
      <c r="I29" s="676">
        <f>+(I9-I19)+(I12-I22)+(I13-I23)</f>
        <v>0</v>
      </c>
      <c r="J29" s="676">
        <f>+IF($C$5="elektriciteit",0,IF($C$5="gas",(J9-J19)+(J13-J23),0))</f>
        <v>0</v>
      </c>
      <c r="K29" s="676">
        <f>+IF($C$5="elektriciteit",0,IF($C$5="gas",(K9-K19)+(K13-K23),0))</f>
        <v>0</v>
      </c>
      <c r="L29" s="677">
        <f>+IF($C$5="elektriciteit",0,IF($C$5="gas",(L9-L19)+(L13-L23),0))</f>
        <v>0</v>
      </c>
      <c r="O29" s="217"/>
    </row>
    <row r="30" spans="1:21" s="216" customFormat="1" ht="31.5" customHeight="1" x14ac:dyDescent="0.25">
      <c r="A30" s="1116" t="s">
        <v>331</v>
      </c>
      <c r="B30" s="1117"/>
      <c r="C30" s="334"/>
      <c r="D30" s="334"/>
      <c r="E30" s="334"/>
      <c r="F30" s="334"/>
      <c r="G30" s="334"/>
      <c r="H30" s="334"/>
      <c r="I30" s="334"/>
      <c r="J30" s="176">
        <f>+IF($C$5="elektriciteit",(J10-J20)+(J12-J22)+(J13-J23),IF($C$5="gas",0))</f>
        <v>0</v>
      </c>
      <c r="K30" s="176">
        <f>+IF($C$5="elektriciteit",(K10-K20)+(K12-K22)+(K13-K23),IF($C$5="gas",0))</f>
        <v>0</v>
      </c>
      <c r="L30" s="672">
        <f>+IF($C$5="elektriciteit",(L10-L20)+(L12-L22)+(L13-L23),IF($C$5="gas",0))</f>
        <v>0</v>
      </c>
      <c r="O30" s="217"/>
    </row>
    <row r="31" spans="1:21" s="216" customFormat="1" ht="31.5" customHeight="1" x14ac:dyDescent="0.25">
      <c r="A31" s="1116" t="s">
        <v>90</v>
      </c>
      <c r="B31" s="1117"/>
      <c r="C31" s="176">
        <f t="shared" ref="C31:L31" si="5">+C11-C21</f>
        <v>0</v>
      </c>
      <c r="D31" s="176">
        <f t="shared" si="5"/>
        <v>0</v>
      </c>
      <c r="E31" s="176">
        <f t="shared" si="5"/>
        <v>0</v>
      </c>
      <c r="F31" s="176">
        <f t="shared" si="5"/>
        <v>0</v>
      </c>
      <c r="G31" s="176">
        <f t="shared" si="5"/>
        <v>0</v>
      </c>
      <c r="H31" s="176">
        <f t="shared" si="5"/>
        <v>0</v>
      </c>
      <c r="I31" s="176">
        <f t="shared" si="5"/>
        <v>0</v>
      </c>
      <c r="J31" s="176">
        <f t="shared" si="5"/>
        <v>0</v>
      </c>
      <c r="K31" s="176">
        <f t="shared" si="5"/>
        <v>0</v>
      </c>
      <c r="L31" s="672">
        <f t="shared" si="5"/>
        <v>0</v>
      </c>
      <c r="O31" s="217"/>
    </row>
    <row r="32" spans="1:21" s="216" customFormat="1" ht="31.5" customHeight="1" x14ac:dyDescent="0.25">
      <c r="A32" s="1116" t="s">
        <v>332</v>
      </c>
      <c r="B32" s="1117"/>
      <c r="C32" s="176">
        <f t="shared" ref="C32:H32" si="6">+C12-C22</f>
        <v>0</v>
      </c>
      <c r="D32" s="176">
        <f t="shared" si="6"/>
        <v>0</v>
      </c>
      <c r="E32" s="176">
        <f t="shared" si="6"/>
        <v>0</v>
      </c>
      <c r="F32" s="176">
        <f t="shared" si="6"/>
        <v>0</v>
      </c>
      <c r="G32" s="176">
        <f t="shared" si="6"/>
        <v>0</v>
      </c>
      <c r="H32" s="176">
        <f t="shared" si="6"/>
        <v>0</v>
      </c>
      <c r="I32" s="334"/>
      <c r="J32" s="334"/>
      <c r="K32" s="334"/>
      <c r="L32" s="673"/>
      <c r="O32" s="217"/>
    </row>
    <row r="33" spans="1:33" s="216" customFormat="1" ht="31.5" customHeight="1" x14ac:dyDescent="0.25">
      <c r="A33" s="1116" t="s">
        <v>168</v>
      </c>
      <c r="B33" s="1117"/>
      <c r="C33" s="334"/>
      <c r="D33" s="334"/>
      <c r="E33" s="334"/>
      <c r="F33" s="334"/>
      <c r="G33" s="334"/>
      <c r="H33" s="334"/>
      <c r="I33" s="334"/>
      <c r="J33" s="334"/>
      <c r="K33" s="334"/>
      <c r="L33" s="673"/>
      <c r="O33" s="217"/>
    </row>
    <row r="34" spans="1:33" s="216" customFormat="1" ht="31.5" customHeight="1" x14ac:dyDescent="0.25">
      <c r="A34" s="1116" t="s">
        <v>91</v>
      </c>
      <c r="B34" s="1117"/>
      <c r="C34" s="176">
        <f t="shared" ref="C34:H36" si="7">+C14-C24</f>
        <v>0</v>
      </c>
      <c r="D34" s="176">
        <f t="shared" si="7"/>
        <v>0</v>
      </c>
      <c r="E34" s="176">
        <f t="shared" si="7"/>
        <v>0</v>
      </c>
      <c r="F34" s="176">
        <f t="shared" si="7"/>
        <v>0</v>
      </c>
      <c r="G34" s="176">
        <f t="shared" si="7"/>
        <v>0</v>
      </c>
      <c r="H34" s="176">
        <f t="shared" si="7"/>
        <v>0</v>
      </c>
      <c r="I34" s="176">
        <f t="shared" ref="I34:L34" si="8">+I14-I24</f>
        <v>0</v>
      </c>
      <c r="J34" s="176">
        <f t="shared" si="8"/>
        <v>0</v>
      </c>
      <c r="K34" s="176">
        <f t="shared" si="8"/>
        <v>0</v>
      </c>
      <c r="L34" s="672">
        <f t="shared" si="8"/>
        <v>0</v>
      </c>
      <c r="O34" s="217"/>
    </row>
    <row r="35" spans="1:33" s="216" customFormat="1" ht="31.5" customHeight="1" x14ac:dyDescent="0.25">
      <c r="A35" s="1116" t="s">
        <v>92</v>
      </c>
      <c r="B35" s="1117"/>
      <c r="C35" s="176">
        <f t="shared" si="7"/>
        <v>0</v>
      </c>
      <c r="D35" s="176">
        <f t="shared" si="7"/>
        <v>0</v>
      </c>
      <c r="E35" s="176">
        <f t="shared" si="7"/>
        <v>0</v>
      </c>
      <c r="F35" s="176">
        <f t="shared" si="7"/>
        <v>0</v>
      </c>
      <c r="G35" s="176">
        <f t="shared" si="7"/>
        <v>0</v>
      </c>
      <c r="H35" s="176">
        <f t="shared" si="7"/>
        <v>0</v>
      </c>
      <c r="I35" s="176">
        <f>+I15-I25</f>
        <v>0</v>
      </c>
      <c r="J35" s="334"/>
      <c r="K35" s="334"/>
      <c r="L35" s="673"/>
      <c r="O35" s="217"/>
    </row>
    <row r="36" spans="1:33" s="216" customFormat="1" ht="31.5" customHeight="1" thickBot="1" x14ac:dyDescent="0.3">
      <c r="A36" s="1112" t="s">
        <v>359</v>
      </c>
      <c r="B36" s="1113"/>
      <c r="C36" s="674">
        <f t="shared" si="7"/>
        <v>0</v>
      </c>
      <c r="D36" s="674">
        <f t="shared" si="7"/>
        <v>0</v>
      </c>
      <c r="E36" s="674">
        <f t="shared" si="7"/>
        <v>0</v>
      </c>
      <c r="F36" s="674">
        <f t="shared" si="7"/>
        <v>0</v>
      </c>
      <c r="G36" s="674">
        <f t="shared" si="7"/>
        <v>0</v>
      </c>
      <c r="H36" s="674">
        <f t="shared" si="7"/>
        <v>0</v>
      </c>
      <c r="I36" s="674">
        <f>+I16-I26</f>
        <v>0</v>
      </c>
      <c r="J36" s="674">
        <f>+J16-J26</f>
        <v>0</v>
      </c>
      <c r="K36" s="674">
        <f>+K16-K26</f>
        <v>0</v>
      </c>
      <c r="L36" s="675">
        <f>+L16-L26</f>
        <v>0</v>
      </c>
      <c r="O36" s="217"/>
    </row>
    <row r="37" spans="1:33" s="166" customFormat="1" ht="13" x14ac:dyDescent="0.25">
      <c r="A37" s="216"/>
      <c r="C37" s="233" t="s">
        <v>132</v>
      </c>
      <c r="O37" s="212"/>
    </row>
    <row r="38" spans="1:33" s="166" customFormat="1" ht="13" x14ac:dyDescent="0.25">
      <c r="A38" s="216"/>
      <c r="C38" s="235" t="s">
        <v>101</v>
      </c>
      <c r="O38" s="212"/>
    </row>
    <row r="39" spans="1:33" s="166" customFormat="1" ht="13" x14ac:dyDescent="0.25">
      <c r="A39" s="216"/>
      <c r="C39" s="212"/>
      <c r="O39" s="212"/>
    </row>
    <row r="40" spans="1:33" ht="14.25" customHeight="1" thickBot="1" x14ac:dyDescent="0.3">
      <c r="A40" s="224"/>
      <c r="B40" s="328"/>
      <c r="C40" s="328"/>
      <c r="D40" s="328"/>
      <c r="E40" s="328"/>
      <c r="F40" s="328"/>
      <c r="G40" s="328"/>
      <c r="H40" s="328"/>
      <c r="I40" s="328"/>
      <c r="J40" s="328"/>
      <c r="K40" s="328"/>
      <c r="L40" s="328"/>
      <c r="M40" s="328"/>
      <c r="N40" s="328"/>
      <c r="O40" s="227"/>
      <c r="P40" s="227"/>
    </row>
    <row r="41" spans="1:33" s="178" customFormat="1" ht="20.149999999999999" customHeight="1" thickBot="1" x14ac:dyDescent="0.3">
      <c r="A41" s="1064" t="s">
        <v>40</v>
      </c>
      <c r="B41" s="1065"/>
      <c r="C41" s="1065"/>
      <c r="D41" s="1065"/>
      <c r="E41" s="1065"/>
      <c r="F41" s="1065"/>
      <c r="G41" s="1065"/>
      <c r="H41" s="1065"/>
      <c r="I41" s="1065"/>
      <c r="J41" s="1065"/>
      <c r="K41" s="1065"/>
      <c r="L41" s="1065"/>
      <c r="M41" s="1065"/>
      <c r="N41" s="1066"/>
      <c r="O41" s="227"/>
      <c r="P41" s="227"/>
      <c r="Q41" s="177"/>
      <c r="R41" s="177"/>
      <c r="S41" s="177"/>
      <c r="T41" s="177"/>
      <c r="U41" s="177"/>
      <c r="V41" s="177"/>
      <c r="W41" s="177"/>
      <c r="X41" s="177"/>
      <c r="Y41" s="177"/>
      <c r="Z41" s="177"/>
      <c r="AA41" s="177"/>
      <c r="AB41" s="177"/>
      <c r="AC41" s="177"/>
      <c r="AD41" s="177"/>
      <c r="AE41" s="177"/>
      <c r="AF41" s="177"/>
      <c r="AG41" s="177"/>
    </row>
    <row r="42" spans="1:33" ht="13" thickBot="1" x14ac:dyDescent="0.3"/>
    <row r="43" spans="1:33" s="178" customFormat="1" ht="17" thickBot="1" x14ac:dyDescent="0.3">
      <c r="A43" s="177"/>
      <c r="B43" s="177"/>
      <c r="C43" s="1070" t="s">
        <v>31</v>
      </c>
      <c r="D43" s="1071"/>
      <c r="E43" s="1071"/>
      <c r="F43" s="1071"/>
      <c r="G43" s="1071"/>
      <c r="H43" s="1071"/>
      <c r="I43" s="1071"/>
      <c r="J43" s="1071"/>
      <c r="K43" s="1071"/>
      <c r="L43" s="1072"/>
      <c r="M43" s="177"/>
      <c r="N43" s="177"/>
      <c r="O43" s="177"/>
      <c r="P43" s="177"/>
      <c r="Q43" s="177"/>
      <c r="R43" s="177"/>
      <c r="S43" s="177"/>
      <c r="T43" s="177"/>
      <c r="U43" s="177"/>
      <c r="V43" s="177"/>
      <c r="W43" s="177"/>
      <c r="X43" s="177"/>
      <c r="Y43" s="177"/>
      <c r="Z43" s="177"/>
      <c r="AA43" s="177"/>
      <c r="AB43" s="177"/>
      <c r="AC43" s="177"/>
      <c r="AD43" s="177"/>
      <c r="AE43" s="177"/>
      <c r="AF43" s="177"/>
      <c r="AG43" s="177"/>
    </row>
    <row r="44" spans="1:33" s="178" customFormat="1" ht="13.5" thickBot="1" x14ac:dyDescent="0.3">
      <c r="A44" s="177"/>
      <c r="B44" s="177"/>
      <c r="C44" s="329">
        <f t="shared" ref="C44:L44" si="9">+C7</f>
        <v>2015</v>
      </c>
      <c r="D44" s="330">
        <f t="shared" si="9"/>
        <v>2016</v>
      </c>
      <c r="E44" s="330">
        <f t="shared" si="9"/>
        <v>2017</v>
      </c>
      <c r="F44" s="330">
        <f t="shared" si="9"/>
        <v>2018</v>
      </c>
      <c r="G44" s="330">
        <f t="shared" si="9"/>
        <v>2019</v>
      </c>
      <c r="H44" s="330">
        <f t="shared" si="9"/>
        <v>2020</v>
      </c>
      <c r="I44" s="330">
        <f t="shared" si="9"/>
        <v>2021</v>
      </c>
      <c r="J44" s="330">
        <f t="shared" si="9"/>
        <v>2022</v>
      </c>
      <c r="K44" s="330">
        <f t="shared" si="9"/>
        <v>2023</v>
      </c>
      <c r="L44" s="330">
        <f t="shared" si="9"/>
        <v>2024</v>
      </c>
      <c r="M44" s="177"/>
      <c r="N44" s="177"/>
      <c r="O44" s="177"/>
      <c r="P44" s="177"/>
      <c r="Q44" s="177"/>
      <c r="R44" s="177"/>
      <c r="S44" s="177"/>
      <c r="T44" s="177"/>
      <c r="U44" s="177"/>
      <c r="V44" s="177"/>
      <c r="W44" s="177"/>
      <c r="X44" s="177"/>
      <c r="Y44" s="177"/>
      <c r="Z44" s="177"/>
      <c r="AA44" s="177"/>
      <c r="AB44" s="177"/>
      <c r="AC44" s="177"/>
      <c r="AD44" s="177"/>
      <c r="AE44" s="177"/>
      <c r="AF44" s="177"/>
      <c r="AG44" s="177"/>
    </row>
    <row r="45" spans="1:33" s="178" customFormat="1" x14ac:dyDescent="0.25">
      <c r="A45" s="177"/>
      <c r="B45" s="177"/>
      <c r="C45" s="800">
        <f>+C28</f>
        <v>0</v>
      </c>
      <c r="D45" s="800">
        <f t="shared" ref="D45:L45" si="10">+D28</f>
        <v>0</v>
      </c>
      <c r="E45" s="800">
        <f t="shared" si="10"/>
        <v>0</v>
      </c>
      <c r="F45" s="800">
        <f t="shared" si="10"/>
        <v>0</v>
      </c>
      <c r="G45" s="800">
        <f t="shared" si="10"/>
        <v>0</v>
      </c>
      <c r="H45" s="800">
        <f t="shared" si="10"/>
        <v>0</v>
      </c>
      <c r="I45" s="800">
        <f t="shared" si="10"/>
        <v>0</v>
      </c>
      <c r="J45" s="800">
        <f t="shared" si="10"/>
        <v>0</v>
      </c>
      <c r="K45" s="800">
        <f t="shared" si="10"/>
        <v>0</v>
      </c>
      <c r="L45" s="800">
        <f t="shared" si="10"/>
        <v>0</v>
      </c>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ht="13" x14ac:dyDescent="0.25">
      <c r="C46" s="233" t="s">
        <v>132</v>
      </c>
      <c r="F46" s="234"/>
      <c r="G46" s="234"/>
      <c r="H46" s="234"/>
      <c r="I46" s="234"/>
      <c r="J46" s="234"/>
      <c r="K46" s="234"/>
      <c r="L46" s="234"/>
    </row>
    <row r="47" spans="1:33" ht="13" x14ac:dyDescent="0.25">
      <c r="C47" s="235" t="s">
        <v>101</v>
      </c>
    </row>
    <row r="48" spans="1:33" x14ac:dyDescent="0.25">
      <c r="C48" s="236"/>
    </row>
    <row r="49" spans="1:33" ht="13" thickBot="1" x14ac:dyDescent="0.3">
      <c r="C49" s="236"/>
    </row>
    <row r="50" spans="1:33" ht="19" customHeight="1" thickBot="1" x14ac:dyDescent="0.3">
      <c r="A50" s="1064" t="s">
        <v>18</v>
      </c>
      <c r="B50" s="1065"/>
      <c r="C50" s="1065"/>
      <c r="D50" s="1065"/>
      <c r="E50" s="1065"/>
      <c r="F50" s="1065"/>
      <c r="G50" s="1065"/>
      <c r="H50" s="1065"/>
      <c r="I50" s="1065"/>
      <c r="J50" s="1065"/>
      <c r="K50" s="1065"/>
      <c r="L50" s="1065"/>
      <c r="M50" s="1065"/>
      <c r="N50" s="1066"/>
      <c r="O50" s="1124"/>
      <c r="P50" s="1124"/>
    </row>
    <row r="52" spans="1:33" ht="13" x14ac:dyDescent="0.25">
      <c r="C52" s="233" t="s">
        <v>132</v>
      </c>
    </row>
    <row r="53" spans="1:33" ht="13" x14ac:dyDescent="0.25">
      <c r="C53" s="235" t="s">
        <v>101</v>
      </c>
    </row>
    <row r="54" spans="1:33" ht="16.5" x14ac:dyDescent="0.25">
      <c r="C54" s="1057" t="s">
        <v>19</v>
      </c>
      <c r="D54" s="1058"/>
      <c r="E54" s="1058"/>
      <c r="F54" s="1058"/>
      <c r="G54" s="1058"/>
      <c r="H54" s="1058"/>
      <c r="I54" s="1058"/>
      <c r="J54" s="1058"/>
      <c r="K54" s="1058"/>
      <c r="L54" s="1059"/>
      <c r="N54" s="237" t="s">
        <v>20</v>
      </c>
    </row>
    <row r="55" spans="1:33" ht="13.5" thickBot="1" x14ac:dyDescent="0.3">
      <c r="A55" s="1060"/>
      <c r="B55" s="1060"/>
      <c r="C55" s="238">
        <f t="shared" ref="C55:L55" si="11">C44</f>
        <v>2015</v>
      </c>
      <c r="D55" s="239">
        <f t="shared" si="11"/>
        <v>2016</v>
      </c>
      <c r="E55" s="239">
        <f t="shared" si="11"/>
        <v>2017</v>
      </c>
      <c r="F55" s="239">
        <f t="shared" si="11"/>
        <v>2018</v>
      </c>
      <c r="G55" s="239">
        <f t="shared" si="11"/>
        <v>2019</v>
      </c>
      <c r="H55" s="239">
        <f t="shared" si="11"/>
        <v>2020</v>
      </c>
      <c r="I55" s="239">
        <f t="shared" si="11"/>
        <v>2021</v>
      </c>
      <c r="J55" s="239">
        <f t="shared" si="11"/>
        <v>2022</v>
      </c>
      <c r="K55" s="239">
        <f t="shared" si="11"/>
        <v>2023</v>
      </c>
      <c r="L55" s="239">
        <f t="shared" si="11"/>
        <v>2024</v>
      </c>
      <c r="N55" s="240"/>
    </row>
    <row r="56" spans="1:33" s="178" customFormat="1" ht="13" thickBot="1" x14ac:dyDescent="0.3">
      <c r="A56" s="1051" t="s">
        <v>21</v>
      </c>
      <c r="B56" s="241">
        <f>C44</f>
        <v>2015</v>
      </c>
      <c r="C56" s="802">
        <v>0</v>
      </c>
      <c r="D56" s="242"/>
      <c r="E56" s="242"/>
      <c r="F56" s="242"/>
      <c r="G56" s="242"/>
      <c r="H56" s="242"/>
      <c r="I56" s="242"/>
      <c r="J56" s="242"/>
      <c r="K56" s="242"/>
      <c r="L56" s="243"/>
      <c r="M56" s="244"/>
      <c r="N56" s="245">
        <f t="shared" ref="N56:N65" si="12">SUM(C56:L56)</f>
        <v>0</v>
      </c>
      <c r="O56" s="177"/>
      <c r="P56" s="177"/>
      <c r="Q56" s="177"/>
      <c r="R56" s="177"/>
      <c r="S56" s="177"/>
      <c r="T56" s="177"/>
      <c r="U56" s="177"/>
      <c r="V56" s="177"/>
      <c r="W56" s="177"/>
      <c r="X56" s="177"/>
      <c r="Y56" s="177"/>
      <c r="Z56" s="177"/>
      <c r="AA56" s="177"/>
      <c r="AB56" s="177"/>
      <c r="AC56" s="177"/>
      <c r="AD56" s="177"/>
      <c r="AE56" s="177"/>
      <c r="AF56" s="177"/>
      <c r="AG56" s="177"/>
    </row>
    <row r="57" spans="1:33" s="178" customFormat="1" ht="13" thickBot="1" x14ac:dyDescent="0.3">
      <c r="A57" s="1125"/>
      <c r="B57" s="281">
        <f>D44</f>
        <v>2016</v>
      </c>
      <c r="C57" s="331">
        <f>+C$45-C56</f>
        <v>0</v>
      </c>
      <c r="D57" s="802">
        <v>0</v>
      </c>
      <c r="E57" s="248"/>
      <c r="F57" s="248"/>
      <c r="G57" s="248"/>
      <c r="H57" s="248"/>
      <c r="I57" s="248"/>
      <c r="J57" s="248"/>
      <c r="K57" s="248"/>
      <c r="L57" s="249"/>
      <c r="M57" s="244"/>
      <c r="N57" s="245">
        <f t="shared" si="12"/>
        <v>0</v>
      </c>
      <c r="O57" s="177"/>
      <c r="P57" s="177"/>
      <c r="Q57" s="177"/>
      <c r="R57" s="177"/>
      <c r="S57" s="177"/>
      <c r="T57" s="177"/>
      <c r="U57" s="177"/>
      <c r="V57" s="177"/>
      <c r="W57" s="177"/>
      <c r="X57" s="177"/>
      <c r="Y57" s="177"/>
      <c r="Z57" s="177"/>
      <c r="AA57" s="177"/>
      <c r="AB57" s="177"/>
      <c r="AC57" s="177"/>
      <c r="AD57" s="177"/>
      <c r="AE57" s="177"/>
      <c r="AF57" s="177"/>
      <c r="AG57" s="177"/>
    </row>
    <row r="58" spans="1:33" s="178" customFormat="1" ht="13" thickBot="1" x14ac:dyDescent="0.3">
      <c r="A58" s="1125"/>
      <c r="B58" s="281">
        <f>E44</f>
        <v>2017</v>
      </c>
      <c r="C58" s="248"/>
      <c r="D58" s="331">
        <f>+D$45-D57</f>
        <v>0</v>
      </c>
      <c r="E58" s="802">
        <v>0</v>
      </c>
      <c r="F58" s="248"/>
      <c r="G58" s="248"/>
      <c r="H58" s="248"/>
      <c r="I58" s="248"/>
      <c r="J58" s="248"/>
      <c r="K58" s="248"/>
      <c r="L58" s="249"/>
      <c r="M58" s="244"/>
      <c r="N58" s="245">
        <f t="shared" si="12"/>
        <v>0</v>
      </c>
      <c r="O58" s="177"/>
      <c r="P58" s="177"/>
      <c r="Q58" s="177"/>
      <c r="R58" s="177"/>
      <c r="S58" s="177"/>
      <c r="T58" s="177"/>
      <c r="U58" s="177"/>
      <c r="V58" s="177"/>
      <c r="W58" s="177"/>
      <c r="X58" s="177"/>
      <c r="Y58" s="177"/>
      <c r="Z58" s="177"/>
      <c r="AA58" s="177"/>
      <c r="AB58" s="177"/>
      <c r="AC58" s="177"/>
      <c r="AD58" s="177"/>
      <c r="AE58" s="177"/>
      <c r="AF58" s="177"/>
      <c r="AG58" s="177"/>
    </row>
    <row r="59" spans="1:33" s="178" customFormat="1" ht="13" thickBot="1" x14ac:dyDescent="0.3">
      <c r="A59" s="1125"/>
      <c r="B59" s="281">
        <f>F44</f>
        <v>2018</v>
      </c>
      <c r="C59" s="248"/>
      <c r="D59" s="248"/>
      <c r="E59" s="331">
        <f>+E$45-E58</f>
        <v>0</v>
      </c>
      <c r="F59" s="802">
        <v>0</v>
      </c>
      <c r="G59" s="248"/>
      <c r="H59" s="248"/>
      <c r="I59" s="248"/>
      <c r="J59" s="248"/>
      <c r="K59" s="248"/>
      <c r="L59" s="249"/>
      <c r="M59" s="244"/>
      <c r="N59" s="245">
        <f t="shared" si="12"/>
        <v>0</v>
      </c>
      <c r="O59" s="177"/>
      <c r="P59" s="177"/>
      <c r="Q59" s="177"/>
      <c r="R59" s="177"/>
      <c r="S59" s="177"/>
      <c r="T59" s="177"/>
      <c r="U59" s="177"/>
      <c r="V59" s="177"/>
      <c r="W59" s="177"/>
      <c r="X59" s="177"/>
      <c r="Y59" s="177"/>
      <c r="Z59" s="177"/>
      <c r="AA59" s="177"/>
      <c r="AB59" s="177"/>
      <c r="AC59" s="177"/>
      <c r="AD59" s="177"/>
      <c r="AE59" s="177"/>
      <c r="AF59" s="177"/>
      <c r="AG59" s="177"/>
    </row>
    <row r="60" spans="1:33" s="178" customFormat="1" ht="13" thickBot="1" x14ac:dyDescent="0.3">
      <c r="A60" s="1125"/>
      <c r="B60" s="281">
        <f>G44</f>
        <v>2019</v>
      </c>
      <c r="C60" s="248"/>
      <c r="D60" s="248"/>
      <c r="E60" s="248"/>
      <c r="F60" s="331">
        <f>+F$45-F59</f>
        <v>0</v>
      </c>
      <c r="G60" s="802">
        <v>0</v>
      </c>
      <c r="H60" s="248"/>
      <c r="I60" s="248"/>
      <c r="J60" s="248"/>
      <c r="K60" s="248"/>
      <c r="L60" s="249"/>
      <c r="M60" s="244"/>
      <c r="N60" s="245">
        <f t="shared" si="12"/>
        <v>0</v>
      </c>
      <c r="O60" s="177"/>
      <c r="P60" s="177"/>
      <c r="Q60" s="177"/>
      <c r="R60" s="177"/>
      <c r="S60" s="177"/>
      <c r="T60" s="177"/>
      <c r="U60" s="177"/>
      <c r="V60" s="177"/>
      <c r="W60" s="177"/>
      <c r="X60" s="177"/>
      <c r="Y60" s="177"/>
      <c r="Z60" s="177"/>
      <c r="AA60" s="177"/>
      <c r="AB60" s="177"/>
      <c r="AC60" s="177"/>
      <c r="AD60" s="177"/>
      <c r="AE60" s="177"/>
      <c r="AF60" s="177"/>
      <c r="AG60" s="177"/>
    </row>
    <row r="61" spans="1:33" s="178" customFormat="1" ht="13" thickBot="1" x14ac:dyDescent="0.3">
      <c r="A61" s="1125"/>
      <c r="B61" s="281">
        <f>H44</f>
        <v>2020</v>
      </c>
      <c r="C61" s="248"/>
      <c r="D61" s="248"/>
      <c r="E61" s="248"/>
      <c r="F61" s="251"/>
      <c r="G61" s="331">
        <f>+G$45-G60</f>
        <v>0</v>
      </c>
      <c r="H61" s="802">
        <v>0</v>
      </c>
      <c r="I61" s="248"/>
      <c r="J61" s="248"/>
      <c r="K61" s="248"/>
      <c r="L61" s="249"/>
      <c r="M61" s="244"/>
      <c r="N61" s="245">
        <f t="shared" si="12"/>
        <v>0</v>
      </c>
      <c r="O61" s="177"/>
      <c r="P61" s="177"/>
      <c r="Q61" s="177"/>
      <c r="R61" s="177"/>
      <c r="S61" s="177"/>
      <c r="T61" s="177"/>
      <c r="U61" s="177"/>
      <c r="V61" s="177"/>
      <c r="W61" s="177"/>
      <c r="X61" s="177"/>
      <c r="Y61" s="177"/>
      <c r="Z61" s="177"/>
      <c r="AA61" s="177"/>
      <c r="AB61" s="177"/>
      <c r="AC61" s="177"/>
      <c r="AD61" s="177"/>
      <c r="AE61" s="177"/>
      <c r="AF61" s="177"/>
      <c r="AG61" s="177"/>
    </row>
    <row r="62" spans="1:33" s="178" customFormat="1" ht="13" thickBot="1" x14ac:dyDescent="0.3">
      <c r="A62" s="1125"/>
      <c r="B62" s="281">
        <f>I44</f>
        <v>2021</v>
      </c>
      <c r="C62" s="248"/>
      <c r="D62" s="248"/>
      <c r="E62" s="248"/>
      <c r="F62" s="251"/>
      <c r="G62" s="248"/>
      <c r="H62" s="331">
        <f>+H$45-H61</f>
        <v>0</v>
      </c>
      <c r="I62" s="802">
        <v>0</v>
      </c>
      <c r="J62" s="248"/>
      <c r="K62" s="248"/>
      <c r="L62" s="249"/>
      <c r="M62" s="244"/>
      <c r="N62" s="245">
        <f t="shared" si="12"/>
        <v>0</v>
      </c>
      <c r="O62" s="177"/>
      <c r="P62" s="177"/>
      <c r="Q62" s="177"/>
      <c r="R62" s="177"/>
      <c r="S62" s="177"/>
      <c r="T62" s="177"/>
      <c r="U62" s="177"/>
      <c r="V62" s="177"/>
      <c r="W62" s="177"/>
      <c r="X62" s="177"/>
      <c r="Y62" s="177"/>
      <c r="Z62" s="177"/>
      <c r="AA62" s="177"/>
      <c r="AB62" s="177"/>
      <c r="AC62" s="177"/>
      <c r="AD62" s="177"/>
      <c r="AE62" s="177"/>
      <c r="AF62" s="177"/>
      <c r="AG62" s="177"/>
    </row>
    <row r="63" spans="1:33" s="178" customFormat="1" ht="13" thickBot="1" x14ac:dyDescent="0.3">
      <c r="A63" s="1125"/>
      <c r="B63" s="281">
        <f>J44</f>
        <v>2022</v>
      </c>
      <c r="C63" s="248"/>
      <c r="D63" s="248"/>
      <c r="E63" s="248"/>
      <c r="F63" s="251"/>
      <c r="G63" s="248"/>
      <c r="H63" s="248"/>
      <c r="I63" s="331">
        <f>+I$45-I62</f>
        <v>0</v>
      </c>
      <c r="J63" s="802">
        <v>0</v>
      </c>
      <c r="K63" s="248"/>
      <c r="L63" s="249"/>
      <c r="M63" s="244"/>
      <c r="N63" s="245">
        <f t="shared" si="12"/>
        <v>0</v>
      </c>
      <c r="O63" s="177"/>
      <c r="P63" s="177"/>
      <c r="Q63" s="177"/>
      <c r="R63" s="177"/>
      <c r="S63" s="177"/>
      <c r="T63" s="177"/>
      <c r="U63" s="177"/>
      <c r="V63" s="177"/>
      <c r="W63" s="177"/>
      <c r="X63" s="177"/>
      <c r="Y63" s="177"/>
      <c r="Z63" s="177"/>
      <c r="AA63" s="177"/>
      <c r="AB63" s="177"/>
      <c r="AC63" s="177"/>
      <c r="AD63" s="177"/>
      <c r="AE63" s="177"/>
      <c r="AF63" s="177"/>
      <c r="AG63" s="177"/>
    </row>
    <row r="64" spans="1:33" s="178" customFormat="1" ht="13" thickBot="1" x14ac:dyDescent="0.3">
      <c r="A64" s="1125"/>
      <c r="B64" s="281">
        <f>K44</f>
        <v>2023</v>
      </c>
      <c r="C64" s="248"/>
      <c r="D64" s="248"/>
      <c r="E64" s="248"/>
      <c r="F64" s="251"/>
      <c r="G64" s="248"/>
      <c r="H64" s="248"/>
      <c r="I64" s="248"/>
      <c r="J64" s="331">
        <f>+J$45-J63</f>
        <v>0</v>
      </c>
      <c r="K64" s="802">
        <v>0</v>
      </c>
      <c r="L64" s="249"/>
      <c r="M64" s="244"/>
      <c r="N64" s="245">
        <f t="shared" si="12"/>
        <v>0</v>
      </c>
      <c r="O64" s="177"/>
      <c r="P64" s="177"/>
      <c r="Q64" s="177"/>
      <c r="R64" s="177"/>
      <c r="S64" s="177"/>
      <c r="T64" s="177"/>
      <c r="U64" s="177"/>
      <c r="V64" s="177"/>
      <c r="W64" s="177"/>
      <c r="X64" s="177"/>
      <c r="Y64" s="177"/>
      <c r="Z64" s="177"/>
      <c r="AA64" s="177"/>
      <c r="AB64" s="177"/>
      <c r="AC64" s="177"/>
      <c r="AD64" s="177"/>
      <c r="AE64" s="177"/>
      <c r="AF64" s="177"/>
      <c r="AG64" s="177"/>
    </row>
    <row r="65" spans="1:33" s="178" customFormat="1" ht="13" thickBot="1" x14ac:dyDescent="0.3">
      <c r="A65" s="1125"/>
      <c r="B65" s="281">
        <f>L44</f>
        <v>2024</v>
      </c>
      <c r="C65" s="248"/>
      <c r="D65" s="248"/>
      <c r="E65" s="248"/>
      <c r="F65" s="248"/>
      <c r="G65" s="248"/>
      <c r="H65" s="248"/>
      <c r="I65" s="251"/>
      <c r="J65" s="251"/>
      <c r="K65" s="331">
        <f>+K$45-K64</f>
        <v>0</v>
      </c>
      <c r="L65" s="802">
        <v>0</v>
      </c>
      <c r="M65" s="244"/>
      <c r="N65" s="245">
        <f t="shared" si="12"/>
        <v>0</v>
      </c>
      <c r="O65" s="177"/>
      <c r="P65" s="177"/>
      <c r="Q65" s="177"/>
      <c r="R65" s="177"/>
      <c r="S65" s="177"/>
      <c r="T65" s="177"/>
      <c r="U65" s="177"/>
      <c r="V65" s="177"/>
      <c r="W65" s="177"/>
      <c r="X65" s="177"/>
      <c r="Y65" s="177"/>
      <c r="Z65" s="177"/>
      <c r="AA65" s="177"/>
      <c r="AB65" s="177"/>
      <c r="AC65" s="177"/>
      <c r="AD65" s="177"/>
      <c r="AE65" s="177"/>
      <c r="AF65" s="177"/>
      <c r="AG65" s="177"/>
    </row>
    <row r="66" spans="1:33" s="256" customFormat="1" ht="15.5" x14ac:dyDescent="0.25">
      <c r="A66" s="1126"/>
      <c r="B66" s="326" t="s">
        <v>22</v>
      </c>
      <c r="C66" s="252">
        <f t="shared" ref="C66" si="13">SUM(C56:C65)</f>
        <v>0</v>
      </c>
      <c r="D66" s="252">
        <f t="shared" ref="D66:L66" si="14">SUM(D56:D65)</f>
        <v>0</v>
      </c>
      <c r="E66" s="252">
        <f t="shared" si="14"/>
        <v>0</v>
      </c>
      <c r="F66" s="252">
        <f t="shared" si="14"/>
        <v>0</v>
      </c>
      <c r="G66" s="252">
        <f t="shared" si="14"/>
        <v>0</v>
      </c>
      <c r="H66" s="252">
        <f t="shared" si="14"/>
        <v>0</v>
      </c>
      <c r="I66" s="252">
        <f t="shared" si="14"/>
        <v>0</v>
      </c>
      <c r="J66" s="252">
        <f t="shared" si="14"/>
        <v>0</v>
      </c>
      <c r="K66" s="252">
        <f t="shared" si="14"/>
        <v>0</v>
      </c>
      <c r="L66" s="282">
        <f t="shared" si="14"/>
        <v>0</v>
      </c>
      <c r="M66" s="253"/>
      <c r="N66" s="254">
        <f>SUM(N56:N65)</f>
        <v>0</v>
      </c>
      <c r="O66" s="255"/>
      <c r="P66" s="255"/>
      <c r="Q66" s="255"/>
      <c r="R66" s="255"/>
      <c r="S66" s="255"/>
      <c r="T66" s="255"/>
      <c r="U66" s="255"/>
      <c r="V66" s="255"/>
      <c r="W66" s="255"/>
      <c r="X66" s="255"/>
      <c r="Y66" s="255"/>
      <c r="Z66" s="255"/>
      <c r="AA66" s="255"/>
      <c r="AB66" s="255"/>
      <c r="AC66" s="255"/>
      <c r="AD66" s="255"/>
      <c r="AE66" s="255"/>
      <c r="AF66" s="255"/>
      <c r="AG66" s="255"/>
    </row>
    <row r="67" spans="1:33" s="235" customFormat="1" ht="13" x14ac:dyDescent="0.25">
      <c r="A67" s="257" t="s">
        <v>34</v>
      </c>
      <c r="C67" s="258">
        <f>+C66+C83</f>
        <v>0</v>
      </c>
      <c r="D67" s="258">
        <f t="shared" ref="D67:L67" si="15">+D66+D83</f>
        <v>0</v>
      </c>
      <c r="E67" s="258">
        <f t="shared" si="15"/>
        <v>0</v>
      </c>
      <c r="F67" s="258">
        <f t="shared" si="15"/>
        <v>0</v>
      </c>
      <c r="G67" s="258">
        <f t="shared" si="15"/>
        <v>0</v>
      </c>
      <c r="H67" s="258">
        <f t="shared" si="15"/>
        <v>0</v>
      </c>
      <c r="I67" s="258">
        <f t="shared" si="15"/>
        <v>0</v>
      </c>
      <c r="J67" s="258">
        <f t="shared" si="15"/>
        <v>0</v>
      </c>
      <c r="K67" s="258">
        <f t="shared" si="15"/>
        <v>0</v>
      </c>
      <c r="L67" s="258">
        <f t="shared" si="15"/>
        <v>0</v>
      </c>
      <c r="M67" s="258"/>
      <c r="N67" s="258">
        <f>+N66+N83</f>
        <v>0</v>
      </c>
      <c r="O67" s="258"/>
    </row>
    <row r="68" spans="1:33" s="259" customFormat="1" ht="13" x14ac:dyDescent="0.25">
      <c r="A68" s="235"/>
      <c r="B68" s="235"/>
      <c r="C68" s="258"/>
      <c r="D68" s="258"/>
      <c r="E68" s="258"/>
      <c r="F68" s="258"/>
      <c r="G68" s="258"/>
      <c r="H68" s="258"/>
      <c r="I68" s="258"/>
      <c r="J68" s="258"/>
      <c r="K68" s="258"/>
      <c r="L68" s="258"/>
      <c r="M68" s="235"/>
      <c r="N68" s="235"/>
      <c r="O68" s="235"/>
      <c r="P68" s="235"/>
      <c r="Q68" s="235"/>
      <c r="R68" s="235"/>
      <c r="S68" s="235"/>
      <c r="T68" s="235"/>
      <c r="U68" s="235"/>
      <c r="V68" s="235"/>
      <c r="W68" s="235"/>
      <c r="X68" s="235"/>
      <c r="Y68" s="235"/>
      <c r="Z68" s="235"/>
      <c r="AA68" s="235"/>
      <c r="AB68" s="235"/>
      <c r="AC68" s="235"/>
      <c r="AD68" s="235"/>
      <c r="AE68" s="235"/>
      <c r="AF68" s="235"/>
      <c r="AG68" s="235"/>
    </row>
    <row r="69" spans="1:33" s="235" customFormat="1" ht="13" x14ac:dyDescent="0.25">
      <c r="C69" s="233" t="s">
        <v>129</v>
      </c>
      <c r="D69" s="258"/>
      <c r="E69" s="258"/>
      <c r="F69" s="258"/>
      <c r="G69" s="258"/>
      <c r="H69" s="258"/>
      <c r="I69" s="258"/>
      <c r="J69" s="258"/>
      <c r="K69" s="258"/>
      <c r="L69" s="258"/>
      <c r="M69" s="258"/>
      <c r="N69" s="258"/>
    </row>
    <row r="70" spans="1:33" ht="13" x14ac:dyDescent="0.25">
      <c r="C70" s="233" t="s">
        <v>130</v>
      </c>
    </row>
    <row r="71" spans="1:33" s="178" customFormat="1" ht="16.5" x14ac:dyDescent="0.25">
      <c r="A71" s="177"/>
      <c r="B71" s="177"/>
      <c r="C71" s="1048" t="s">
        <v>19</v>
      </c>
      <c r="D71" s="1049"/>
      <c r="E71" s="1049"/>
      <c r="F71" s="1049"/>
      <c r="G71" s="1049"/>
      <c r="H71" s="1049"/>
      <c r="I71" s="1049"/>
      <c r="J71" s="1049"/>
      <c r="K71" s="1049"/>
      <c r="L71" s="1050"/>
      <c r="M71" s="177"/>
      <c r="N71" s="237" t="s">
        <v>20</v>
      </c>
      <c r="O71" s="177"/>
      <c r="P71" s="237" t="s">
        <v>20</v>
      </c>
      <c r="Q71" s="177"/>
      <c r="R71" s="177"/>
      <c r="S71" s="177"/>
      <c r="T71" s="177"/>
      <c r="U71" s="177"/>
      <c r="V71" s="177"/>
      <c r="W71" s="177"/>
      <c r="X71" s="177"/>
      <c r="Y71" s="177"/>
      <c r="Z71" s="177"/>
      <c r="AA71" s="177"/>
      <c r="AB71" s="177"/>
      <c r="AC71" s="177"/>
      <c r="AD71" s="177"/>
      <c r="AE71" s="177"/>
      <c r="AF71" s="177"/>
      <c r="AG71" s="177"/>
    </row>
    <row r="72" spans="1:33" s="178" customFormat="1" x14ac:dyDescent="0.25">
      <c r="A72" s="177"/>
      <c r="B72" s="177"/>
      <c r="C72" s="239">
        <f>+C55</f>
        <v>2015</v>
      </c>
      <c r="D72" s="239">
        <f t="shared" ref="D72:L72" si="16">+D55</f>
        <v>2016</v>
      </c>
      <c r="E72" s="239">
        <f t="shared" si="16"/>
        <v>2017</v>
      </c>
      <c r="F72" s="239">
        <f t="shared" si="16"/>
        <v>2018</v>
      </c>
      <c r="G72" s="239">
        <f t="shared" si="16"/>
        <v>2019</v>
      </c>
      <c r="H72" s="239">
        <f t="shared" si="16"/>
        <v>2020</v>
      </c>
      <c r="I72" s="239">
        <f t="shared" si="16"/>
        <v>2021</v>
      </c>
      <c r="J72" s="239">
        <f t="shared" si="16"/>
        <v>2022</v>
      </c>
      <c r="K72" s="239">
        <f t="shared" si="16"/>
        <v>2023</v>
      </c>
      <c r="L72" s="239">
        <f t="shared" si="16"/>
        <v>2024</v>
      </c>
      <c r="M72" s="177"/>
      <c r="N72" s="240" t="s">
        <v>23</v>
      </c>
      <c r="O72" s="177"/>
      <c r="P72" s="240" t="s">
        <v>24</v>
      </c>
      <c r="Q72" s="177"/>
      <c r="R72" s="177"/>
      <c r="S72" s="177"/>
      <c r="T72" s="177"/>
      <c r="U72" s="177"/>
      <c r="V72" s="177"/>
      <c r="W72" s="177"/>
      <c r="X72" s="177"/>
      <c r="Y72" s="177"/>
      <c r="Z72" s="177"/>
      <c r="AA72" s="177"/>
      <c r="AB72" s="177"/>
      <c r="AC72" s="177"/>
      <c r="AD72" s="177"/>
      <c r="AE72" s="177"/>
      <c r="AF72" s="177"/>
      <c r="AG72" s="177"/>
    </row>
    <row r="73" spans="1:33" s="178" customFormat="1" ht="12.75" customHeight="1" x14ac:dyDescent="0.25">
      <c r="A73" s="1061" t="s">
        <v>93</v>
      </c>
      <c r="B73" s="260">
        <f>+B56</f>
        <v>2015</v>
      </c>
      <c r="C73" s="261"/>
      <c r="D73" s="261"/>
      <c r="E73" s="261"/>
      <c r="F73" s="261"/>
      <c r="G73" s="261"/>
      <c r="H73" s="261"/>
      <c r="I73" s="261"/>
      <c r="J73" s="261"/>
      <c r="K73" s="261"/>
      <c r="L73" s="262"/>
      <c r="M73" s="244"/>
      <c r="N73" s="245">
        <f t="shared" ref="N73:N82" si="17">SUM(C73:L73)</f>
        <v>0</v>
      </c>
      <c r="O73" s="244"/>
      <c r="P73" s="263">
        <f>SUM(N56,N73)</f>
        <v>0</v>
      </c>
      <c r="Q73" s="177"/>
      <c r="R73" s="177"/>
      <c r="S73" s="177"/>
      <c r="T73" s="177"/>
      <c r="U73" s="177"/>
      <c r="V73" s="177"/>
      <c r="W73" s="177"/>
      <c r="X73" s="177"/>
      <c r="Y73" s="177"/>
      <c r="Z73" s="177"/>
      <c r="AA73" s="177"/>
      <c r="AB73" s="177"/>
      <c r="AC73" s="177"/>
      <c r="AD73" s="177"/>
      <c r="AE73" s="177"/>
      <c r="AF73" s="177"/>
      <c r="AG73" s="177"/>
    </row>
    <row r="74" spans="1:33" s="178" customFormat="1" ht="12.75" customHeight="1" x14ac:dyDescent="0.25">
      <c r="A74" s="1062"/>
      <c r="B74" s="260">
        <f t="shared" ref="B74:B82" si="18">+B57</f>
        <v>2016</v>
      </c>
      <c r="C74" s="261"/>
      <c r="D74" s="261"/>
      <c r="E74" s="261"/>
      <c r="F74" s="261"/>
      <c r="G74" s="261"/>
      <c r="H74" s="261"/>
      <c r="I74" s="261"/>
      <c r="J74" s="261"/>
      <c r="K74" s="261"/>
      <c r="L74" s="265"/>
      <c r="M74" s="244"/>
      <c r="N74" s="245">
        <f t="shared" si="17"/>
        <v>0</v>
      </c>
      <c r="O74" s="244"/>
      <c r="P74" s="263">
        <f t="shared" ref="P74:P82" si="19">SUM(N57,N74)</f>
        <v>0</v>
      </c>
      <c r="Q74" s="177"/>
      <c r="R74" s="177"/>
      <c r="S74" s="177"/>
      <c r="T74" s="177"/>
      <c r="U74" s="177"/>
      <c r="V74" s="177"/>
      <c r="W74" s="177"/>
      <c r="X74" s="177"/>
      <c r="Y74" s="177"/>
      <c r="Z74" s="177"/>
      <c r="AA74" s="177"/>
      <c r="AB74" s="177"/>
      <c r="AC74" s="177"/>
      <c r="AD74" s="177"/>
      <c r="AE74" s="177"/>
      <c r="AF74" s="177"/>
      <c r="AG74" s="177"/>
    </row>
    <row r="75" spans="1:33" s="178" customFormat="1" ht="12.75" customHeight="1" x14ac:dyDescent="0.25">
      <c r="A75" s="1062" t="s">
        <v>25</v>
      </c>
      <c r="B75" s="260">
        <f t="shared" si="18"/>
        <v>2017</v>
      </c>
      <c r="C75" s="247">
        <f>+IF($S$4="ex-ante",IF(C$72&lt;=($R$4-2),IF($B75&lt;=($R$4),T5B!G125,0),0),IF($S$4="ex-post",IF(C$72&lt;=($R$4-1),IF($B75&lt;=($R$4+1),T5B!G125,0),0),0))</f>
        <v>0</v>
      </c>
      <c r="D75" s="261"/>
      <c r="E75" s="261"/>
      <c r="F75" s="261"/>
      <c r="G75" s="261"/>
      <c r="H75" s="261"/>
      <c r="I75" s="261"/>
      <c r="J75" s="261"/>
      <c r="K75" s="261"/>
      <c r="L75" s="265"/>
      <c r="M75" s="244"/>
      <c r="N75" s="245">
        <f t="shared" si="17"/>
        <v>0</v>
      </c>
      <c r="O75" s="244"/>
      <c r="P75" s="263">
        <f t="shared" si="19"/>
        <v>0</v>
      </c>
      <c r="Q75" s="177"/>
      <c r="R75" s="177"/>
      <c r="S75" s="177"/>
      <c r="T75" s="177"/>
      <c r="U75" s="177"/>
      <c r="V75" s="177"/>
      <c r="W75" s="177"/>
      <c r="X75" s="177"/>
      <c r="Y75" s="177"/>
      <c r="Z75" s="177"/>
      <c r="AA75" s="177"/>
      <c r="AB75" s="177"/>
      <c r="AC75" s="177"/>
      <c r="AD75" s="177"/>
      <c r="AE75" s="177"/>
      <c r="AF75" s="177"/>
      <c r="AG75" s="177"/>
    </row>
    <row r="76" spans="1:33" s="178" customFormat="1" ht="12.75" customHeight="1" x14ac:dyDescent="0.25">
      <c r="A76" s="1062"/>
      <c r="B76" s="260">
        <f t="shared" si="18"/>
        <v>2018</v>
      </c>
      <c r="C76" s="247">
        <f>+IF($S$4="ex-ante",IF(C$72&lt;=($R$4-2),IF($B76&lt;=($R$4),T5B!G126,0),0),IF($S$4="ex-post",IF(C$72&lt;=($R$4-1),IF($B76&lt;=($R$4+1),T5B!G126,0),0),0))</f>
        <v>0</v>
      </c>
      <c r="D76" s="247">
        <f>+IF($S$4="ex-ante",IF(D$72&lt;=($R$4-2),IF($B76&lt;=($R$4),T5B!H126,0),0),IF($S$4="ex-post",IF(D$72&lt;=($R$4-1),IF($B76&lt;=($R$4+1),T5B!H126,0),0),0))</f>
        <v>0</v>
      </c>
      <c r="E76" s="261"/>
      <c r="F76" s="261"/>
      <c r="G76" s="261"/>
      <c r="H76" s="261"/>
      <c r="I76" s="261"/>
      <c r="J76" s="261"/>
      <c r="K76" s="261"/>
      <c r="L76" s="265"/>
      <c r="M76" s="244"/>
      <c r="N76" s="245">
        <f t="shared" si="17"/>
        <v>0</v>
      </c>
      <c r="O76" s="244"/>
      <c r="P76" s="263">
        <f t="shared" si="19"/>
        <v>0</v>
      </c>
      <c r="Q76" s="236" t="s">
        <v>27</v>
      </c>
      <c r="R76" s="177"/>
      <c r="S76" s="177"/>
      <c r="T76" s="177"/>
      <c r="U76" s="177"/>
      <c r="V76" s="177"/>
      <c r="W76" s="177"/>
      <c r="X76" s="177"/>
      <c r="Y76" s="177"/>
      <c r="Z76" s="177"/>
      <c r="AA76" s="177"/>
      <c r="AB76" s="177"/>
      <c r="AC76" s="177"/>
      <c r="AD76" s="177"/>
      <c r="AE76" s="177"/>
      <c r="AF76" s="177"/>
      <c r="AG76" s="177"/>
    </row>
    <row r="77" spans="1:33" s="178" customFormat="1" ht="12.75" customHeight="1" x14ac:dyDescent="0.25">
      <c r="A77" s="1062" t="s">
        <v>26</v>
      </c>
      <c r="B77" s="260">
        <f t="shared" si="18"/>
        <v>2019</v>
      </c>
      <c r="C77" s="247">
        <f>+IF($S$4="ex-ante",IF(C$72&lt;=($R$4-2),IF($B77&lt;=($R$4),T5B!G127,0),0),IF($S$4="ex-post",IF(C$72&lt;=($R$4-1),IF($B77&lt;=($R$4+1),T5B!G127,0),0),0))</f>
        <v>0</v>
      </c>
      <c r="D77" s="247">
        <f>+IF($S$4="ex-ante",IF(D$72&lt;=($R$4-2),IF($B77&lt;=($R$4),T5B!H127,0),0),IF($S$4="ex-post",IF(D$72&lt;=($R$4-1),IF($B77&lt;=($R$4+1),T5B!H127,0),0),0))</f>
        <v>0</v>
      </c>
      <c r="E77" s="247">
        <f>+IF($S$4="ex-ante",IF(E$72&lt;=($R$4-2),IF($B77&lt;=($R$4),T5B!I127,0),0),IF($S$4="ex-post",IF(E$72&lt;=($R$4-1),IF($B77&lt;=($R$4+1),T5B!I127,0),0),0))</f>
        <v>0</v>
      </c>
      <c r="F77" s="261"/>
      <c r="G77" s="261"/>
      <c r="H77" s="261"/>
      <c r="I77" s="261"/>
      <c r="J77" s="261"/>
      <c r="K77" s="261"/>
      <c r="L77" s="265"/>
      <c r="M77" s="244"/>
      <c r="N77" s="245">
        <f t="shared" si="17"/>
        <v>0</v>
      </c>
      <c r="O77" s="244"/>
      <c r="P77" s="263">
        <f t="shared" si="19"/>
        <v>0</v>
      </c>
      <c r="Q77" s="236" t="s">
        <v>28</v>
      </c>
      <c r="R77" s="177"/>
      <c r="S77" s="177"/>
      <c r="T77" s="177"/>
      <c r="U77" s="177"/>
      <c r="V77" s="177"/>
      <c r="W77" s="177"/>
      <c r="X77" s="177"/>
      <c r="Y77" s="177"/>
      <c r="Z77" s="177"/>
      <c r="AA77" s="177"/>
      <c r="AB77" s="177"/>
      <c r="AC77" s="177"/>
      <c r="AD77" s="177"/>
      <c r="AE77" s="177"/>
      <c r="AF77" s="177"/>
      <c r="AG77" s="177"/>
    </row>
    <row r="78" spans="1:33" s="178" customFormat="1" ht="12.75" customHeight="1" x14ac:dyDescent="0.25">
      <c r="A78" s="1062"/>
      <c r="B78" s="260">
        <f t="shared" si="18"/>
        <v>2020</v>
      </c>
      <c r="C78" s="247">
        <f>+IF($S$4="ex-ante",IF(C$72&lt;=($R$4-2),IF($B78&lt;=($R$4),T5B!G128,0),0),IF($S$4="ex-post",IF(C$72&lt;=($R$4-1),IF($B78&lt;=($R$4+1),T5B!G128,0),0),0))</f>
        <v>0</v>
      </c>
      <c r="D78" s="247">
        <f>+IF($S$4="ex-ante",IF(D$72&lt;=($R$4-2),IF($B78&lt;=($R$4),T5B!H128,0),0),IF($S$4="ex-post",IF(D$72&lt;=($R$4-1),IF($B78&lt;=($R$4+1),T5B!H128,0),0),0))</f>
        <v>0</v>
      </c>
      <c r="E78" s="247">
        <f>+IF($S$4="ex-ante",IF(E$72&lt;=($R$4-2),IF($B78&lt;=($R$4),T5B!I128,0),0),IF($S$4="ex-post",IF(E$72&lt;=($R$4-1),IF($B78&lt;=($R$4+1),T5B!I128,0),0),0))</f>
        <v>0</v>
      </c>
      <c r="F78" s="247">
        <f>+IF($S$4="ex-ante",IF(F$72&lt;=($R$4-2),IF($B78&lt;=($R$4),T5B!J128,0),0),IF($S$4="ex-post",IF(F$72&lt;=($R$4-1),IF($B78&lt;=($R$4+1),T5B!J128,0),0),0))</f>
        <v>0</v>
      </c>
      <c r="G78" s="261"/>
      <c r="H78" s="261"/>
      <c r="I78" s="261"/>
      <c r="J78" s="261"/>
      <c r="K78" s="261"/>
      <c r="L78" s="265"/>
      <c r="M78" s="244"/>
      <c r="N78" s="245">
        <f t="shared" si="17"/>
        <v>0</v>
      </c>
      <c r="O78" s="244"/>
      <c r="P78" s="263">
        <f t="shared" si="19"/>
        <v>0</v>
      </c>
      <c r="Q78" s="236"/>
      <c r="R78" s="177"/>
      <c r="S78" s="177"/>
      <c r="T78" s="177"/>
      <c r="U78" s="177"/>
      <c r="V78" s="177"/>
      <c r="W78" s="177"/>
      <c r="X78" s="177"/>
      <c r="Y78" s="177"/>
      <c r="Z78" s="177"/>
      <c r="AA78" s="177"/>
      <c r="AB78" s="177"/>
      <c r="AC78" s="177"/>
      <c r="AD78" s="177"/>
      <c r="AE78" s="177"/>
      <c r="AF78" s="177"/>
      <c r="AG78" s="177"/>
    </row>
    <row r="79" spans="1:33" s="178" customFormat="1" ht="12.75" customHeight="1" x14ac:dyDescent="0.25">
      <c r="A79" s="1062"/>
      <c r="B79" s="260">
        <f t="shared" si="18"/>
        <v>2021</v>
      </c>
      <c r="C79" s="247">
        <f>+IF($S$4="ex-ante",IF(C$72&lt;=($R$4-2),IF($B79&lt;=($R$4),T5B!G129,0),0),IF($S$4="ex-post",IF(C$72&lt;=($R$4-1),IF($B79&lt;=($R$4+1),T5B!G129,0),0),0))</f>
        <v>0</v>
      </c>
      <c r="D79" s="247">
        <f>+IF($S$4="ex-ante",IF(D$72&lt;=($R$4-2),IF($B79&lt;=($R$4),T5B!H129,0),0),IF($S$4="ex-post",IF(D$72&lt;=($R$4-1),IF($B79&lt;=($R$4+1),T5B!H129,0),0),0))</f>
        <v>0</v>
      </c>
      <c r="E79" s="247">
        <f>+IF($S$4="ex-ante",IF(E$72&lt;=($R$4-2),IF($B79&lt;=($R$4),T5B!I129,0),0),IF($S$4="ex-post",IF(E$72&lt;=($R$4-1),IF($B79&lt;=($R$4+1),T5B!I129,0),0),0))</f>
        <v>0</v>
      </c>
      <c r="F79" s="247">
        <f>+IF($S$4="ex-ante",IF(F$72&lt;=($R$4-2),IF($B79&lt;=($R$4),T5B!J129,0),0),IF($S$4="ex-post",IF(F$72&lt;=($R$4-1),IF($B79&lt;=($R$4+1),T5B!J129,0),0),0))</f>
        <v>0</v>
      </c>
      <c r="G79" s="247">
        <f>+IF($S$4="ex-ante",IF(G$72&lt;=($R$4-2),IF($B79&lt;=($R$4),T5B!K129,0),0),IF($S$4="ex-post",IF(G$72&lt;=($R$4-1),IF($B79&lt;=($R$4+1),T5B!K129,0),0),0))</f>
        <v>0</v>
      </c>
      <c r="H79" s="261"/>
      <c r="I79" s="261"/>
      <c r="J79" s="261"/>
      <c r="K79" s="261"/>
      <c r="L79" s="265"/>
      <c r="M79" s="244"/>
      <c r="N79" s="245">
        <f t="shared" si="17"/>
        <v>0</v>
      </c>
      <c r="O79" s="244"/>
      <c r="P79" s="263">
        <f t="shared" si="19"/>
        <v>0</v>
      </c>
      <c r="Q79" s="236"/>
      <c r="R79" s="177"/>
      <c r="S79" s="177"/>
      <c r="T79" s="177"/>
      <c r="U79" s="177"/>
      <c r="V79" s="177"/>
      <c r="W79" s="177"/>
      <c r="X79" s="177"/>
      <c r="Y79" s="177"/>
      <c r="Z79" s="177"/>
      <c r="AA79" s="177"/>
      <c r="AB79" s="177"/>
      <c r="AC79" s="177"/>
      <c r="AD79" s="177"/>
      <c r="AE79" s="177"/>
      <c r="AF79" s="177"/>
      <c r="AG79" s="177"/>
    </row>
    <row r="80" spans="1:33" s="178" customFormat="1" ht="12.75" customHeight="1" x14ac:dyDescent="0.25">
      <c r="A80" s="1062"/>
      <c r="B80" s="260">
        <f t="shared" si="18"/>
        <v>2022</v>
      </c>
      <c r="C80" s="247">
        <f>+IF($S$4="ex-ante",IF(C$72&lt;=($R$4-2),IF($B80&lt;=($R$4),T5B!G130,0),0),IF($S$4="ex-post",IF(C$72&lt;=($R$4-1),IF($B80&lt;=($R$4+1),T5B!G130,0),0),0))</f>
        <v>0</v>
      </c>
      <c r="D80" s="247">
        <f>+IF($S$4="ex-ante",IF(D$72&lt;=($R$4-2),IF($B80&lt;=($R$4),T5B!H130,0),0),IF($S$4="ex-post",IF(D$72&lt;=($R$4-1),IF($B80&lt;=($R$4+1),T5B!H130,0),0),0))</f>
        <v>0</v>
      </c>
      <c r="E80" s="247">
        <f>+IF($S$4="ex-ante",IF(E$72&lt;=($R$4-2),IF($B80&lt;=($R$4),T5B!I130,0),0),IF($S$4="ex-post",IF(E$72&lt;=($R$4-1),IF($B80&lt;=($R$4+1),T5B!I130,0),0),0))</f>
        <v>0</v>
      </c>
      <c r="F80" s="247">
        <f>+IF($S$4="ex-ante",IF(F$72&lt;=($R$4-2),IF($B80&lt;=($R$4),T5B!J130,0),0),IF($S$4="ex-post",IF(F$72&lt;=($R$4-1),IF($B80&lt;=($R$4+1),T5B!J130,0),0),0))</f>
        <v>0</v>
      </c>
      <c r="G80" s="247">
        <f>+IF($S$4="ex-ante",IF(G$72&lt;=($R$4-2),IF($B80&lt;=($R$4),T5B!K130,0),0),IF($S$4="ex-post",IF(G$72&lt;=($R$4-1),IF($B80&lt;=($R$4+1),T5B!K130,0),0),0))</f>
        <v>0</v>
      </c>
      <c r="H80" s="247">
        <f>+IF($S$4="ex-ante",IF(H$72&lt;=($R$4-2),IF($B80&lt;=($R$4),T5B!L130,0),0),IF($S$4="ex-post",IF(H$72&lt;=($R$4-1),IF($B80&lt;=($R$4+1),T5B!L130,0),0),0))</f>
        <v>0</v>
      </c>
      <c r="I80" s="261"/>
      <c r="J80" s="261"/>
      <c r="K80" s="261"/>
      <c r="L80" s="265"/>
      <c r="M80" s="244"/>
      <c r="N80" s="245">
        <f t="shared" si="17"/>
        <v>0</v>
      </c>
      <c r="O80" s="244"/>
      <c r="P80" s="263">
        <f t="shared" si="19"/>
        <v>0</v>
      </c>
      <c r="Q80" s="236"/>
      <c r="R80" s="177"/>
      <c r="S80" s="177"/>
      <c r="T80" s="177"/>
      <c r="U80" s="177"/>
      <c r="V80" s="177"/>
      <c r="W80" s="177"/>
      <c r="X80" s="177"/>
      <c r="Y80" s="177"/>
      <c r="Z80" s="177"/>
      <c r="AA80" s="177"/>
      <c r="AB80" s="177"/>
      <c r="AC80" s="177"/>
      <c r="AD80" s="177"/>
      <c r="AE80" s="177"/>
      <c r="AF80" s="177"/>
      <c r="AG80" s="177"/>
    </row>
    <row r="81" spans="1:33" s="178" customFormat="1" ht="12.75" customHeight="1" x14ac:dyDescent="0.25">
      <c r="A81" s="1062"/>
      <c r="B81" s="260">
        <f t="shared" si="18"/>
        <v>2023</v>
      </c>
      <c r="C81" s="261"/>
      <c r="D81" s="261"/>
      <c r="E81" s="261"/>
      <c r="F81" s="261"/>
      <c r="G81" s="261"/>
      <c r="H81" s="247">
        <f>+IF($S$4="ex-ante",IF(H$72&lt;=($R$4-2),IF($B81&lt;=($R$4),T5B!L131,0),0),IF($S$4="ex-post",IF(H$72&lt;=($R$4-1),IF($B81&lt;=($R$4+1),T5B!L131,0),0),0))</f>
        <v>0</v>
      </c>
      <c r="I81" s="247">
        <f>+IF($S$4="ex-ante",IF(I$72&lt;=($R$4-2),IF($B81&lt;=($R$4),T5B!M131,0),0),IF($S$4="ex-post",IF(I$72&lt;=($R$4-1),IF($B81&lt;=($R$4+1),T5B!M131,0),0),0))</f>
        <v>0</v>
      </c>
      <c r="J81" s="261"/>
      <c r="K81" s="261"/>
      <c r="L81" s="265"/>
      <c r="M81" s="244"/>
      <c r="N81" s="245">
        <f t="shared" si="17"/>
        <v>0</v>
      </c>
      <c r="O81" s="244"/>
      <c r="P81" s="263">
        <f t="shared" si="19"/>
        <v>0</v>
      </c>
      <c r="Q81" s="236"/>
      <c r="R81" s="177"/>
      <c r="S81" s="177"/>
      <c r="T81" s="177"/>
      <c r="U81" s="177"/>
      <c r="V81" s="177"/>
      <c r="W81" s="177"/>
      <c r="X81" s="177"/>
      <c r="Y81" s="177"/>
      <c r="Z81" s="177"/>
      <c r="AA81" s="177"/>
      <c r="AB81" s="177"/>
      <c r="AC81" s="177"/>
      <c r="AD81" s="177"/>
      <c r="AE81" s="177"/>
      <c r="AF81" s="177"/>
      <c r="AG81" s="177"/>
    </row>
    <row r="82" spans="1:33" s="178" customFormat="1" ht="12.75" customHeight="1" x14ac:dyDescent="0.25">
      <c r="A82" s="1062"/>
      <c r="B82" s="260">
        <f t="shared" si="18"/>
        <v>2024</v>
      </c>
      <c r="C82" s="261"/>
      <c r="D82" s="261"/>
      <c r="E82" s="261"/>
      <c r="F82" s="261"/>
      <c r="G82" s="261"/>
      <c r="H82" s="261"/>
      <c r="I82" s="247">
        <f>+IF($S$4="ex-ante",IF(I$72&lt;=($R$4-2),IF($B82&lt;=($R$4),T5B!M132,0),0),IF($S$4="ex-post",IF(I$72&lt;=($R$4-1),IF($B82&lt;=($R$4+1),T5B!M132,0),0),0))</f>
        <v>0</v>
      </c>
      <c r="J82" s="247">
        <f>+IF($S$4="ex-ante",IF(J$72&lt;=($R$4-2),IF($B82&lt;=($R$4),T5B!N132,0),0),IF($S$4="ex-post",IF(J$72&lt;=($R$4-1),IF($B82&lt;=($R$4+1),T5B!N132,0),0),0))</f>
        <v>0</v>
      </c>
      <c r="K82" s="261"/>
      <c r="L82" s="265"/>
      <c r="M82" s="244"/>
      <c r="N82" s="245">
        <f t="shared" si="17"/>
        <v>0</v>
      </c>
      <c r="O82" s="244"/>
      <c r="P82" s="263">
        <f t="shared" si="19"/>
        <v>0</v>
      </c>
      <c r="Q82" s="236"/>
      <c r="R82" s="177"/>
      <c r="S82" s="177"/>
      <c r="T82" s="177"/>
      <c r="U82" s="177"/>
      <c r="V82" s="177"/>
      <c r="W82" s="177"/>
      <c r="X82" s="177"/>
      <c r="Y82" s="177"/>
      <c r="Z82" s="177"/>
      <c r="AA82" s="177"/>
      <c r="AB82" s="177"/>
      <c r="AC82" s="177"/>
      <c r="AD82" s="177"/>
      <c r="AE82" s="177"/>
      <c r="AF82" s="177"/>
      <c r="AG82" s="177"/>
    </row>
    <row r="83" spans="1:33" s="256" customFormat="1" ht="15.5" x14ac:dyDescent="0.25">
      <c r="A83" s="1127"/>
      <c r="B83" s="326" t="s">
        <v>22</v>
      </c>
      <c r="C83" s="327">
        <f t="shared" ref="C83:L83" si="20">SUM(C73:C82)</f>
        <v>0</v>
      </c>
      <c r="D83" s="327">
        <f t="shared" si="20"/>
        <v>0</v>
      </c>
      <c r="E83" s="327">
        <f t="shared" si="20"/>
        <v>0</v>
      </c>
      <c r="F83" s="327">
        <f t="shared" si="20"/>
        <v>0</v>
      </c>
      <c r="G83" s="327">
        <f t="shared" si="20"/>
        <v>0</v>
      </c>
      <c r="H83" s="327">
        <f>SUM(H73:H82)</f>
        <v>0</v>
      </c>
      <c r="I83" s="327">
        <f t="shared" si="20"/>
        <v>0</v>
      </c>
      <c r="J83" s="327">
        <f t="shared" si="20"/>
        <v>0</v>
      </c>
      <c r="K83" s="327">
        <f t="shared" si="20"/>
        <v>0</v>
      </c>
      <c r="L83" s="327">
        <f t="shared" si="20"/>
        <v>0</v>
      </c>
      <c r="M83" s="333"/>
      <c r="N83" s="254">
        <f>SUM(N73:N82)</f>
        <v>0</v>
      </c>
      <c r="O83" s="253"/>
      <c r="P83" s="254">
        <f>SUM(P73:P82)</f>
        <v>0</v>
      </c>
      <c r="Q83" s="255"/>
      <c r="R83" s="255"/>
      <c r="S83" s="255"/>
      <c r="T83" s="255"/>
      <c r="U83" s="255"/>
      <c r="V83" s="255"/>
      <c r="W83" s="255"/>
      <c r="X83" s="255"/>
      <c r="Y83" s="255"/>
      <c r="Z83" s="255"/>
      <c r="AA83" s="255"/>
      <c r="AB83" s="255"/>
      <c r="AC83" s="255"/>
      <c r="AD83" s="255"/>
      <c r="AE83" s="255"/>
      <c r="AF83" s="255"/>
      <c r="AG83" s="255"/>
    </row>
    <row r="84" spans="1:33" x14ac:dyDescent="0.25">
      <c r="M84" s="244"/>
    </row>
    <row r="86" spans="1:33" ht="13" thickBot="1" x14ac:dyDescent="0.3"/>
    <row r="87" spans="1:33" s="178" customFormat="1" ht="21" customHeight="1" thickBot="1" x14ac:dyDescent="0.3">
      <c r="A87" s="1064" t="s">
        <v>142</v>
      </c>
      <c r="B87" s="1065"/>
      <c r="C87" s="1065"/>
      <c r="D87" s="1065"/>
      <c r="E87" s="1065"/>
      <c r="F87" s="1065"/>
      <c r="G87" s="1065"/>
      <c r="H87" s="1065"/>
      <c r="I87" s="1065"/>
      <c r="J87" s="1065"/>
      <c r="K87" s="1065"/>
      <c r="L87" s="1065"/>
      <c r="M87" s="1065"/>
      <c r="N87" s="1066"/>
      <c r="P87" s="177"/>
      <c r="Q87" s="177"/>
      <c r="R87" s="177"/>
      <c r="S87" s="177"/>
      <c r="T87" s="177"/>
      <c r="U87" s="177"/>
      <c r="V87" s="177"/>
      <c r="W87" s="177"/>
      <c r="X87" s="177"/>
      <c r="Y87" s="177"/>
      <c r="Z87" s="177"/>
      <c r="AA87" s="177"/>
      <c r="AB87" s="177"/>
      <c r="AC87" s="177"/>
      <c r="AD87" s="177"/>
      <c r="AE87" s="177"/>
      <c r="AF87" s="177"/>
      <c r="AG87" s="177"/>
    </row>
    <row r="89" spans="1:33" ht="13" x14ac:dyDescent="0.25">
      <c r="C89" s="233" t="s">
        <v>131</v>
      </c>
    </row>
    <row r="90" spans="1:33" ht="13" x14ac:dyDescent="0.25">
      <c r="C90" s="233" t="s">
        <v>30</v>
      </c>
    </row>
    <row r="91" spans="1:33" ht="16.5" x14ac:dyDescent="0.25">
      <c r="C91" s="1057" t="s">
        <v>19</v>
      </c>
      <c r="D91" s="1058"/>
      <c r="E91" s="1058"/>
      <c r="F91" s="1058"/>
      <c r="G91" s="1058"/>
      <c r="H91" s="1058"/>
      <c r="I91" s="1058"/>
      <c r="J91" s="1058"/>
      <c r="K91" s="1058"/>
      <c r="L91" s="1059"/>
    </row>
    <row r="92" spans="1:33" x14ac:dyDescent="0.25">
      <c r="C92" s="239">
        <f>+C72</f>
        <v>2015</v>
      </c>
      <c r="D92" s="239">
        <f t="shared" ref="D92:L92" si="21">+D72</f>
        <v>2016</v>
      </c>
      <c r="E92" s="239">
        <f t="shared" si="21"/>
        <v>2017</v>
      </c>
      <c r="F92" s="239">
        <f t="shared" si="21"/>
        <v>2018</v>
      </c>
      <c r="G92" s="239">
        <f t="shared" si="21"/>
        <v>2019</v>
      </c>
      <c r="H92" s="239">
        <f t="shared" si="21"/>
        <v>2020</v>
      </c>
      <c r="I92" s="239">
        <f t="shared" si="21"/>
        <v>2021</v>
      </c>
      <c r="J92" s="239">
        <f t="shared" si="21"/>
        <v>2022</v>
      </c>
      <c r="K92" s="239">
        <f t="shared" si="21"/>
        <v>2023</v>
      </c>
      <c r="L92" s="239">
        <f t="shared" si="21"/>
        <v>2024</v>
      </c>
      <c r="N92" s="93" t="s">
        <v>20</v>
      </c>
    </row>
    <row r="93" spans="1:33" x14ac:dyDescent="0.25">
      <c r="A93" s="1051" t="s">
        <v>367</v>
      </c>
      <c r="B93" s="260">
        <f>+B73</f>
        <v>2015</v>
      </c>
      <c r="C93" s="247">
        <f>+C56</f>
        <v>0</v>
      </c>
      <c r="D93" s="268"/>
      <c r="E93" s="261"/>
      <c r="F93" s="261"/>
      <c r="G93" s="261"/>
      <c r="H93" s="261"/>
      <c r="I93" s="261"/>
      <c r="J93" s="261"/>
      <c r="K93" s="261"/>
      <c r="L93" s="262"/>
      <c r="N93" s="269">
        <f t="shared" ref="N93:N102" si="22">SUM(C93:L93)</f>
        <v>0</v>
      </c>
    </row>
    <row r="94" spans="1:33" x14ac:dyDescent="0.25">
      <c r="A94" s="1052"/>
      <c r="B94" s="260">
        <f t="shared" ref="B94:B102" si="23">+B74</f>
        <v>2016</v>
      </c>
      <c r="C94" s="247">
        <f>+C93+C74+C57</f>
        <v>0</v>
      </c>
      <c r="D94" s="247">
        <f>+D57</f>
        <v>0</v>
      </c>
      <c r="E94" s="270"/>
      <c r="F94" s="270"/>
      <c r="G94" s="270"/>
      <c r="H94" s="270"/>
      <c r="I94" s="270"/>
      <c r="J94" s="270"/>
      <c r="K94" s="270"/>
      <c r="L94" s="271"/>
      <c r="N94" s="269">
        <f t="shared" si="22"/>
        <v>0</v>
      </c>
    </row>
    <row r="95" spans="1:33" x14ac:dyDescent="0.25">
      <c r="A95" s="1052"/>
      <c r="B95" s="260">
        <f t="shared" si="23"/>
        <v>2017</v>
      </c>
      <c r="C95" s="247">
        <f t="shared" ref="C95:C100" si="24">+C94+C75+C58</f>
        <v>0</v>
      </c>
      <c r="D95" s="247">
        <f t="shared" ref="D95:D100" si="25">+D94+D75+D58</f>
        <v>0</v>
      </c>
      <c r="E95" s="247">
        <f>+E58</f>
        <v>0</v>
      </c>
      <c r="F95" s="270"/>
      <c r="G95" s="270"/>
      <c r="H95" s="270"/>
      <c r="I95" s="270"/>
      <c r="J95" s="270"/>
      <c r="K95" s="270"/>
      <c r="L95" s="271"/>
      <c r="N95" s="269">
        <f t="shared" si="22"/>
        <v>0</v>
      </c>
    </row>
    <row r="96" spans="1:33" x14ac:dyDescent="0.25">
      <c r="A96" s="1052"/>
      <c r="B96" s="260">
        <f t="shared" si="23"/>
        <v>2018</v>
      </c>
      <c r="C96" s="247">
        <f t="shared" si="24"/>
        <v>0</v>
      </c>
      <c r="D96" s="247">
        <f t="shared" si="25"/>
        <v>0</v>
      </c>
      <c r="E96" s="247">
        <f t="shared" ref="E96:E100" si="26">+E95+E76+E59</f>
        <v>0</v>
      </c>
      <c r="F96" s="247">
        <f>+F59</f>
        <v>0</v>
      </c>
      <c r="G96" s="270"/>
      <c r="H96" s="270"/>
      <c r="I96" s="270"/>
      <c r="J96" s="270"/>
      <c r="K96" s="270"/>
      <c r="L96" s="271"/>
      <c r="N96" s="269">
        <f t="shared" si="22"/>
        <v>0</v>
      </c>
    </row>
    <row r="97" spans="1:14" x14ac:dyDescent="0.25">
      <c r="A97" s="1052"/>
      <c r="B97" s="260">
        <f t="shared" si="23"/>
        <v>2019</v>
      </c>
      <c r="C97" s="247">
        <f t="shared" si="24"/>
        <v>0</v>
      </c>
      <c r="D97" s="247">
        <f t="shared" si="25"/>
        <v>0</v>
      </c>
      <c r="E97" s="247">
        <f t="shared" si="26"/>
        <v>0</v>
      </c>
      <c r="F97" s="247">
        <f t="shared" ref="F97:F100" si="27">+F96+F77+F60</f>
        <v>0</v>
      </c>
      <c r="G97" s="247">
        <f>+G60</f>
        <v>0</v>
      </c>
      <c r="H97" s="270"/>
      <c r="I97" s="270"/>
      <c r="J97" s="270"/>
      <c r="K97" s="270"/>
      <c r="L97" s="271"/>
      <c r="N97" s="269">
        <f t="shared" si="22"/>
        <v>0</v>
      </c>
    </row>
    <row r="98" spans="1:14" x14ac:dyDescent="0.25">
      <c r="A98" s="1052"/>
      <c r="B98" s="260">
        <f t="shared" si="23"/>
        <v>2020</v>
      </c>
      <c r="C98" s="247">
        <f t="shared" si="24"/>
        <v>0</v>
      </c>
      <c r="D98" s="247">
        <f t="shared" si="25"/>
        <v>0</v>
      </c>
      <c r="E98" s="247">
        <f t="shared" si="26"/>
        <v>0</v>
      </c>
      <c r="F98" s="247">
        <f t="shared" si="27"/>
        <v>0</v>
      </c>
      <c r="G98" s="247">
        <f t="shared" ref="G98:G100" si="28">+G97+G78+G61</f>
        <v>0</v>
      </c>
      <c r="H98" s="247">
        <f t="shared" ref="H98:J100" si="29">+H61</f>
        <v>0</v>
      </c>
      <c r="I98" s="270"/>
      <c r="J98" s="270"/>
      <c r="K98" s="270"/>
      <c r="L98" s="271"/>
      <c r="N98" s="269">
        <f t="shared" si="22"/>
        <v>0</v>
      </c>
    </row>
    <row r="99" spans="1:14" x14ac:dyDescent="0.25">
      <c r="A99" s="1052"/>
      <c r="B99" s="260">
        <f t="shared" si="23"/>
        <v>2021</v>
      </c>
      <c r="C99" s="247">
        <f t="shared" si="24"/>
        <v>0</v>
      </c>
      <c r="D99" s="247">
        <f t="shared" si="25"/>
        <v>0</v>
      </c>
      <c r="E99" s="247">
        <f t="shared" si="26"/>
        <v>0</v>
      </c>
      <c r="F99" s="247">
        <f t="shared" si="27"/>
        <v>0</v>
      </c>
      <c r="G99" s="247">
        <f t="shared" si="28"/>
        <v>0</v>
      </c>
      <c r="H99" s="247">
        <f t="shared" ref="H99:H101" si="30">+H98+H79+H62</f>
        <v>0</v>
      </c>
      <c r="I99" s="247">
        <f t="shared" si="29"/>
        <v>0</v>
      </c>
      <c r="J99" s="270"/>
      <c r="K99" s="270"/>
      <c r="L99" s="271"/>
      <c r="N99" s="269">
        <f t="shared" si="22"/>
        <v>0</v>
      </c>
    </row>
    <row r="100" spans="1:14" x14ac:dyDescent="0.25">
      <c r="A100" s="1052"/>
      <c r="B100" s="260">
        <f t="shared" si="23"/>
        <v>2022</v>
      </c>
      <c r="C100" s="247">
        <f t="shared" si="24"/>
        <v>0</v>
      </c>
      <c r="D100" s="247">
        <f t="shared" si="25"/>
        <v>0</v>
      </c>
      <c r="E100" s="247">
        <f t="shared" si="26"/>
        <v>0</v>
      </c>
      <c r="F100" s="247">
        <f t="shared" si="27"/>
        <v>0</v>
      </c>
      <c r="G100" s="247">
        <f t="shared" si="28"/>
        <v>0</v>
      </c>
      <c r="H100" s="247">
        <f t="shared" si="30"/>
        <v>0</v>
      </c>
      <c r="I100" s="247">
        <f t="shared" ref="I100:I102" si="31">+I99+I80+I63</f>
        <v>0</v>
      </c>
      <c r="J100" s="247">
        <f t="shared" si="29"/>
        <v>0</v>
      </c>
      <c r="K100" s="270"/>
      <c r="L100" s="271"/>
      <c r="N100" s="269">
        <f t="shared" si="22"/>
        <v>0</v>
      </c>
    </row>
    <row r="101" spans="1:14" x14ac:dyDescent="0.25">
      <c r="A101" s="1052"/>
      <c r="B101" s="260">
        <f t="shared" si="23"/>
        <v>2023</v>
      </c>
      <c r="C101" s="283"/>
      <c r="D101" s="270"/>
      <c r="E101" s="270"/>
      <c r="F101" s="270"/>
      <c r="G101" s="270"/>
      <c r="H101" s="247">
        <f t="shared" si="30"/>
        <v>0</v>
      </c>
      <c r="I101" s="247">
        <f t="shared" si="31"/>
        <v>0</v>
      </c>
      <c r="J101" s="247">
        <f t="shared" ref="J101:J102" si="32">+J100+J81+J64</f>
        <v>0</v>
      </c>
      <c r="K101" s="247">
        <f>+K64</f>
        <v>0</v>
      </c>
      <c r="L101" s="271"/>
      <c r="N101" s="269">
        <f t="shared" si="22"/>
        <v>0</v>
      </c>
    </row>
    <row r="102" spans="1:14" x14ac:dyDescent="0.25">
      <c r="A102" s="1053"/>
      <c r="B102" s="260">
        <f t="shared" si="23"/>
        <v>2024</v>
      </c>
      <c r="C102" s="284"/>
      <c r="D102" s="285"/>
      <c r="E102" s="285"/>
      <c r="F102" s="285"/>
      <c r="G102" s="285"/>
      <c r="H102" s="285"/>
      <c r="I102" s="247">
        <f t="shared" si="31"/>
        <v>0</v>
      </c>
      <c r="J102" s="247">
        <f t="shared" si="32"/>
        <v>0</v>
      </c>
      <c r="K102" s="247">
        <f>+K101+K82+K65</f>
        <v>0</v>
      </c>
      <c r="L102" s="247">
        <f>+L65</f>
        <v>0</v>
      </c>
      <c r="N102" s="269">
        <f t="shared" si="22"/>
        <v>0</v>
      </c>
    </row>
    <row r="103" spans="1:14" ht="14.5" x14ac:dyDescent="0.25">
      <c r="A103" s="332"/>
      <c r="C103" s="233"/>
    </row>
    <row r="104" spans="1:14" ht="13" x14ac:dyDescent="0.25">
      <c r="C104" s="233"/>
    </row>
    <row r="105" spans="1:14" ht="13" x14ac:dyDescent="0.25">
      <c r="C105" s="233"/>
    </row>
  </sheetData>
  <sheetProtection algorithmName="SHA-512" hashValue="1uCy4nqpp172T29ZJgCkxapXbqxbdjpZZWuTjn+kAWTa8AAwVqti166jNK9QlG54UQ59QMIssksdQAq1xXcRXA==" saltValue="uumw46tenkKABK5xOJkEjg==" spinCount="100000" sheet="1" objects="1" scenarios="1"/>
  <customSheetViews>
    <customSheetView guid="{C8C7977F-B6BF-432B-A1A7-559450D521AF}" scale="80">
      <selection sqref="A1:J1"/>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44">
    <mergeCell ref="A93:A102"/>
    <mergeCell ref="A55:B55"/>
    <mergeCell ref="A56:A66"/>
    <mergeCell ref="C71:L71"/>
    <mergeCell ref="A73:A83"/>
    <mergeCell ref="C91:L91"/>
    <mergeCell ref="A87:N87"/>
    <mergeCell ref="O50:P50"/>
    <mergeCell ref="A50:N50"/>
    <mergeCell ref="A9:B9"/>
    <mergeCell ref="A11:B11"/>
    <mergeCell ref="A15:B15"/>
    <mergeCell ref="A13:B13"/>
    <mergeCell ref="A23:B23"/>
    <mergeCell ref="A33:B33"/>
    <mergeCell ref="A10:B10"/>
    <mergeCell ref="A20:B20"/>
    <mergeCell ref="A30:B30"/>
    <mergeCell ref="C54:L54"/>
    <mergeCell ref="A7:B7"/>
    <mergeCell ref="A8:B8"/>
    <mergeCell ref="A18:B18"/>
    <mergeCell ref="A28:B28"/>
    <mergeCell ref="C43:L43"/>
    <mergeCell ref="A29:B29"/>
    <mergeCell ref="A14:B14"/>
    <mergeCell ref="A12:B12"/>
    <mergeCell ref="A26:B26"/>
    <mergeCell ref="A31:B31"/>
    <mergeCell ref="A32:B32"/>
    <mergeCell ref="A1:N1"/>
    <mergeCell ref="C5:L5"/>
    <mergeCell ref="C6:L6"/>
    <mergeCell ref="C4:L4"/>
    <mergeCell ref="A41:N41"/>
    <mergeCell ref="A16:B16"/>
    <mergeCell ref="A19:B19"/>
    <mergeCell ref="A21:B21"/>
    <mergeCell ref="A34:B34"/>
    <mergeCell ref="A35:B35"/>
    <mergeCell ref="A36:B36"/>
    <mergeCell ref="A24:B24"/>
    <mergeCell ref="A22:B22"/>
    <mergeCell ref="A25:B25"/>
  </mergeCells>
  <conditionalFormatting sqref="J9:L9 J11:L11 J19:L19 J21:L21 J29:L29 J31:L31">
    <cfRule type="expression" dxfId="41" priority="2">
      <formula>$C$5="elektriciteit"</formula>
    </cfRule>
  </conditionalFormatting>
  <conditionalFormatting sqref="A10:L10 A12:L12 A15:L15 A20:L20 A22:L22 A25:L25 A30:L30 A32:L32 A35:L35">
    <cfRule type="expression" dxfId="40" priority="1">
      <formula>$C$5="gas"</formula>
    </cfRule>
  </conditionalFormatting>
  <pageMargins left="0.78740157480314965" right="0.78740157480314965" top="0.98425196850393704" bottom="0.98425196850393704" header="0.51181102362204722" footer="0.51181102362204722"/>
  <pageSetup paperSize="8" scale="56" orientation="portrait" r:id="rId2"/>
  <headerFooter alignWithMargins="0">
    <oddFooter>&amp;CPage &amp;P</oddFooter>
  </headerFooter>
  <ignoredErrors>
    <ignoredError sqref="N72 P72" numberStoredAsText="1"/>
    <ignoredError sqref="N73" numberStoredAsText="1" formulaRange="1"/>
    <ignoredError sqref="C83"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DDA4-43EA-475F-A6DE-9C650EB0F077}">
  <sheetPr published="0" codeName="Blad9"/>
  <dimension ref="A1:V720"/>
  <sheetViews>
    <sheetView zoomScale="80" zoomScaleNormal="80" workbookViewId="0">
      <selection activeCell="C716" sqref="C716"/>
    </sheetView>
  </sheetViews>
  <sheetFormatPr defaultColWidth="9.1796875" defaultRowHeight="12.5" x14ac:dyDescent="0.25"/>
  <cols>
    <col min="1" max="1" width="2.453125" style="166" customWidth="1"/>
    <col min="2" max="2" width="9.1796875" style="166"/>
    <col min="3" max="3" width="19" style="166" customWidth="1"/>
    <col min="4" max="4" width="12.81640625" style="166" customWidth="1"/>
    <col min="5" max="5" width="24.26953125" style="166" customWidth="1"/>
    <col min="6" max="6" width="9.453125" style="166" customWidth="1"/>
    <col min="7" max="16" width="30.7265625" style="166" customWidth="1"/>
    <col min="17" max="17" width="2.1796875" style="203" customWidth="1"/>
    <col min="18" max="18" width="30.7265625" style="166" customWidth="1"/>
    <col min="19" max="16384" width="9.1796875" style="166"/>
  </cols>
  <sheetData>
    <row r="1" spans="1:22" ht="25.5" customHeight="1" thickBot="1" x14ac:dyDescent="0.3">
      <c r="A1" s="1007" t="s">
        <v>207</v>
      </c>
      <c r="B1" s="1008"/>
      <c r="C1" s="1008"/>
      <c r="D1" s="1008"/>
      <c r="E1" s="1008"/>
      <c r="F1" s="1008"/>
      <c r="G1" s="1008"/>
      <c r="H1" s="1008"/>
      <c r="I1" s="1008"/>
      <c r="J1" s="1009"/>
      <c r="K1" s="287"/>
      <c r="L1" s="288"/>
      <c r="M1" s="288"/>
      <c r="N1" s="288"/>
      <c r="O1" s="288"/>
      <c r="P1" s="288"/>
      <c r="Q1" s="288"/>
      <c r="S1" s="289"/>
      <c r="T1" s="289"/>
      <c r="U1" s="289"/>
      <c r="V1" s="289"/>
    </row>
    <row r="2" spans="1:22" ht="13" x14ac:dyDescent="0.25">
      <c r="B2" s="203" t="str">
        <f>+TITELBLAD!B16</f>
        <v>Rapportering over boekjaar:</v>
      </c>
      <c r="C2" s="291"/>
      <c r="D2" s="203">
        <f>+TITELBLAD!E16</f>
        <v>2022</v>
      </c>
      <c r="E2" s="203" t="str">
        <f>+TITELBLAD!F16</f>
        <v>ex-post</v>
      </c>
      <c r="F2" s="291"/>
      <c r="G2" s="291"/>
      <c r="H2" s="290"/>
      <c r="I2" s="226"/>
      <c r="J2" s="225"/>
      <c r="K2" s="226"/>
      <c r="L2" s="226"/>
      <c r="M2" s="226"/>
      <c r="N2" s="226"/>
      <c r="O2" s="226"/>
      <c r="P2" s="226"/>
      <c r="Q2" s="291"/>
      <c r="R2" s="226"/>
    </row>
    <row r="3" spans="1:22" ht="13.5" thickBot="1" x14ac:dyDescent="0.3">
      <c r="B3" s="292" t="s">
        <v>15</v>
      </c>
      <c r="H3" s="233"/>
      <c r="I3" s="225"/>
      <c r="J3" s="225"/>
      <c r="K3" s="226"/>
      <c r="L3" s="226"/>
      <c r="M3" s="226"/>
      <c r="N3" s="226"/>
      <c r="O3" s="226"/>
      <c r="P3" s="226"/>
      <c r="Q3" s="291"/>
      <c r="R3" s="226"/>
    </row>
    <row r="4" spans="1:22" ht="13.5" thickBot="1" x14ac:dyDescent="0.3">
      <c r="B4" s="1025" t="str">
        <f>+TITELBLAD!C7</f>
        <v>NAAM DNB</v>
      </c>
      <c r="C4" s="1026"/>
      <c r="D4" s="1026"/>
      <c r="E4" s="1027"/>
      <c r="H4" s="233"/>
      <c r="I4" s="225"/>
      <c r="J4" s="225"/>
      <c r="K4" s="226"/>
      <c r="L4" s="226"/>
      <c r="M4" s="226"/>
      <c r="N4" s="226"/>
      <c r="O4" s="226"/>
      <c r="P4" s="226"/>
      <c r="Q4" s="291"/>
      <c r="R4" s="226"/>
    </row>
    <row r="5" spans="1:22" ht="13" x14ac:dyDescent="0.25">
      <c r="H5" s="233"/>
      <c r="I5" s="225"/>
      <c r="J5" s="225"/>
      <c r="K5" s="226"/>
      <c r="L5" s="226"/>
      <c r="M5" s="226"/>
      <c r="N5" s="226"/>
      <c r="O5" s="226"/>
      <c r="P5" s="226"/>
      <c r="Q5" s="291"/>
      <c r="R5" s="226"/>
    </row>
    <row r="6" spans="1:22" ht="13.5" thickBot="1" x14ac:dyDescent="0.3">
      <c r="B6" s="292" t="s">
        <v>16</v>
      </c>
      <c r="H6" s="233"/>
      <c r="I6" s="225"/>
      <c r="J6" s="225"/>
      <c r="K6" s="226"/>
      <c r="L6" s="226"/>
      <c r="M6" s="226"/>
      <c r="N6" s="226"/>
      <c r="O6" s="226"/>
      <c r="P6" s="226"/>
      <c r="Q6" s="291"/>
      <c r="R6" s="226"/>
    </row>
    <row r="7" spans="1:22" ht="13.5" thickBot="1" x14ac:dyDescent="0.3">
      <c r="B7" s="1028" t="str">
        <f>+TITELBLAD!C10</f>
        <v>elektriciteit</v>
      </c>
      <c r="C7" s="1029"/>
      <c r="D7" s="1029"/>
      <c r="E7" s="1030"/>
      <c r="H7" s="233"/>
      <c r="I7" s="225"/>
      <c r="J7" s="225"/>
      <c r="K7" s="226"/>
      <c r="L7" s="226"/>
      <c r="M7" s="226"/>
      <c r="N7" s="226"/>
      <c r="O7" s="226"/>
      <c r="P7" s="226"/>
      <c r="Q7" s="291"/>
      <c r="R7" s="226"/>
    </row>
    <row r="8" spans="1:22" ht="13" x14ac:dyDescent="0.25">
      <c r="H8" s="233"/>
      <c r="I8" s="225"/>
      <c r="J8" s="225"/>
      <c r="K8" s="226"/>
      <c r="L8" s="226"/>
      <c r="M8" s="226"/>
      <c r="N8" s="226"/>
      <c r="O8" s="226"/>
      <c r="P8" s="226"/>
      <c r="Q8" s="291"/>
      <c r="R8" s="226"/>
    </row>
    <row r="9" spans="1:22" x14ac:dyDescent="0.25">
      <c r="K9" s="291"/>
      <c r="L9" s="291"/>
      <c r="M9" s="291"/>
      <c r="N9" s="291"/>
      <c r="O9" s="291"/>
      <c r="P9" s="291"/>
      <c r="Q9" s="291"/>
      <c r="R9" s="291"/>
    </row>
    <row r="10" spans="1:22" x14ac:dyDescent="0.25">
      <c r="K10" s="291"/>
      <c r="L10" s="291"/>
      <c r="M10" s="291"/>
      <c r="N10" s="291"/>
      <c r="O10" s="291"/>
      <c r="P10" s="291"/>
      <c r="Q10" s="291"/>
      <c r="R10" s="291"/>
    </row>
    <row r="11" spans="1:22" x14ac:dyDescent="0.3">
      <c r="G11" s="123" t="s">
        <v>132</v>
      </c>
      <c r="H11" s="294"/>
      <c r="I11" s="295"/>
      <c r="K11" s="291"/>
      <c r="L11" s="291"/>
      <c r="M11" s="291"/>
      <c r="N11" s="291"/>
      <c r="O11" s="291"/>
      <c r="P11" s="291"/>
      <c r="Q11" s="291"/>
      <c r="R11" s="291"/>
    </row>
    <row r="12" spans="1:22" x14ac:dyDescent="0.3">
      <c r="G12" s="92" t="s">
        <v>101</v>
      </c>
      <c r="H12" s="294"/>
      <c r="I12" s="295"/>
    </row>
    <row r="13" spans="1:22" ht="60" customHeight="1" x14ac:dyDescent="0.25">
      <c r="B13" s="1078" t="s">
        <v>204</v>
      </c>
      <c r="C13" s="1079"/>
      <c r="D13" s="1079"/>
      <c r="E13" s="1080"/>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5">
      <c r="B14" s="297"/>
      <c r="C14" s="297"/>
      <c r="D14" s="297"/>
      <c r="E14" s="297"/>
      <c r="F14" s="298"/>
      <c r="G14" s="299"/>
      <c r="H14" s="220"/>
      <c r="I14" s="220"/>
      <c r="Q14" s="300"/>
    </row>
    <row r="15" spans="1:22" ht="31.5" customHeight="1" x14ac:dyDescent="0.25">
      <c r="B15" s="1099" t="s">
        <v>201</v>
      </c>
      <c r="C15" s="1099"/>
      <c r="D15" s="1099"/>
      <c r="E15" s="1099"/>
      <c r="F15" s="167"/>
      <c r="G15" s="247">
        <f>+T5A!C29</f>
        <v>0</v>
      </c>
      <c r="H15" s="247">
        <f>+T5A!D29</f>
        <v>0</v>
      </c>
      <c r="I15" s="247">
        <f>+T5A!E29</f>
        <v>0</v>
      </c>
      <c r="J15" s="247">
        <f>+T5A!F29</f>
        <v>0</v>
      </c>
      <c r="K15" s="247">
        <f>+T5A!G29</f>
        <v>0</v>
      </c>
      <c r="L15" s="247">
        <f>+T5A!H29</f>
        <v>0</v>
      </c>
      <c r="M15" s="247">
        <f>+T5A!I29</f>
        <v>0</v>
      </c>
      <c r="N15" s="247">
        <f>+T5A!J29</f>
        <v>0</v>
      </c>
      <c r="O15" s="247">
        <f>+T5A!K29</f>
        <v>0</v>
      </c>
      <c r="P15" s="247">
        <f>+T5A!L29</f>
        <v>0</v>
      </c>
      <c r="R15" s="803">
        <f>SUM(G15:P15)</f>
        <v>0</v>
      </c>
    </row>
    <row r="16" spans="1:22" ht="31.5" customHeight="1" x14ac:dyDescent="0.25">
      <c r="B16" s="1099" t="s">
        <v>347</v>
      </c>
      <c r="C16" s="1099"/>
      <c r="D16" s="1099"/>
      <c r="E16" s="1099"/>
      <c r="F16" s="167"/>
      <c r="G16" s="520"/>
      <c r="H16" s="520"/>
      <c r="I16" s="520"/>
      <c r="J16" s="520"/>
      <c r="K16" s="520"/>
      <c r="L16" s="520"/>
      <c r="M16" s="520"/>
      <c r="N16" s="247">
        <f>+T5A!J30</f>
        <v>0</v>
      </c>
      <c r="O16" s="247">
        <f>+T5A!K30</f>
        <v>0</v>
      </c>
      <c r="P16" s="247">
        <f>+T5A!L30</f>
        <v>0</v>
      </c>
      <c r="R16" s="803">
        <f>SUM(G16:P16)</f>
        <v>0</v>
      </c>
    </row>
    <row r="17" spans="2:18" ht="31.5" customHeight="1" x14ac:dyDescent="0.25">
      <c r="B17" s="1099" t="s">
        <v>66</v>
      </c>
      <c r="C17" s="1099"/>
      <c r="D17" s="1099"/>
      <c r="E17" s="1099"/>
      <c r="F17" s="167"/>
      <c r="G17" s="247">
        <f>+T5A!C31</f>
        <v>0</v>
      </c>
      <c r="H17" s="247">
        <f>+T5A!D31</f>
        <v>0</v>
      </c>
      <c r="I17" s="247">
        <f>+T5A!E31</f>
        <v>0</v>
      </c>
      <c r="J17" s="247">
        <f>+T5A!F31</f>
        <v>0</v>
      </c>
      <c r="K17" s="247">
        <f>+T5A!G31</f>
        <v>0</v>
      </c>
      <c r="L17" s="247">
        <f>+T5A!H31</f>
        <v>0</v>
      </c>
      <c r="M17" s="247">
        <f>+T5A!I31</f>
        <v>0</v>
      </c>
      <c r="N17" s="247">
        <f>+T5A!J31</f>
        <v>0</v>
      </c>
      <c r="O17" s="247">
        <f>+T5A!K31</f>
        <v>0</v>
      </c>
      <c r="P17" s="247">
        <f>+T5A!L31</f>
        <v>0</v>
      </c>
      <c r="R17" s="803">
        <f t="shared" ref="R17:R22" si="1">SUM(G17:P17)</f>
        <v>0</v>
      </c>
    </row>
    <row r="18" spans="2:18" ht="31.5" customHeight="1" x14ac:dyDescent="0.25">
      <c r="B18" s="1099" t="s">
        <v>350</v>
      </c>
      <c r="C18" s="1099"/>
      <c r="D18" s="1099"/>
      <c r="E18" s="1099"/>
      <c r="F18" s="167"/>
      <c r="G18" s="247">
        <f>+T5A!C32</f>
        <v>0</v>
      </c>
      <c r="H18" s="247">
        <f>+T5A!D32</f>
        <v>0</v>
      </c>
      <c r="I18" s="247">
        <f>+T5A!E32</f>
        <v>0</v>
      </c>
      <c r="J18" s="247">
        <f>+T5A!F32</f>
        <v>0</v>
      </c>
      <c r="K18" s="247">
        <f>+T5A!G32</f>
        <v>0</v>
      </c>
      <c r="L18" s="247">
        <f>+T5A!H32</f>
        <v>0</v>
      </c>
      <c r="M18" s="520"/>
      <c r="N18" s="520"/>
      <c r="O18" s="520"/>
      <c r="P18" s="520"/>
      <c r="R18" s="803">
        <f>+SUM(G18:L18)</f>
        <v>0</v>
      </c>
    </row>
    <row r="19" spans="2:18" ht="31.5" customHeight="1" x14ac:dyDescent="0.25">
      <c r="B19" s="1099" t="s">
        <v>169</v>
      </c>
      <c r="C19" s="1099"/>
      <c r="D19" s="1099"/>
      <c r="E19" s="1099"/>
      <c r="F19" s="309"/>
      <c r="G19" s="520"/>
      <c r="H19" s="520"/>
      <c r="I19" s="520"/>
      <c r="J19" s="520"/>
      <c r="K19" s="520"/>
      <c r="L19" s="520"/>
      <c r="M19" s="520"/>
      <c r="N19" s="520"/>
      <c r="O19" s="520"/>
      <c r="P19" s="520"/>
      <c r="R19" s="805"/>
    </row>
    <row r="20" spans="2:18" ht="31.5" customHeight="1" x14ac:dyDescent="0.25">
      <c r="B20" s="1099" t="s">
        <v>67</v>
      </c>
      <c r="C20" s="1099"/>
      <c r="D20" s="1099"/>
      <c r="E20" s="1099"/>
      <c r="F20" s="167"/>
      <c r="G20" s="247">
        <f>+T5A!C34</f>
        <v>0</v>
      </c>
      <c r="H20" s="247">
        <f>+T5A!D34</f>
        <v>0</v>
      </c>
      <c r="I20" s="247">
        <f>+T5A!E34</f>
        <v>0</v>
      </c>
      <c r="J20" s="247">
        <f>+T5A!F34</f>
        <v>0</v>
      </c>
      <c r="K20" s="247">
        <f>+T5A!G34</f>
        <v>0</v>
      </c>
      <c r="L20" s="247">
        <f>+T5A!H34</f>
        <v>0</v>
      </c>
      <c r="M20" s="247">
        <f>+T5A!I34</f>
        <v>0</v>
      </c>
      <c r="N20" s="247">
        <f>+T5A!J34</f>
        <v>0</v>
      </c>
      <c r="O20" s="247">
        <f>+T5A!K34</f>
        <v>0</v>
      </c>
      <c r="P20" s="247">
        <f>+T5A!L34</f>
        <v>0</v>
      </c>
      <c r="R20" s="803">
        <f t="shared" si="1"/>
        <v>0</v>
      </c>
    </row>
    <row r="21" spans="2:18" ht="31.5" customHeight="1" x14ac:dyDescent="0.25">
      <c r="B21" s="1099" t="s">
        <v>96</v>
      </c>
      <c r="C21" s="1099"/>
      <c r="D21" s="1099"/>
      <c r="E21" s="1099"/>
      <c r="F21" s="167"/>
      <c r="G21" s="247">
        <f>+T5A!C35</f>
        <v>0</v>
      </c>
      <c r="H21" s="247">
        <f>+T5A!D35</f>
        <v>0</v>
      </c>
      <c r="I21" s="247">
        <f>+T5A!E35</f>
        <v>0</v>
      </c>
      <c r="J21" s="247">
        <f>+T5A!F35</f>
        <v>0</v>
      </c>
      <c r="K21" s="247">
        <f>+T5A!G35</f>
        <v>0</v>
      </c>
      <c r="L21" s="247">
        <f>+T5A!H35</f>
        <v>0</v>
      </c>
      <c r="M21" s="247">
        <f>+T5A!I35</f>
        <v>0</v>
      </c>
      <c r="N21" s="520"/>
      <c r="O21" s="520"/>
      <c r="P21" s="520"/>
      <c r="R21" s="803">
        <f t="shared" si="1"/>
        <v>0</v>
      </c>
    </row>
    <row r="22" spans="2:18" ht="31.5" customHeight="1" x14ac:dyDescent="0.25">
      <c r="B22" s="1100" t="s">
        <v>357</v>
      </c>
      <c r="C22" s="1101"/>
      <c r="D22" s="1101"/>
      <c r="E22" s="1102"/>
      <c r="F22" s="167"/>
      <c r="G22" s="247">
        <f>+T5A!C36</f>
        <v>0</v>
      </c>
      <c r="H22" s="247">
        <f>+T5A!D36</f>
        <v>0</v>
      </c>
      <c r="I22" s="247">
        <f>+T5A!E36</f>
        <v>0</v>
      </c>
      <c r="J22" s="247">
        <f>+T5A!F36</f>
        <v>0</v>
      </c>
      <c r="K22" s="247">
        <f>+T5A!G36</f>
        <v>0</v>
      </c>
      <c r="L22" s="247">
        <f>+T5A!H36</f>
        <v>0</v>
      </c>
      <c r="M22" s="247">
        <f>+T5A!I36</f>
        <v>0</v>
      </c>
      <c r="N22" s="247">
        <f>+T5A!J36</f>
        <v>0</v>
      </c>
      <c r="O22" s="247">
        <f>+T5A!K36</f>
        <v>0</v>
      </c>
      <c r="P22" s="247">
        <f>+T5A!L36</f>
        <v>0</v>
      </c>
      <c r="R22" s="803">
        <f t="shared" si="1"/>
        <v>0</v>
      </c>
    </row>
    <row r="23" spans="2:18" ht="13" x14ac:dyDescent="0.25">
      <c r="G23" s="301"/>
      <c r="H23" s="301"/>
      <c r="I23" s="301"/>
      <c r="J23" s="301"/>
      <c r="K23" s="301"/>
      <c r="L23" s="301"/>
      <c r="M23" s="301"/>
      <c r="N23" s="301"/>
      <c r="O23" s="301"/>
      <c r="P23" s="301"/>
      <c r="R23" s="302"/>
    </row>
    <row r="24" spans="2:18" ht="31.5" customHeight="1" x14ac:dyDescent="0.25">
      <c r="B24" s="1093" t="s">
        <v>22</v>
      </c>
      <c r="C24" s="1094"/>
      <c r="D24" s="1094"/>
      <c r="E24" s="1095"/>
      <c r="F24" s="172"/>
      <c r="G24" s="173">
        <f t="shared" ref="G24:P24" si="2">SUM(G15:G22)</f>
        <v>0</v>
      </c>
      <c r="H24" s="173">
        <f t="shared" si="2"/>
        <v>0</v>
      </c>
      <c r="I24" s="173">
        <f t="shared" si="2"/>
        <v>0</v>
      </c>
      <c r="J24" s="173">
        <f t="shared" si="2"/>
        <v>0</v>
      </c>
      <c r="K24" s="173">
        <f t="shared" si="2"/>
        <v>0</v>
      </c>
      <c r="L24" s="173">
        <f t="shared" si="2"/>
        <v>0</v>
      </c>
      <c r="M24" s="173">
        <f t="shared" si="2"/>
        <v>0</v>
      </c>
      <c r="N24" s="173">
        <f t="shared" si="2"/>
        <v>0</v>
      </c>
      <c r="O24" s="173">
        <f t="shared" si="2"/>
        <v>0</v>
      </c>
      <c r="P24" s="173">
        <f t="shared" si="2"/>
        <v>0</v>
      </c>
      <c r="R24" s="173">
        <f>SUM(G24:P24)</f>
        <v>0</v>
      </c>
    </row>
    <row r="25" spans="2:18" ht="13" x14ac:dyDescent="0.25">
      <c r="B25" s="1103" t="s">
        <v>98</v>
      </c>
      <c r="C25" s="1103"/>
      <c r="D25" s="1103"/>
      <c r="E25" s="1103"/>
      <c r="F25" s="218"/>
      <c r="G25" s="303">
        <f>+G24-T5A!C66</f>
        <v>0</v>
      </c>
      <c r="H25" s="303">
        <f>+H24-T5A!D66</f>
        <v>0</v>
      </c>
      <c r="I25" s="303">
        <f>+I24-T5A!E66</f>
        <v>0</v>
      </c>
      <c r="J25" s="303">
        <f>+J24-T5A!F66</f>
        <v>0</v>
      </c>
      <c r="K25" s="304">
        <f>+K24-T5A!G66</f>
        <v>0</v>
      </c>
      <c r="L25" s="304">
        <f>+L24-T5A!H66</f>
        <v>0</v>
      </c>
      <c r="M25" s="304">
        <f>+M24-T5A!I66</f>
        <v>0</v>
      </c>
      <c r="N25" s="304">
        <f>+N24-T5A!J66</f>
        <v>0</v>
      </c>
      <c r="O25" s="304">
        <f>+O24-T5A!K66</f>
        <v>0</v>
      </c>
      <c r="P25" s="304">
        <f>+P24-T5A!L66</f>
        <v>0</v>
      </c>
      <c r="R25" s="304">
        <f>+R24-T5A!N66</f>
        <v>0</v>
      </c>
    </row>
    <row r="26" spans="2:18" ht="13" x14ac:dyDescent="0.25">
      <c r="B26" s="305"/>
      <c r="C26" s="305"/>
      <c r="D26" s="305"/>
      <c r="E26" s="305"/>
      <c r="F26" s="306"/>
      <c r="G26" s="307"/>
      <c r="H26" s="307"/>
      <c r="I26" s="307"/>
      <c r="J26" s="307"/>
    </row>
    <row r="27" spans="2:18" x14ac:dyDescent="0.25">
      <c r="G27" s="308" t="s">
        <v>32</v>
      </c>
      <c r="H27" s="301"/>
    </row>
    <row r="28" spans="2:18" x14ac:dyDescent="0.25">
      <c r="G28" s="308" t="s">
        <v>33</v>
      </c>
      <c r="H28" s="301"/>
    </row>
    <row r="29" spans="2:18" ht="60" customHeight="1" x14ac:dyDescent="0.25">
      <c r="B29" s="1078" t="s">
        <v>205</v>
      </c>
      <c r="C29" s="1079"/>
      <c r="D29" s="1079"/>
      <c r="E29" s="1080"/>
      <c r="F29" s="167"/>
      <c r="G29" s="165">
        <v>2015</v>
      </c>
      <c r="H29" s="165">
        <f>+G29+1</f>
        <v>2016</v>
      </c>
      <c r="I29" s="165">
        <f>+H29+1</f>
        <v>2017</v>
      </c>
      <c r="J29" s="165">
        <f>+I29+1</f>
        <v>2018</v>
      </c>
      <c r="K29" s="165">
        <f>+J29+1</f>
        <v>2019</v>
      </c>
      <c r="L29" s="165">
        <f t="shared" ref="L29:P29" si="3">+K29+1</f>
        <v>2020</v>
      </c>
      <c r="M29" s="165">
        <f t="shared" si="3"/>
        <v>2021</v>
      </c>
      <c r="N29" s="165">
        <f t="shared" si="3"/>
        <v>2022</v>
      </c>
      <c r="O29" s="165">
        <f t="shared" si="3"/>
        <v>2023</v>
      </c>
      <c r="P29" s="165">
        <f t="shared" si="3"/>
        <v>2024</v>
      </c>
      <c r="R29" s="165" t="s">
        <v>20</v>
      </c>
    </row>
    <row r="30" spans="2:18" s="296" customFormat="1" ht="12" customHeight="1" x14ac:dyDescent="0.25">
      <c r="B30" s="297"/>
      <c r="C30" s="297"/>
      <c r="D30" s="297"/>
      <c r="E30" s="297"/>
      <c r="F30" s="298"/>
      <c r="G30" s="299"/>
      <c r="H30" s="220"/>
      <c r="I30" s="220"/>
      <c r="Q30" s="300"/>
    </row>
    <row r="31" spans="2:18" ht="36" customHeight="1" x14ac:dyDescent="0.25">
      <c r="B31" s="1096" t="s">
        <v>201</v>
      </c>
      <c r="C31" s="1097"/>
      <c r="D31" s="1097"/>
      <c r="E31" s="1098"/>
      <c r="F31" s="167"/>
      <c r="G31" s="804"/>
      <c r="H31" s="804"/>
      <c r="I31" s="804"/>
      <c r="J31" s="804"/>
      <c r="K31" s="804"/>
      <c r="L31" s="804"/>
      <c r="M31" s="804"/>
      <c r="N31" s="804"/>
      <c r="O31" s="804"/>
      <c r="P31" s="804"/>
      <c r="R31" s="804"/>
    </row>
    <row r="32" spans="2:18" ht="28.5" customHeight="1" x14ac:dyDescent="0.25">
      <c r="B32" s="1090" t="str">
        <f>"per 31/12/"&amp;$G$13</f>
        <v>per 31/12/2015</v>
      </c>
      <c r="C32" s="1091"/>
      <c r="D32" s="1091"/>
      <c r="E32" s="1092"/>
      <c r="F32" s="167"/>
      <c r="G32" s="247"/>
      <c r="H32" s="247"/>
      <c r="I32" s="247"/>
      <c r="J32" s="247"/>
      <c r="K32" s="247"/>
      <c r="L32" s="247"/>
      <c r="M32" s="247"/>
      <c r="N32" s="247"/>
      <c r="O32" s="247"/>
      <c r="P32" s="247"/>
      <c r="R32" s="803">
        <f t="shared" ref="R32:R106" si="4">SUM(G32:P32)</f>
        <v>0</v>
      </c>
    </row>
    <row r="33" spans="2:18" ht="28.5" customHeight="1" x14ac:dyDescent="0.25">
      <c r="B33" s="1090" t="str">
        <f>"per 31/12/"&amp;$H$13</f>
        <v>per 31/12/2016</v>
      </c>
      <c r="C33" s="1091"/>
      <c r="D33" s="1091"/>
      <c r="E33" s="1092"/>
      <c r="F33" s="167"/>
      <c r="G33" s="247"/>
      <c r="H33" s="247"/>
      <c r="I33" s="247"/>
      <c r="J33" s="247"/>
      <c r="K33" s="247"/>
      <c r="L33" s="247"/>
      <c r="M33" s="247"/>
      <c r="N33" s="247"/>
      <c r="O33" s="247"/>
      <c r="P33" s="247"/>
      <c r="R33" s="803">
        <f t="shared" si="4"/>
        <v>0</v>
      </c>
    </row>
    <row r="34" spans="2:18" ht="28.5" customHeight="1" x14ac:dyDescent="0.25">
      <c r="B34" s="1090" t="str">
        <f>"per 31/12/"&amp;$I$13</f>
        <v>per 31/12/2017</v>
      </c>
      <c r="C34" s="1091"/>
      <c r="D34" s="1091"/>
      <c r="E34" s="1092"/>
      <c r="F34" s="167"/>
      <c r="G34" s="247">
        <f>J260</f>
        <v>0</v>
      </c>
      <c r="H34" s="247"/>
      <c r="I34" s="247"/>
      <c r="J34" s="247"/>
      <c r="K34" s="247"/>
      <c r="L34" s="247"/>
      <c r="M34" s="247"/>
      <c r="N34" s="247"/>
      <c r="O34" s="247"/>
      <c r="P34" s="247"/>
      <c r="R34" s="803">
        <f t="shared" si="4"/>
        <v>0</v>
      </c>
    </row>
    <row r="35" spans="2:18" ht="28.5" customHeight="1" x14ac:dyDescent="0.25">
      <c r="B35" s="1090" t="str">
        <f>"per 31/12/"&amp;$J$13</f>
        <v>per 31/12/2018</v>
      </c>
      <c r="C35" s="1091"/>
      <c r="D35" s="1091"/>
      <c r="E35" s="1092"/>
      <c r="F35" s="167"/>
      <c r="G35" s="247">
        <f>L265</f>
        <v>0</v>
      </c>
      <c r="H35" s="247">
        <f>L266</f>
        <v>0</v>
      </c>
      <c r="I35" s="247"/>
      <c r="J35" s="247"/>
      <c r="K35" s="247"/>
      <c r="L35" s="247"/>
      <c r="M35" s="247"/>
      <c r="N35" s="247"/>
      <c r="O35" s="247"/>
      <c r="P35" s="247"/>
      <c r="R35" s="803">
        <f t="shared" si="4"/>
        <v>0</v>
      </c>
    </row>
    <row r="36" spans="2:18" ht="28.5" customHeight="1" x14ac:dyDescent="0.25">
      <c r="B36" s="1090" t="str">
        <f>"per 31/12/"&amp;$K$13</f>
        <v>per 31/12/2019</v>
      </c>
      <c r="C36" s="1091"/>
      <c r="D36" s="1091"/>
      <c r="E36" s="1092"/>
      <c r="F36" s="167"/>
      <c r="G36" s="247">
        <f>L272</f>
        <v>0</v>
      </c>
      <c r="H36" s="247">
        <f>L273</f>
        <v>0</v>
      </c>
      <c r="I36" s="247">
        <f>L274</f>
        <v>0</v>
      </c>
      <c r="J36" s="247"/>
      <c r="K36" s="247"/>
      <c r="L36" s="247"/>
      <c r="M36" s="247"/>
      <c r="N36" s="247"/>
      <c r="O36" s="247"/>
      <c r="P36" s="247"/>
      <c r="R36" s="803">
        <f t="shared" si="4"/>
        <v>0</v>
      </c>
    </row>
    <row r="37" spans="2:18" ht="28.5" customHeight="1" x14ac:dyDescent="0.25">
      <c r="B37" s="1090" t="str">
        <f>"per 31/12/"&amp;$L$13</f>
        <v>per 31/12/2020</v>
      </c>
      <c r="C37" s="1091"/>
      <c r="D37" s="1091"/>
      <c r="E37" s="1092"/>
      <c r="F37" s="167"/>
      <c r="G37" s="247">
        <f>L280</f>
        <v>0</v>
      </c>
      <c r="H37" s="247">
        <f>L281</f>
        <v>0</v>
      </c>
      <c r="I37" s="247">
        <f>L282</f>
        <v>0</v>
      </c>
      <c r="J37" s="247">
        <f>L283</f>
        <v>0</v>
      </c>
      <c r="K37" s="247"/>
      <c r="L37" s="247"/>
      <c r="M37" s="247"/>
      <c r="N37" s="247"/>
      <c r="O37" s="247"/>
      <c r="P37" s="247"/>
      <c r="R37" s="803">
        <f t="shared" si="4"/>
        <v>0</v>
      </c>
    </row>
    <row r="38" spans="2:18" ht="28.5" customHeight="1" x14ac:dyDescent="0.25">
      <c r="B38" s="1090" t="str">
        <f>"per 31/12/"&amp;$M$13</f>
        <v>per 31/12/2021</v>
      </c>
      <c r="C38" s="1091"/>
      <c r="D38" s="1091"/>
      <c r="E38" s="1092"/>
      <c r="F38" s="167"/>
      <c r="G38" s="247">
        <f>+H289</f>
        <v>0</v>
      </c>
      <c r="H38" s="247">
        <f>H290</f>
        <v>0</v>
      </c>
      <c r="I38" s="247">
        <f>H291</f>
        <v>0</v>
      </c>
      <c r="J38" s="247">
        <f>H292</f>
        <v>0</v>
      </c>
      <c r="K38" s="247">
        <f>H293</f>
        <v>0</v>
      </c>
      <c r="L38" s="247"/>
      <c r="M38" s="247"/>
      <c r="N38" s="247"/>
      <c r="O38" s="247"/>
      <c r="P38" s="247"/>
      <c r="R38" s="803">
        <f t="shared" si="4"/>
        <v>0</v>
      </c>
    </row>
    <row r="39" spans="2:18" ht="28.5" customHeight="1" x14ac:dyDescent="0.25">
      <c r="B39" s="1090" t="str">
        <f>"per 31/12/"&amp;$N$13</f>
        <v>per 31/12/2022</v>
      </c>
      <c r="C39" s="1091"/>
      <c r="D39" s="1091"/>
      <c r="E39" s="1092"/>
      <c r="F39" s="167"/>
      <c r="G39" s="247">
        <f>H299</f>
        <v>0</v>
      </c>
      <c r="H39" s="247">
        <f>H300</f>
        <v>0</v>
      </c>
      <c r="I39" s="247">
        <f>H301</f>
        <v>0</v>
      </c>
      <c r="J39" s="247">
        <f>H302</f>
        <v>0</v>
      </c>
      <c r="K39" s="247">
        <f>H303</f>
        <v>0</v>
      </c>
      <c r="L39" s="247">
        <f>H304</f>
        <v>0</v>
      </c>
      <c r="M39" s="247"/>
      <c r="N39" s="247"/>
      <c r="O39" s="247"/>
      <c r="P39" s="247"/>
      <c r="R39" s="803">
        <f t="shared" si="4"/>
        <v>0</v>
      </c>
    </row>
    <row r="40" spans="2:18" ht="28.5" customHeight="1" x14ac:dyDescent="0.25">
      <c r="B40" s="1090" t="str">
        <f>"per 31/12/"&amp;$O$13</f>
        <v>per 31/12/2023</v>
      </c>
      <c r="C40" s="1091"/>
      <c r="D40" s="1091"/>
      <c r="E40" s="1092"/>
      <c r="F40" s="167"/>
      <c r="G40" s="247"/>
      <c r="H40" s="247"/>
      <c r="I40" s="247"/>
      <c r="J40" s="247"/>
      <c r="K40" s="247"/>
      <c r="L40" s="247">
        <f>H310</f>
        <v>0</v>
      </c>
      <c r="M40" s="247">
        <f>H311</f>
        <v>0</v>
      </c>
      <c r="N40" s="247"/>
      <c r="O40" s="247"/>
      <c r="P40" s="247"/>
      <c r="R40" s="803">
        <f t="shared" si="4"/>
        <v>0</v>
      </c>
    </row>
    <row r="41" spans="2:18" ht="28.5" customHeight="1" x14ac:dyDescent="0.25">
      <c r="B41" s="1090" t="str">
        <f>"per 31/12/"&amp;$P$13</f>
        <v>per 31/12/2024</v>
      </c>
      <c r="C41" s="1091"/>
      <c r="D41" s="1091"/>
      <c r="E41" s="1092"/>
      <c r="F41" s="167"/>
      <c r="G41" s="247"/>
      <c r="H41" s="247"/>
      <c r="I41" s="247"/>
      <c r="J41" s="247"/>
      <c r="K41" s="247"/>
      <c r="L41" s="247"/>
      <c r="M41" s="247">
        <f>H317</f>
        <v>0</v>
      </c>
      <c r="N41" s="247">
        <f>H318</f>
        <v>0</v>
      </c>
      <c r="O41" s="247"/>
      <c r="P41" s="247"/>
      <c r="R41" s="803">
        <f t="shared" si="4"/>
        <v>0</v>
      </c>
    </row>
    <row r="42" spans="2:18" ht="36" customHeight="1" x14ac:dyDescent="0.25">
      <c r="B42" s="1096" t="s">
        <v>347</v>
      </c>
      <c r="C42" s="1097"/>
      <c r="D42" s="1097"/>
      <c r="E42" s="1098"/>
      <c r="F42" s="167"/>
      <c r="G42" s="804"/>
      <c r="H42" s="804"/>
      <c r="I42" s="804"/>
      <c r="J42" s="804"/>
      <c r="K42" s="804"/>
      <c r="L42" s="804"/>
      <c r="M42" s="804"/>
      <c r="N42" s="804"/>
      <c r="O42" s="804"/>
      <c r="P42" s="804"/>
      <c r="R42" s="804"/>
    </row>
    <row r="43" spans="2:18" ht="28.5" customHeight="1" x14ac:dyDescent="0.25">
      <c r="B43" s="1081" t="str">
        <f>"per 31/12/"&amp;$G$13</f>
        <v>per 31/12/2015</v>
      </c>
      <c r="C43" s="1082"/>
      <c r="D43" s="1082"/>
      <c r="E43" s="1083"/>
      <c r="F43" s="167"/>
      <c r="G43" s="247"/>
      <c r="H43" s="247"/>
      <c r="I43" s="247"/>
      <c r="J43" s="247"/>
      <c r="K43" s="247"/>
      <c r="L43" s="247"/>
      <c r="M43" s="247"/>
      <c r="N43" s="247"/>
      <c r="O43" s="247"/>
      <c r="P43" s="247"/>
      <c r="R43" s="805"/>
    </row>
    <row r="44" spans="2:18" ht="28.5" customHeight="1" x14ac:dyDescent="0.25">
      <c r="B44" s="1081" t="str">
        <f>"per 31/12/"&amp;$H$13</f>
        <v>per 31/12/2016</v>
      </c>
      <c r="C44" s="1082"/>
      <c r="D44" s="1082"/>
      <c r="E44" s="1083"/>
      <c r="F44" s="167"/>
      <c r="G44" s="247"/>
      <c r="H44" s="247"/>
      <c r="I44" s="247"/>
      <c r="J44" s="247"/>
      <c r="K44" s="247"/>
      <c r="L44" s="247"/>
      <c r="M44" s="247"/>
      <c r="N44" s="247"/>
      <c r="O44" s="247"/>
      <c r="P44" s="247"/>
      <c r="R44" s="805"/>
    </row>
    <row r="45" spans="2:18" ht="28.5" customHeight="1" x14ac:dyDescent="0.25">
      <c r="B45" s="1081" t="str">
        <f>"per 31/12/"&amp;$I$13</f>
        <v>per 31/12/2017</v>
      </c>
      <c r="C45" s="1082"/>
      <c r="D45" s="1082"/>
      <c r="E45" s="1083"/>
      <c r="F45" s="167"/>
      <c r="G45" s="520"/>
      <c r="H45" s="247"/>
      <c r="I45" s="247"/>
      <c r="J45" s="247"/>
      <c r="K45" s="247"/>
      <c r="L45" s="247"/>
      <c r="M45" s="247"/>
      <c r="N45" s="247"/>
      <c r="O45" s="247"/>
      <c r="P45" s="247"/>
      <c r="R45" s="805"/>
    </row>
    <row r="46" spans="2:18" ht="28.5" customHeight="1" x14ac:dyDescent="0.25">
      <c r="B46" s="1081" t="str">
        <f>"per 31/12/"&amp;$J$13</f>
        <v>per 31/12/2018</v>
      </c>
      <c r="C46" s="1082"/>
      <c r="D46" s="1082"/>
      <c r="E46" s="1083"/>
      <c r="F46" s="167"/>
      <c r="G46" s="520"/>
      <c r="H46" s="520"/>
      <c r="I46" s="247"/>
      <c r="J46" s="247"/>
      <c r="K46" s="247"/>
      <c r="L46" s="247"/>
      <c r="M46" s="247"/>
      <c r="N46" s="247"/>
      <c r="O46" s="247"/>
      <c r="P46" s="247"/>
      <c r="R46" s="805"/>
    </row>
    <row r="47" spans="2:18" ht="28.5" customHeight="1" x14ac:dyDescent="0.25">
      <c r="B47" s="1081" t="str">
        <f>"per 31/12/"&amp;$K$13</f>
        <v>per 31/12/2019</v>
      </c>
      <c r="C47" s="1082"/>
      <c r="D47" s="1082"/>
      <c r="E47" s="1083"/>
      <c r="F47" s="167"/>
      <c r="G47" s="520"/>
      <c r="H47" s="520"/>
      <c r="I47" s="520"/>
      <c r="J47" s="247"/>
      <c r="K47" s="247"/>
      <c r="L47" s="247"/>
      <c r="M47" s="247"/>
      <c r="N47" s="247"/>
      <c r="O47" s="247"/>
      <c r="P47" s="247"/>
      <c r="R47" s="805"/>
    </row>
    <row r="48" spans="2:18" ht="28.5" customHeight="1" x14ac:dyDescent="0.25">
      <c r="B48" s="1081" t="str">
        <f>"per 31/12/"&amp;$L$13</f>
        <v>per 31/12/2020</v>
      </c>
      <c r="C48" s="1082"/>
      <c r="D48" s="1082"/>
      <c r="E48" s="1083"/>
      <c r="F48" s="167"/>
      <c r="G48" s="520"/>
      <c r="H48" s="520"/>
      <c r="I48" s="520"/>
      <c r="J48" s="520"/>
      <c r="K48" s="247"/>
      <c r="L48" s="247"/>
      <c r="M48" s="247"/>
      <c r="N48" s="247"/>
      <c r="O48" s="247"/>
      <c r="P48" s="247"/>
      <c r="R48" s="805"/>
    </row>
    <row r="49" spans="2:18" ht="28.5" customHeight="1" x14ac:dyDescent="0.25">
      <c r="B49" s="1081" t="str">
        <f>"per 31/12/"&amp;$M$13</f>
        <v>per 31/12/2021</v>
      </c>
      <c r="C49" s="1082"/>
      <c r="D49" s="1082"/>
      <c r="E49" s="1083"/>
      <c r="F49" s="167"/>
      <c r="G49" s="520"/>
      <c r="H49" s="520"/>
      <c r="I49" s="520"/>
      <c r="J49" s="520"/>
      <c r="K49" s="520"/>
      <c r="L49" s="247"/>
      <c r="M49" s="247"/>
      <c r="N49" s="247"/>
      <c r="O49" s="247"/>
      <c r="P49" s="247"/>
      <c r="R49" s="805"/>
    </row>
    <row r="50" spans="2:18" ht="28.5" customHeight="1" x14ac:dyDescent="0.25">
      <c r="B50" s="1081" t="str">
        <f>"per 31/12/"&amp;$N$13</f>
        <v>per 31/12/2022</v>
      </c>
      <c r="C50" s="1082"/>
      <c r="D50" s="1082"/>
      <c r="E50" s="1083"/>
      <c r="F50" s="167"/>
      <c r="G50" s="520"/>
      <c r="H50" s="520"/>
      <c r="I50" s="520"/>
      <c r="J50" s="520"/>
      <c r="K50" s="520"/>
      <c r="L50" s="520"/>
      <c r="M50" s="247"/>
      <c r="N50" s="247"/>
      <c r="O50" s="247"/>
      <c r="P50" s="247"/>
      <c r="R50" s="805"/>
    </row>
    <row r="51" spans="2:18" ht="28.5" customHeight="1" x14ac:dyDescent="0.25">
      <c r="B51" s="1081" t="str">
        <f>"per 31/12/"&amp;$O$13</f>
        <v>per 31/12/2023</v>
      </c>
      <c r="C51" s="1082"/>
      <c r="D51" s="1082"/>
      <c r="E51" s="1083"/>
      <c r="F51" s="167"/>
      <c r="G51" s="247"/>
      <c r="H51" s="247"/>
      <c r="I51" s="247"/>
      <c r="J51" s="247"/>
      <c r="K51" s="247"/>
      <c r="L51" s="520"/>
      <c r="M51" s="520"/>
      <c r="N51" s="247"/>
      <c r="O51" s="247"/>
      <c r="P51" s="247"/>
      <c r="R51" s="805"/>
    </row>
    <row r="52" spans="2:18" ht="28.5" customHeight="1" x14ac:dyDescent="0.25">
      <c r="B52" s="1090" t="str">
        <f>"per 31/12/"&amp;$P$13</f>
        <v>per 31/12/2024</v>
      </c>
      <c r="C52" s="1091"/>
      <c r="D52" s="1091"/>
      <c r="E52" s="1092"/>
      <c r="F52" s="167"/>
      <c r="G52" s="247"/>
      <c r="H52" s="247"/>
      <c r="I52" s="247"/>
      <c r="J52" s="247"/>
      <c r="K52" s="247"/>
      <c r="L52" s="247"/>
      <c r="M52" s="520"/>
      <c r="N52" s="247">
        <f>+H334</f>
        <v>0</v>
      </c>
      <c r="O52" s="247"/>
      <c r="P52" s="247"/>
      <c r="R52" s="803">
        <f t="shared" ref="R52" si="5">SUM(G52:P52)</f>
        <v>0</v>
      </c>
    </row>
    <row r="53" spans="2:18" ht="27.75" customHeight="1" x14ac:dyDescent="0.25">
      <c r="B53" s="1096" t="s">
        <v>66</v>
      </c>
      <c r="C53" s="1097"/>
      <c r="D53" s="1097"/>
      <c r="E53" s="1098"/>
      <c r="F53" s="167"/>
      <c r="G53" s="804"/>
      <c r="H53" s="804"/>
      <c r="I53" s="804"/>
      <c r="J53" s="804"/>
      <c r="K53" s="804"/>
      <c r="L53" s="804"/>
      <c r="M53" s="804"/>
      <c r="N53" s="804"/>
      <c r="O53" s="804"/>
      <c r="P53" s="804"/>
      <c r="R53" s="804"/>
    </row>
    <row r="54" spans="2:18" ht="28.5" customHeight="1" x14ac:dyDescent="0.25">
      <c r="B54" s="1090" t="str">
        <f>"per 31/12/"&amp;$G$13</f>
        <v>per 31/12/2015</v>
      </c>
      <c r="C54" s="1091"/>
      <c r="D54" s="1091"/>
      <c r="E54" s="1092"/>
      <c r="F54" s="167"/>
      <c r="G54" s="247"/>
      <c r="H54" s="247"/>
      <c r="I54" s="247"/>
      <c r="J54" s="247"/>
      <c r="K54" s="247"/>
      <c r="L54" s="247"/>
      <c r="M54" s="247"/>
      <c r="N54" s="247"/>
      <c r="O54" s="247"/>
      <c r="P54" s="247"/>
      <c r="R54" s="803">
        <f t="shared" si="4"/>
        <v>0</v>
      </c>
    </row>
    <row r="55" spans="2:18" ht="28.5" customHeight="1" x14ac:dyDescent="0.25">
      <c r="B55" s="1090" t="str">
        <f>"per 31/12/"&amp;$H$13</f>
        <v>per 31/12/2016</v>
      </c>
      <c r="C55" s="1091"/>
      <c r="D55" s="1091"/>
      <c r="E55" s="1092"/>
      <c r="F55" s="167"/>
      <c r="G55" s="247"/>
      <c r="H55" s="247"/>
      <c r="I55" s="247"/>
      <c r="J55" s="247"/>
      <c r="K55" s="247"/>
      <c r="L55" s="247"/>
      <c r="M55" s="247"/>
      <c r="N55" s="247"/>
      <c r="O55" s="247"/>
      <c r="P55" s="247"/>
      <c r="R55" s="803">
        <f t="shared" si="4"/>
        <v>0</v>
      </c>
    </row>
    <row r="56" spans="2:18" ht="28.5" customHeight="1" x14ac:dyDescent="0.25">
      <c r="B56" s="1090" t="str">
        <f>"per 31/12/"&amp;$I$13</f>
        <v>per 31/12/2017</v>
      </c>
      <c r="C56" s="1091"/>
      <c r="D56" s="1091"/>
      <c r="E56" s="1092"/>
      <c r="F56" s="167"/>
      <c r="G56" s="247">
        <f>J350</f>
        <v>0</v>
      </c>
      <c r="H56" s="247"/>
      <c r="I56" s="247"/>
      <c r="J56" s="247"/>
      <c r="K56" s="247"/>
      <c r="L56" s="247"/>
      <c r="M56" s="247"/>
      <c r="N56" s="247"/>
      <c r="O56" s="247"/>
      <c r="P56" s="247"/>
      <c r="R56" s="803">
        <f t="shared" si="4"/>
        <v>0</v>
      </c>
    </row>
    <row r="57" spans="2:18" ht="28.5" customHeight="1" x14ac:dyDescent="0.25">
      <c r="B57" s="1090" t="str">
        <f>"per 31/12/"&amp;$J$13</f>
        <v>per 31/12/2018</v>
      </c>
      <c r="C57" s="1091"/>
      <c r="D57" s="1091"/>
      <c r="E57" s="1092"/>
      <c r="F57" s="167"/>
      <c r="G57" s="247">
        <f>L355</f>
        <v>0</v>
      </c>
      <c r="H57" s="247">
        <f>L356</f>
        <v>0</v>
      </c>
      <c r="I57" s="247"/>
      <c r="J57" s="247"/>
      <c r="K57" s="247"/>
      <c r="L57" s="247"/>
      <c r="M57" s="247"/>
      <c r="N57" s="247"/>
      <c r="O57" s="247"/>
      <c r="P57" s="247"/>
      <c r="R57" s="803">
        <f t="shared" si="4"/>
        <v>0</v>
      </c>
    </row>
    <row r="58" spans="2:18" ht="28.5" customHeight="1" x14ac:dyDescent="0.25">
      <c r="B58" s="1090" t="str">
        <f>"per 31/12/"&amp;$K$13</f>
        <v>per 31/12/2019</v>
      </c>
      <c r="C58" s="1091"/>
      <c r="D58" s="1091"/>
      <c r="E58" s="1092"/>
      <c r="F58" s="167"/>
      <c r="G58" s="247">
        <f>L362</f>
        <v>0</v>
      </c>
      <c r="H58" s="247">
        <f>L363</f>
        <v>0</v>
      </c>
      <c r="I58" s="247">
        <f>L364</f>
        <v>0</v>
      </c>
      <c r="J58" s="247"/>
      <c r="K58" s="247"/>
      <c r="L58" s="247"/>
      <c r="M58" s="247"/>
      <c r="N58" s="247"/>
      <c r="O58" s="247"/>
      <c r="P58" s="247"/>
      <c r="R58" s="803">
        <f t="shared" si="4"/>
        <v>0</v>
      </c>
    </row>
    <row r="59" spans="2:18" ht="28.5" customHeight="1" x14ac:dyDescent="0.25">
      <c r="B59" s="1090" t="str">
        <f>"per 31/12/"&amp;$L$13</f>
        <v>per 31/12/2020</v>
      </c>
      <c r="C59" s="1091"/>
      <c r="D59" s="1091"/>
      <c r="E59" s="1092"/>
      <c r="F59" s="167"/>
      <c r="G59" s="247">
        <f>L370</f>
        <v>0</v>
      </c>
      <c r="H59" s="247">
        <f>L371</f>
        <v>0</v>
      </c>
      <c r="I59" s="247">
        <f>L372</f>
        <v>0</v>
      </c>
      <c r="J59" s="247">
        <f>L373</f>
        <v>0</v>
      </c>
      <c r="K59" s="247"/>
      <c r="L59" s="247"/>
      <c r="M59" s="247"/>
      <c r="N59" s="247"/>
      <c r="O59" s="247"/>
      <c r="P59" s="247"/>
      <c r="R59" s="803">
        <f t="shared" si="4"/>
        <v>0</v>
      </c>
    </row>
    <row r="60" spans="2:18" ht="28.5" customHeight="1" x14ac:dyDescent="0.25">
      <c r="B60" s="1090" t="str">
        <f>"per 31/12/"&amp;$M$13</f>
        <v>per 31/12/2021</v>
      </c>
      <c r="C60" s="1091"/>
      <c r="D60" s="1091"/>
      <c r="E60" s="1092"/>
      <c r="F60" s="167"/>
      <c r="G60" s="247">
        <f>H379</f>
        <v>0</v>
      </c>
      <c r="H60" s="247">
        <f>H380</f>
        <v>0</v>
      </c>
      <c r="I60" s="247">
        <f>H381</f>
        <v>0</v>
      </c>
      <c r="J60" s="247">
        <f>H382</f>
        <v>0</v>
      </c>
      <c r="K60" s="247">
        <f>H383</f>
        <v>0</v>
      </c>
      <c r="L60" s="247"/>
      <c r="M60" s="247"/>
      <c r="N60" s="247"/>
      <c r="O60" s="247"/>
      <c r="P60" s="247"/>
      <c r="R60" s="803">
        <f t="shared" si="4"/>
        <v>0</v>
      </c>
    </row>
    <row r="61" spans="2:18" ht="28.5" customHeight="1" x14ac:dyDescent="0.25">
      <c r="B61" s="1090" t="str">
        <f>"per 31/12/"&amp;$N$13</f>
        <v>per 31/12/2022</v>
      </c>
      <c r="C61" s="1091"/>
      <c r="D61" s="1091"/>
      <c r="E61" s="1092"/>
      <c r="F61" s="167"/>
      <c r="G61" s="247">
        <f>H389</f>
        <v>0</v>
      </c>
      <c r="H61" s="247">
        <f>H390</f>
        <v>0</v>
      </c>
      <c r="I61" s="247">
        <f>H391</f>
        <v>0</v>
      </c>
      <c r="J61" s="247">
        <f>H392</f>
        <v>0</v>
      </c>
      <c r="K61" s="247">
        <f>H393</f>
        <v>0</v>
      </c>
      <c r="L61" s="247">
        <f>H394</f>
        <v>0</v>
      </c>
      <c r="M61" s="247"/>
      <c r="N61" s="247"/>
      <c r="O61" s="247"/>
      <c r="P61" s="247"/>
      <c r="R61" s="803">
        <f t="shared" si="4"/>
        <v>0</v>
      </c>
    </row>
    <row r="62" spans="2:18" ht="28.5" customHeight="1" x14ac:dyDescent="0.25">
      <c r="B62" s="1090" t="str">
        <f>"per 31/12/"&amp;$O$13</f>
        <v>per 31/12/2023</v>
      </c>
      <c r="C62" s="1091"/>
      <c r="D62" s="1091"/>
      <c r="E62" s="1092"/>
      <c r="F62" s="167"/>
      <c r="G62" s="247"/>
      <c r="H62" s="247"/>
      <c r="I62" s="247"/>
      <c r="J62" s="247"/>
      <c r="K62" s="247"/>
      <c r="L62" s="247">
        <f>H400</f>
        <v>0</v>
      </c>
      <c r="M62" s="247">
        <f>H401</f>
        <v>0</v>
      </c>
      <c r="N62" s="247"/>
      <c r="O62" s="247"/>
      <c r="P62" s="247"/>
      <c r="R62" s="803">
        <f t="shared" si="4"/>
        <v>0</v>
      </c>
    </row>
    <row r="63" spans="2:18" ht="28.5" customHeight="1" x14ac:dyDescent="0.25">
      <c r="B63" s="1090" t="str">
        <f>"per 31/12/"&amp;$P$13</f>
        <v>per 31/12/2024</v>
      </c>
      <c r="C63" s="1091"/>
      <c r="D63" s="1091"/>
      <c r="E63" s="1092"/>
      <c r="F63" s="167"/>
      <c r="G63" s="247"/>
      <c r="H63" s="247"/>
      <c r="I63" s="247"/>
      <c r="J63" s="247"/>
      <c r="K63" s="247"/>
      <c r="L63" s="247"/>
      <c r="M63" s="247">
        <f>H407</f>
        <v>0</v>
      </c>
      <c r="N63" s="247">
        <f>H408</f>
        <v>0</v>
      </c>
      <c r="O63" s="247"/>
      <c r="P63" s="247"/>
      <c r="R63" s="803">
        <f t="shared" si="4"/>
        <v>0</v>
      </c>
    </row>
    <row r="64" spans="2:18" ht="33.75" customHeight="1" x14ac:dyDescent="0.25">
      <c r="B64" s="1104" t="s">
        <v>350</v>
      </c>
      <c r="C64" s="1104"/>
      <c r="D64" s="1104"/>
      <c r="E64" s="1104"/>
      <c r="F64" s="167"/>
      <c r="G64" s="804"/>
      <c r="H64" s="804"/>
      <c r="I64" s="804"/>
      <c r="J64" s="804"/>
      <c r="K64" s="804"/>
      <c r="L64" s="804"/>
      <c r="M64" s="804"/>
      <c r="N64" s="804"/>
      <c r="O64" s="804"/>
      <c r="P64" s="804"/>
      <c r="R64" s="804"/>
    </row>
    <row r="65" spans="2:18" ht="28.5" customHeight="1" x14ac:dyDescent="0.25">
      <c r="B65" s="1090" t="str">
        <f>"per 31/12/"&amp;$G$13</f>
        <v>per 31/12/2015</v>
      </c>
      <c r="C65" s="1091"/>
      <c r="D65" s="1091"/>
      <c r="E65" s="1092"/>
      <c r="F65" s="167"/>
      <c r="G65" s="247"/>
      <c r="H65" s="247"/>
      <c r="I65" s="247"/>
      <c r="J65" s="247"/>
      <c r="K65" s="247"/>
      <c r="L65" s="247"/>
      <c r="M65" s="247"/>
      <c r="N65" s="247"/>
      <c r="O65" s="247"/>
      <c r="P65" s="247"/>
      <c r="R65" s="803">
        <f t="shared" ref="R65:R73" si="6">SUM(G65:P65)</f>
        <v>0</v>
      </c>
    </row>
    <row r="66" spans="2:18" ht="28.5" customHeight="1" x14ac:dyDescent="0.25">
      <c r="B66" s="1090" t="str">
        <f>"per 31/12/"&amp;$H$13</f>
        <v>per 31/12/2016</v>
      </c>
      <c r="C66" s="1091"/>
      <c r="D66" s="1091"/>
      <c r="E66" s="1092"/>
      <c r="F66" s="167"/>
      <c r="G66" s="247"/>
      <c r="H66" s="247"/>
      <c r="I66" s="247"/>
      <c r="J66" s="247"/>
      <c r="K66" s="247"/>
      <c r="L66" s="247"/>
      <c r="M66" s="247"/>
      <c r="N66" s="247"/>
      <c r="O66" s="247"/>
      <c r="P66" s="247"/>
      <c r="R66" s="803">
        <f t="shared" si="6"/>
        <v>0</v>
      </c>
    </row>
    <row r="67" spans="2:18" ht="28.5" customHeight="1" x14ac:dyDescent="0.25">
      <c r="B67" s="1090" t="str">
        <f>"per 31/12/"&amp;$I$13</f>
        <v>per 31/12/2017</v>
      </c>
      <c r="C67" s="1091"/>
      <c r="D67" s="1091"/>
      <c r="E67" s="1092"/>
      <c r="F67" s="167"/>
      <c r="G67" s="247">
        <f>+J425</f>
        <v>0</v>
      </c>
      <c r="H67" s="247"/>
      <c r="I67" s="247"/>
      <c r="J67" s="247"/>
      <c r="K67" s="247"/>
      <c r="L67" s="247"/>
      <c r="M67" s="247"/>
      <c r="N67" s="247"/>
      <c r="O67" s="247"/>
      <c r="P67" s="247"/>
      <c r="R67" s="803">
        <f t="shared" si="6"/>
        <v>0</v>
      </c>
    </row>
    <row r="68" spans="2:18" ht="28.5" customHeight="1" x14ac:dyDescent="0.25">
      <c r="B68" s="1090" t="str">
        <f>"per 31/12/"&amp;$J$13</f>
        <v>per 31/12/2018</v>
      </c>
      <c r="C68" s="1091"/>
      <c r="D68" s="1091"/>
      <c r="E68" s="1092"/>
      <c r="F68" s="167"/>
      <c r="G68" s="247">
        <f>+L430</f>
        <v>0</v>
      </c>
      <c r="H68" s="247">
        <f>+L431</f>
        <v>0</v>
      </c>
      <c r="I68" s="247"/>
      <c r="J68" s="247"/>
      <c r="K68" s="247"/>
      <c r="L68" s="247"/>
      <c r="M68" s="247"/>
      <c r="N68" s="247"/>
      <c r="O68" s="247"/>
      <c r="P68" s="247"/>
      <c r="R68" s="803">
        <f t="shared" si="6"/>
        <v>0</v>
      </c>
    </row>
    <row r="69" spans="2:18" ht="28.5" customHeight="1" x14ac:dyDescent="0.25">
      <c r="B69" s="1090" t="str">
        <f>"per 31/12/"&amp;$K$13</f>
        <v>per 31/12/2019</v>
      </c>
      <c r="C69" s="1091"/>
      <c r="D69" s="1091"/>
      <c r="E69" s="1092"/>
      <c r="F69" s="167"/>
      <c r="G69" s="247">
        <f>+L437</f>
        <v>0</v>
      </c>
      <c r="H69" s="247">
        <f>+L438</f>
        <v>0</v>
      </c>
      <c r="I69" s="247">
        <f>+L439</f>
        <v>0</v>
      </c>
      <c r="J69" s="247"/>
      <c r="K69" s="247"/>
      <c r="L69" s="247"/>
      <c r="M69" s="247"/>
      <c r="N69" s="247"/>
      <c r="O69" s="247"/>
      <c r="P69" s="247"/>
      <c r="R69" s="803">
        <f t="shared" si="6"/>
        <v>0</v>
      </c>
    </row>
    <row r="70" spans="2:18" ht="28.5" customHeight="1" x14ac:dyDescent="0.25">
      <c r="B70" s="1090" t="str">
        <f>"per 31/12/"&amp;$L$13</f>
        <v>per 31/12/2020</v>
      </c>
      <c r="C70" s="1091"/>
      <c r="D70" s="1091"/>
      <c r="E70" s="1092"/>
      <c r="F70" s="167"/>
      <c r="G70" s="247">
        <f>+L445</f>
        <v>0</v>
      </c>
      <c r="H70" s="247">
        <f>+L446</f>
        <v>0</v>
      </c>
      <c r="I70" s="247">
        <f>+L447</f>
        <v>0</v>
      </c>
      <c r="J70" s="247">
        <f>+L448</f>
        <v>0</v>
      </c>
      <c r="K70" s="247"/>
      <c r="L70" s="247"/>
      <c r="M70" s="247"/>
      <c r="N70" s="247"/>
      <c r="O70" s="247"/>
      <c r="P70" s="247"/>
      <c r="R70" s="803">
        <f t="shared" si="6"/>
        <v>0</v>
      </c>
    </row>
    <row r="71" spans="2:18" ht="28.5" customHeight="1" x14ac:dyDescent="0.25">
      <c r="B71" s="1090" t="str">
        <f>"per 31/12/"&amp;$M$13</f>
        <v>per 31/12/2021</v>
      </c>
      <c r="C71" s="1091"/>
      <c r="D71" s="1091"/>
      <c r="E71" s="1092"/>
      <c r="F71" s="167"/>
      <c r="G71" s="247">
        <f>+H454</f>
        <v>0</v>
      </c>
      <c r="H71" s="247">
        <f>+H455</f>
        <v>0</v>
      </c>
      <c r="I71" s="247">
        <f>+H456</f>
        <v>0</v>
      </c>
      <c r="J71" s="247">
        <f>+H457</f>
        <v>0</v>
      </c>
      <c r="K71" s="247">
        <f>+H458</f>
        <v>0</v>
      </c>
      <c r="L71" s="247"/>
      <c r="M71" s="247"/>
      <c r="N71" s="247"/>
      <c r="O71" s="247"/>
      <c r="P71" s="247"/>
      <c r="R71" s="803">
        <f t="shared" si="6"/>
        <v>0</v>
      </c>
    </row>
    <row r="72" spans="2:18" ht="28.5" customHeight="1" x14ac:dyDescent="0.25">
      <c r="B72" s="1090" t="str">
        <f>"per 31/12/"&amp;$N$13</f>
        <v>per 31/12/2022</v>
      </c>
      <c r="C72" s="1091"/>
      <c r="D72" s="1091"/>
      <c r="E72" s="1092"/>
      <c r="F72" s="167"/>
      <c r="G72" s="247">
        <f>+H464</f>
        <v>0</v>
      </c>
      <c r="H72" s="247">
        <f>+H465</f>
        <v>0</v>
      </c>
      <c r="I72" s="247">
        <f>+H466</f>
        <v>0</v>
      </c>
      <c r="J72" s="247">
        <f>+H467</f>
        <v>0</v>
      </c>
      <c r="K72" s="247">
        <f>+H468</f>
        <v>0</v>
      </c>
      <c r="L72" s="247">
        <f>+H469</f>
        <v>0</v>
      </c>
      <c r="M72" s="247"/>
      <c r="N72" s="247"/>
      <c r="O72" s="247"/>
      <c r="P72" s="247"/>
      <c r="R72" s="803">
        <f t="shared" si="6"/>
        <v>0</v>
      </c>
    </row>
    <row r="73" spans="2:18" ht="28.5" customHeight="1" x14ac:dyDescent="0.25">
      <c r="B73" s="1090" t="str">
        <f>"per 31/12/"&amp;$O$13</f>
        <v>per 31/12/2023</v>
      </c>
      <c r="C73" s="1091"/>
      <c r="D73" s="1091"/>
      <c r="E73" s="1092"/>
      <c r="F73" s="167"/>
      <c r="G73" s="247"/>
      <c r="H73" s="247"/>
      <c r="I73" s="247"/>
      <c r="J73" s="247"/>
      <c r="K73" s="247"/>
      <c r="L73" s="247">
        <f>+H476</f>
        <v>0</v>
      </c>
      <c r="M73" s="247"/>
      <c r="N73" s="247"/>
      <c r="O73" s="247"/>
      <c r="P73" s="247"/>
      <c r="R73" s="803">
        <f t="shared" si="6"/>
        <v>0</v>
      </c>
    </row>
    <row r="74" spans="2:18" ht="28.5" customHeight="1" x14ac:dyDescent="0.25">
      <c r="B74" s="1081" t="str">
        <f>"per 31/12/"&amp;$P$13</f>
        <v>per 31/12/2024</v>
      </c>
      <c r="C74" s="1082"/>
      <c r="D74" s="1082"/>
      <c r="E74" s="1083"/>
      <c r="F74" s="309"/>
      <c r="G74" s="520"/>
      <c r="H74" s="520"/>
      <c r="I74" s="520"/>
      <c r="J74" s="520"/>
      <c r="K74" s="520"/>
      <c r="L74" s="520"/>
      <c r="M74" s="520"/>
      <c r="N74" s="520"/>
      <c r="O74" s="520"/>
      <c r="P74" s="520"/>
      <c r="R74" s="805"/>
    </row>
    <row r="75" spans="2:18" ht="30" customHeight="1" x14ac:dyDescent="0.25">
      <c r="B75" s="1096" t="s">
        <v>169</v>
      </c>
      <c r="C75" s="1097"/>
      <c r="D75" s="1097"/>
      <c r="E75" s="1098"/>
      <c r="F75" s="167"/>
      <c r="G75" s="804"/>
      <c r="H75" s="804"/>
      <c r="I75" s="804"/>
      <c r="J75" s="804"/>
      <c r="K75" s="804"/>
      <c r="L75" s="804"/>
      <c r="M75" s="804"/>
      <c r="N75" s="804"/>
      <c r="O75" s="804"/>
      <c r="P75" s="804"/>
      <c r="R75" s="804"/>
    </row>
    <row r="76" spans="2:18" ht="28.5" customHeight="1" x14ac:dyDescent="0.25">
      <c r="B76" s="1090" t="str">
        <f>"per 31/12/"&amp;$G$13</f>
        <v>per 31/12/2015</v>
      </c>
      <c r="C76" s="1091"/>
      <c r="D76" s="1091"/>
      <c r="E76" s="1092"/>
      <c r="F76" s="167"/>
      <c r="G76" s="247"/>
      <c r="H76" s="247"/>
      <c r="I76" s="247"/>
      <c r="J76" s="247"/>
      <c r="K76" s="247"/>
      <c r="L76" s="247"/>
      <c r="M76" s="247"/>
      <c r="N76" s="247"/>
      <c r="O76" s="247"/>
      <c r="P76" s="247"/>
      <c r="R76" s="805"/>
    </row>
    <row r="77" spans="2:18" ht="28.5" customHeight="1" x14ac:dyDescent="0.25">
      <c r="B77" s="1090" t="str">
        <f>"per 31/12/"&amp;$H$13</f>
        <v>per 31/12/2016</v>
      </c>
      <c r="C77" s="1091"/>
      <c r="D77" s="1091"/>
      <c r="E77" s="1092"/>
      <c r="F77" s="167"/>
      <c r="G77" s="247"/>
      <c r="H77" s="247"/>
      <c r="I77" s="247"/>
      <c r="J77" s="247"/>
      <c r="K77" s="247"/>
      <c r="L77" s="247"/>
      <c r="M77" s="247"/>
      <c r="N77" s="247"/>
      <c r="O77" s="247"/>
      <c r="P77" s="247"/>
      <c r="R77" s="805"/>
    </row>
    <row r="78" spans="2:18" ht="28.5" customHeight="1" x14ac:dyDescent="0.25">
      <c r="B78" s="1090" t="str">
        <f>"per 31/12/"&amp;$I$13</f>
        <v>per 31/12/2017</v>
      </c>
      <c r="C78" s="1091"/>
      <c r="D78" s="1091"/>
      <c r="E78" s="1092"/>
      <c r="F78" s="167"/>
      <c r="G78" s="520"/>
      <c r="H78" s="247"/>
      <c r="I78" s="247"/>
      <c r="J78" s="247"/>
      <c r="K78" s="247"/>
      <c r="L78" s="247"/>
      <c r="M78" s="247"/>
      <c r="N78" s="247"/>
      <c r="O78" s="247"/>
      <c r="P78" s="247"/>
      <c r="R78" s="805"/>
    </row>
    <row r="79" spans="2:18" ht="28.5" customHeight="1" x14ac:dyDescent="0.25">
      <c r="B79" s="1090" t="str">
        <f>"per 31/12/"&amp;$J$13</f>
        <v>per 31/12/2018</v>
      </c>
      <c r="C79" s="1091"/>
      <c r="D79" s="1091"/>
      <c r="E79" s="1092"/>
      <c r="F79" s="167"/>
      <c r="G79" s="520"/>
      <c r="H79" s="520"/>
      <c r="I79" s="247"/>
      <c r="J79" s="247"/>
      <c r="K79" s="247"/>
      <c r="L79" s="247"/>
      <c r="M79" s="247"/>
      <c r="N79" s="247"/>
      <c r="O79" s="247"/>
      <c r="P79" s="247"/>
      <c r="R79" s="805"/>
    </row>
    <row r="80" spans="2:18" ht="28.5" customHeight="1" x14ac:dyDescent="0.25">
      <c r="B80" s="1090" t="str">
        <f>"per 31/12/"&amp;$K$13</f>
        <v>per 31/12/2019</v>
      </c>
      <c r="C80" s="1091"/>
      <c r="D80" s="1091"/>
      <c r="E80" s="1092"/>
      <c r="F80" s="167"/>
      <c r="G80" s="520"/>
      <c r="H80" s="520"/>
      <c r="I80" s="520"/>
      <c r="J80" s="247"/>
      <c r="K80" s="247"/>
      <c r="L80" s="247"/>
      <c r="M80" s="247"/>
      <c r="N80" s="247"/>
      <c r="O80" s="247"/>
      <c r="P80" s="247"/>
      <c r="R80" s="805"/>
    </row>
    <row r="81" spans="2:18" ht="28.5" customHeight="1" x14ac:dyDescent="0.25">
      <c r="B81" s="1090" t="str">
        <f>"per 31/12/"&amp;$L$13</f>
        <v>per 31/12/2020</v>
      </c>
      <c r="C81" s="1091"/>
      <c r="D81" s="1091"/>
      <c r="E81" s="1092"/>
      <c r="F81" s="167"/>
      <c r="G81" s="520"/>
      <c r="H81" s="520"/>
      <c r="I81" s="520"/>
      <c r="J81" s="520"/>
      <c r="K81" s="247"/>
      <c r="L81" s="247"/>
      <c r="M81" s="247"/>
      <c r="N81" s="247"/>
      <c r="O81" s="247"/>
      <c r="P81" s="247"/>
      <c r="R81" s="805"/>
    </row>
    <row r="82" spans="2:18" ht="28.5" customHeight="1" x14ac:dyDescent="0.25">
      <c r="B82" s="1090" t="str">
        <f>"per 31/12/"&amp;$M$13</f>
        <v>per 31/12/2021</v>
      </c>
      <c r="C82" s="1091"/>
      <c r="D82" s="1091"/>
      <c r="E82" s="1092"/>
      <c r="F82" s="167"/>
      <c r="G82" s="520"/>
      <c r="H82" s="520"/>
      <c r="I82" s="520"/>
      <c r="J82" s="520"/>
      <c r="K82" s="520"/>
      <c r="L82" s="247"/>
      <c r="M82" s="247"/>
      <c r="N82" s="247"/>
      <c r="O82" s="247"/>
      <c r="P82" s="247"/>
      <c r="R82" s="805"/>
    </row>
    <row r="83" spans="2:18" ht="28.5" customHeight="1" x14ac:dyDescent="0.25">
      <c r="B83" s="1090" t="str">
        <f>"per 31/12/"&amp;$N$13</f>
        <v>per 31/12/2022</v>
      </c>
      <c r="C83" s="1091"/>
      <c r="D83" s="1091"/>
      <c r="E83" s="1092"/>
      <c r="F83" s="167"/>
      <c r="G83" s="520"/>
      <c r="H83" s="520"/>
      <c r="I83" s="520"/>
      <c r="J83" s="520"/>
      <c r="K83" s="520"/>
      <c r="L83" s="520"/>
      <c r="M83" s="247"/>
      <c r="N83" s="247"/>
      <c r="O83" s="247"/>
      <c r="P83" s="247"/>
      <c r="R83" s="805"/>
    </row>
    <row r="84" spans="2:18" ht="28.5" customHeight="1" x14ac:dyDescent="0.25">
      <c r="B84" s="1090" t="str">
        <f>"per 31/12/"&amp;$O$13</f>
        <v>per 31/12/2023</v>
      </c>
      <c r="C84" s="1091"/>
      <c r="D84" s="1091"/>
      <c r="E84" s="1092"/>
      <c r="F84" s="167"/>
      <c r="G84" s="247"/>
      <c r="H84" s="247"/>
      <c r="I84" s="247"/>
      <c r="J84" s="247"/>
      <c r="K84" s="247"/>
      <c r="L84" s="520"/>
      <c r="M84" s="520"/>
      <c r="N84" s="247"/>
      <c r="O84" s="247"/>
      <c r="P84" s="247"/>
      <c r="R84" s="805"/>
    </row>
    <row r="85" spans="2:18" ht="28.5" customHeight="1" x14ac:dyDescent="0.25">
      <c r="B85" s="1090" t="str">
        <f>"per 31/12/"&amp;$P$13</f>
        <v>per 31/12/2024</v>
      </c>
      <c r="C85" s="1091"/>
      <c r="D85" s="1091"/>
      <c r="E85" s="1092"/>
      <c r="F85" s="167"/>
      <c r="G85" s="247"/>
      <c r="H85" s="247"/>
      <c r="I85" s="247"/>
      <c r="J85" s="247"/>
      <c r="K85" s="247"/>
      <c r="L85" s="247"/>
      <c r="M85" s="520"/>
      <c r="N85" s="520"/>
      <c r="O85" s="247"/>
      <c r="P85" s="247"/>
      <c r="R85" s="805"/>
    </row>
    <row r="86" spans="2:18" ht="30" customHeight="1" x14ac:dyDescent="0.25">
      <c r="B86" s="1096" t="s">
        <v>67</v>
      </c>
      <c r="C86" s="1097"/>
      <c r="D86" s="1097"/>
      <c r="E86" s="1098"/>
      <c r="F86" s="167"/>
      <c r="G86" s="804"/>
      <c r="H86" s="804"/>
      <c r="I86" s="804"/>
      <c r="J86" s="804"/>
      <c r="K86" s="804"/>
      <c r="L86" s="804"/>
      <c r="M86" s="804"/>
      <c r="N86" s="804"/>
      <c r="O86" s="804"/>
      <c r="P86" s="804"/>
      <c r="R86" s="804"/>
    </row>
    <row r="87" spans="2:18" ht="28.5" customHeight="1" x14ac:dyDescent="0.25">
      <c r="B87" s="1090" t="str">
        <f>"per 31/12/"&amp;$G$13</f>
        <v>per 31/12/2015</v>
      </c>
      <c r="C87" s="1091"/>
      <c r="D87" s="1091"/>
      <c r="E87" s="1092"/>
      <c r="F87" s="167"/>
      <c r="G87" s="247"/>
      <c r="H87" s="247"/>
      <c r="I87" s="247"/>
      <c r="J87" s="247"/>
      <c r="K87" s="247"/>
      <c r="L87" s="247"/>
      <c r="M87" s="247"/>
      <c r="N87" s="247"/>
      <c r="O87" s="247"/>
      <c r="P87" s="247"/>
      <c r="R87" s="803">
        <f t="shared" si="4"/>
        <v>0</v>
      </c>
    </row>
    <row r="88" spans="2:18" ht="28.5" customHeight="1" x14ac:dyDescent="0.25">
      <c r="B88" s="1090" t="str">
        <f>"per 31/12/"&amp;$H$13</f>
        <v>per 31/12/2016</v>
      </c>
      <c r="C88" s="1091"/>
      <c r="D88" s="1091"/>
      <c r="E88" s="1092"/>
      <c r="F88" s="167"/>
      <c r="G88" s="247"/>
      <c r="H88" s="247"/>
      <c r="I88" s="247"/>
      <c r="J88" s="247"/>
      <c r="K88" s="247"/>
      <c r="L88" s="247"/>
      <c r="M88" s="247"/>
      <c r="N88" s="247"/>
      <c r="O88" s="247"/>
      <c r="P88" s="247"/>
      <c r="R88" s="803">
        <f t="shared" si="4"/>
        <v>0</v>
      </c>
    </row>
    <row r="89" spans="2:18" ht="28.5" customHeight="1" x14ac:dyDescent="0.25">
      <c r="B89" s="1090" t="str">
        <f>"per 31/12/"&amp;$I$13</f>
        <v>per 31/12/2017</v>
      </c>
      <c r="C89" s="1091"/>
      <c r="D89" s="1091"/>
      <c r="E89" s="1092"/>
      <c r="F89" s="167"/>
      <c r="G89" s="247">
        <f>J502</f>
        <v>0</v>
      </c>
      <c r="H89" s="247"/>
      <c r="I89" s="247"/>
      <c r="J89" s="247"/>
      <c r="K89" s="247"/>
      <c r="L89" s="247"/>
      <c r="M89" s="247"/>
      <c r="N89" s="247"/>
      <c r="O89" s="247"/>
      <c r="P89" s="247"/>
      <c r="R89" s="803">
        <f t="shared" si="4"/>
        <v>0</v>
      </c>
    </row>
    <row r="90" spans="2:18" ht="28.5" customHeight="1" x14ac:dyDescent="0.25">
      <c r="B90" s="1090" t="str">
        <f>"per 31/12/"&amp;$J$13</f>
        <v>per 31/12/2018</v>
      </c>
      <c r="C90" s="1091"/>
      <c r="D90" s="1091"/>
      <c r="E90" s="1092"/>
      <c r="F90" s="167"/>
      <c r="G90" s="247">
        <f>L507</f>
        <v>0</v>
      </c>
      <c r="H90" s="247">
        <f>L508</f>
        <v>0</v>
      </c>
      <c r="I90" s="247"/>
      <c r="J90" s="247"/>
      <c r="K90" s="247"/>
      <c r="L90" s="247"/>
      <c r="M90" s="247"/>
      <c r="N90" s="247"/>
      <c r="O90" s="247"/>
      <c r="P90" s="247"/>
      <c r="R90" s="803">
        <f t="shared" si="4"/>
        <v>0</v>
      </c>
    </row>
    <row r="91" spans="2:18" ht="28.5" customHeight="1" x14ac:dyDescent="0.25">
      <c r="B91" s="1090" t="str">
        <f>"per 31/12/"&amp;$K$13</f>
        <v>per 31/12/2019</v>
      </c>
      <c r="C91" s="1091"/>
      <c r="D91" s="1091"/>
      <c r="E91" s="1092"/>
      <c r="F91" s="167"/>
      <c r="G91" s="247">
        <f>L514</f>
        <v>0</v>
      </c>
      <c r="H91" s="247">
        <f>L515</f>
        <v>0</v>
      </c>
      <c r="I91" s="247">
        <f>L516</f>
        <v>0</v>
      </c>
      <c r="J91" s="247"/>
      <c r="K91" s="247"/>
      <c r="L91" s="247"/>
      <c r="M91" s="247"/>
      <c r="N91" s="247"/>
      <c r="O91" s="247"/>
      <c r="P91" s="247"/>
      <c r="R91" s="803">
        <f t="shared" si="4"/>
        <v>0</v>
      </c>
    </row>
    <row r="92" spans="2:18" ht="28.5" customHeight="1" x14ac:dyDescent="0.25">
      <c r="B92" s="1090" t="str">
        <f>"per 31/12/"&amp;$L$13</f>
        <v>per 31/12/2020</v>
      </c>
      <c r="C92" s="1091"/>
      <c r="D92" s="1091"/>
      <c r="E92" s="1092"/>
      <c r="F92" s="167"/>
      <c r="G92" s="247">
        <f>L522</f>
        <v>0</v>
      </c>
      <c r="H92" s="247">
        <f>L523</f>
        <v>0</v>
      </c>
      <c r="I92" s="247">
        <f>L524</f>
        <v>0</v>
      </c>
      <c r="J92" s="247">
        <f>L525</f>
        <v>0</v>
      </c>
      <c r="K92" s="247"/>
      <c r="L92" s="247"/>
      <c r="M92" s="247"/>
      <c r="N92" s="247"/>
      <c r="O92" s="247"/>
      <c r="P92" s="247"/>
      <c r="R92" s="803">
        <f t="shared" si="4"/>
        <v>0</v>
      </c>
    </row>
    <row r="93" spans="2:18" ht="28.5" customHeight="1" x14ac:dyDescent="0.25">
      <c r="B93" s="1090" t="str">
        <f>"per 31/12/"&amp;$M$13</f>
        <v>per 31/12/2021</v>
      </c>
      <c r="C93" s="1091"/>
      <c r="D93" s="1091"/>
      <c r="E93" s="1092"/>
      <c r="F93" s="167"/>
      <c r="G93" s="247">
        <f>H531</f>
        <v>0</v>
      </c>
      <c r="H93" s="247">
        <f>H532</f>
        <v>0</v>
      </c>
      <c r="I93" s="247">
        <f>H533</f>
        <v>0</v>
      </c>
      <c r="J93" s="247">
        <f>H534</f>
        <v>0</v>
      </c>
      <c r="K93" s="247">
        <f>H535</f>
        <v>0</v>
      </c>
      <c r="L93" s="247"/>
      <c r="M93" s="247"/>
      <c r="N93" s="247"/>
      <c r="O93" s="247"/>
      <c r="P93" s="247"/>
      <c r="R93" s="803">
        <f t="shared" si="4"/>
        <v>0</v>
      </c>
    </row>
    <row r="94" spans="2:18" ht="28.5" customHeight="1" x14ac:dyDescent="0.25">
      <c r="B94" s="1090" t="str">
        <f>"per 31/12/"&amp;$N$13</f>
        <v>per 31/12/2022</v>
      </c>
      <c r="C94" s="1091"/>
      <c r="D94" s="1091"/>
      <c r="E94" s="1092"/>
      <c r="F94" s="167"/>
      <c r="G94" s="247">
        <f>H541</f>
        <v>0</v>
      </c>
      <c r="H94" s="247">
        <f>H542</f>
        <v>0</v>
      </c>
      <c r="I94" s="247">
        <f>H543</f>
        <v>0</v>
      </c>
      <c r="J94" s="247">
        <f>H544</f>
        <v>0</v>
      </c>
      <c r="K94" s="247">
        <f>H545</f>
        <v>0</v>
      </c>
      <c r="L94" s="247">
        <f>H546</f>
        <v>0</v>
      </c>
      <c r="M94" s="247"/>
      <c r="N94" s="247"/>
      <c r="O94" s="247"/>
      <c r="P94" s="247"/>
      <c r="R94" s="803">
        <f t="shared" si="4"/>
        <v>0</v>
      </c>
    </row>
    <row r="95" spans="2:18" ht="28.5" customHeight="1" x14ac:dyDescent="0.25">
      <c r="B95" s="1090" t="str">
        <f>"per 31/12/"&amp;$O$13</f>
        <v>per 31/12/2023</v>
      </c>
      <c r="C95" s="1091"/>
      <c r="D95" s="1091"/>
      <c r="E95" s="1092"/>
      <c r="F95" s="167"/>
      <c r="G95" s="247"/>
      <c r="H95" s="247"/>
      <c r="I95" s="247"/>
      <c r="J95" s="247"/>
      <c r="K95" s="247"/>
      <c r="L95" s="247">
        <f>H552</f>
        <v>0</v>
      </c>
      <c r="M95" s="247">
        <f>H553</f>
        <v>0</v>
      </c>
      <c r="N95" s="247"/>
      <c r="O95" s="247"/>
      <c r="P95" s="247"/>
      <c r="R95" s="803">
        <f t="shared" si="4"/>
        <v>0</v>
      </c>
    </row>
    <row r="96" spans="2:18" ht="28.5" customHeight="1" x14ac:dyDescent="0.25">
      <c r="B96" s="1090" t="str">
        <f>"per 31/12/"&amp;$P$13</f>
        <v>per 31/12/2024</v>
      </c>
      <c r="C96" s="1091"/>
      <c r="D96" s="1091"/>
      <c r="E96" s="1092"/>
      <c r="F96" s="167"/>
      <c r="G96" s="247"/>
      <c r="H96" s="247"/>
      <c r="I96" s="247"/>
      <c r="J96" s="247"/>
      <c r="K96" s="247"/>
      <c r="L96" s="247"/>
      <c r="M96" s="247">
        <f>H559</f>
        <v>0</v>
      </c>
      <c r="N96" s="247">
        <f>H560</f>
        <v>0</v>
      </c>
      <c r="O96" s="247"/>
      <c r="P96" s="247"/>
      <c r="R96" s="803">
        <f t="shared" si="4"/>
        <v>0</v>
      </c>
    </row>
    <row r="97" spans="2:18" ht="26.25" customHeight="1" x14ac:dyDescent="0.25">
      <c r="B97" s="1096" t="s">
        <v>96</v>
      </c>
      <c r="C97" s="1097"/>
      <c r="D97" s="1097"/>
      <c r="E97" s="1098"/>
      <c r="F97" s="167"/>
      <c r="G97" s="804"/>
      <c r="H97" s="804"/>
      <c r="I97" s="804"/>
      <c r="J97" s="804"/>
      <c r="K97" s="804"/>
      <c r="L97" s="804"/>
      <c r="M97" s="804"/>
      <c r="N97" s="804"/>
      <c r="O97" s="804"/>
      <c r="P97" s="804"/>
      <c r="R97" s="804"/>
    </row>
    <row r="98" spans="2:18" ht="28.5" customHeight="1" x14ac:dyDescent="0.25">
      <c r="B98" s="1090" t="str">
        <f>"per 31/12/"&amp;$G$13</f>
        <v>per 31/12/2015</v>
      </c>
      <c r="C98" s="1091"/>
      <c r="D98" s="1091"/>
      <c r="E98" s="1092"/>
      <c r="F98" s="167"/>
      <c r="G98" s="247"/>
      <c r="H98" s="247"/>
      <c r="I98" s="247"/>
      <c r="J98" s="247"/>
      <c r="K98" s="247"/>
      <c r="L98" s="247"/>
      <c r="M98" s="247"/>
      <c r="N98" s="247"/>
      <c r="O98" s="247"/>
      <c r="P98" s="247"/>
      <c r="R98" s="803">
        <f t="shared" si="4"/>
        <v>0</v>
      </c>
    </row>
    <row r="99" spans="2:18" ht="28.5" customHeight="1" x14ac:dyDescent="0.25">
      <c r="B99" s="1090" t="str">
        <f>"per 31/12/"&amp;$H$13</f>
        <v>per 31/12/2016</v>
      </c>
      <c r="C99" s="1091"/>
      <c r="D99" s="1091"/>
      <c r="E99" s="1092"/>
      <c r="F99" s="167"/>
      <c r="G99" s="247"/>
      <c r="H99" s="247"/>
      <c r="I99" s="247"/>
      <c r="J99" s="247"/>
      <c r="K99" s="247"/>
      <c r="L99" s="247"/>
      <c r="M99" s="247"/>
      <c r="N99" s="247"/>
      <c r="O99" s="247"/>
      <c r="P99" s="247"/>
      <c r="R99" s="803">
        <f t="shared" si="4"/>
        <v>0</v>
      </c>
    </row>
    <row r="100" spans="2:18" ht="28.5" customHeight="1" x14ac:dyDescent="0.25">
      <c r="B100" s="1090" t="str">
        <f>"per 31/12/"&amp;$I$13</f>
        <v>per 31/12/2017</v>
      </c>
      <c r="C100" s="1091"/>
      <c r="D100" s="1091"/>
      <c r="E100" s="1092"/>
      <c r="F100" s="167"/>
      <c r="G100" s="247">
        <f>J577</f>
        <v>0</v>
      </c>
      <c r="H100" s="247"/>
      <c r="I100" s="247"/>
      <c r="J100" s="247"/>
      <c r="K100" s="247"/>
      <c r="L100" s="247"/>
      <c r="M100" s="247"/>
      <c r="N100" s="247"/>
      <c r="O100" s="247"/>
      <c r="P100" s="247"/>
      <c r="R100" s="803">
        <f t="shared" si="4"/>
        <v>0</v>
      </c>
    </row>
    <row r="101" spans="2:18" ht="28.5" customHeight="1" x14ac:dyDescent="0.25">
      <c r="B101" s="1090" t="str">
        <f>"per 31/12/"&amp;$J$13</f>
        <v>per 31/12/2018</v>
      </c>
      <c r="C101" s="1091"/>
      <c r="D101" s="1091"/>
      <c r="E101" s="1092"/>
      <c r="F101" s="167"/>
      <c r="G101" s="247">
        <f>L582</f>
        <v>0</v>
      </c>
      <c r="H101" s="247">
        <f>L583</f>
        <v>0</v>
      </c>
      <c r="I101" s="247"/>
      <c r="J101" s="247"/>
      <c r="K101" s="247"/>
      <c r="L101" s="247"/>
      <c r="M101" s="247"/>
      <c r="N101" s="247"/>
      <c r="O101" s="247"/>
      <c r="P101" s="247"/>
      <c r="R101" s="803">
        <f t="shared" si="4"/>
        <v>0</v>
      </c>
    </row>
    <row r="102" spans="2:18" ht="28.5" customHeight="1" x14ac:dyDescent="0.25">
      <c r="B102" s="1090" t="str">
        <f>"per 31/12/"&amp;$K$13</f>
        <v>per 31/12/2019</v>
      </c>
      <c r="C102" s="1091"/>
      <c r="D102" s="1091"/>
      <c r="E102" s="1092"/>
      <c r="F102" s="167"/>
      <c r="G102" s="247">
        <f>L589</f>
        <v>0</v>
      </c>
      <c r="H102" s="247">
        <f>L590</f>
        <v>0</v>
      </c>
      <c r="I102" s="247">
        <f>L591</f>
        <v>0</v>
      </c>
      <c r="J102" s="247"/>
      <c r="K102" s="247"/>
      <c r="L102" s="247"/>
      <c r="M102" s="247"/>
      <c r="N102" s="247"/>
      <c r="O102" s="247"/>
      <c r="P102" s="247"/>
      <c r="R102" s="803">
        <f t="shared" si="4"/>
        <v>0</v>
      </c>
    </row>
    <row r="103" spans="2:18" ht="28.5" customHeight="1" x14ac:dyDescent="0.25">
      <c r="B103" s="1090" t="str">
        <f>"per 31/12/"&amp;$L$13</f>
        <v>per 31/12/2020</v>
      </c>
      <c r="C103" s="1091"/>
      <c r="D103" s="1091"/>
      <c r="E103" s="1092"/>
      <c r="F103" s="167"/>
      <c r="G103" s="247">
        <f>L597</f>
        <v>0</v>
      </c>
      <c r="H103" s="247">
        <f>L598</f>
        <v>0</v>
      </c>
      <c r="I103" s="247">
        <f>L599</f>
        <v>0</v>
      </c>
      <c r="J103" s="247">
        <f>L600</f>
        <v>0</v>
      </c>
      <c r="K103" s="247"/>
      <c r="L103" s="247"/>
      <c r="M103" s="247"/>
      <c r="N103" s="247"/>
      <c r="O103" s="247"/>
      <c r="P103" s="247"/>
      <c r="R103" s="803">
        <f t="shared" si="4"/>
        <v>0</v>
      </c>
    </row>
    <row r="104" spans="2:18" ht="28.5" customHeight="1" x14ac:dyDescent="0.25">
      <c r="B104" s="1090" t="str">
        <f>"per 31/12/"&amp;$M$13</f>
        <v>per 31/12/2021</v>
      </c>
      <c r="C104" s="1091"/>
      <c r="D104" s="1091"/>
      <c r="E104" s="1092"/>
      <c r="F104" s="167"/>
      <c r="G104" s="247">
        <f>H606</f>
        <v>0</v>
      </c>
      <c r="H104" s="247">
        <f>H607</f>
        <v>0</v>
      </c>
      <c r="I104" s="247">
        <f>H608</f>
        <v>0</v>
      </c>
      <c r="J104" s="247">
        <f>H609</f>
        <v>0</v>
      </c>
      <c r="K104" s="247">
        <f>H610</f>
        <v>0</v>
      </c>
      <c r="L104" s="247"/>
      <c r="M104" s="247"/>
      <c r="N104" s="247"/>
      <c r="O104" s="247"/>
      <c r="P104" s="247"/>
      <c r="R104" s="803">
        <f t="shared" si="4"/>
        <v>0</v>
      </c>
    </row>
    <row r="105" spans="2:18" ht="28.5" customHeight="1" x14ac:dyDescent="0.25">
      <c r="B105" s="1090" t="str">
        <f>"per 31/12/"&amp;$N$13</f>
        <v>per 31/12/2022</v>
      </c>
      <c r="C105" s="1091"/>
      <c r="D105" s="1091"/>
      <c r="E105" s="1092"/>
      <c r="F105" s="167"/>
      <c r="G105" s="247">
        <f>H616</f>
        <v>0</v>
      </c>
      <c r="H105" s="247">
        <f>H617</f>
        <v>0</v>
      </c>
      <c r="I105" s="247">
        <f>H618</f>
        <v>0</v>
      </c>
      <c r="J105" s="247">
        <f>H619</f>
        <v>0</v>
      </c>
      <c r="K105" s="247">
        <f>H620</f>
        <v>0</v>
      </c>
      <c r="L105" s="247">
        <f>H621</f>
        <v>0</v>
      </c>
      <c r="M105" s="247"/>
      <c r="N105" s="247"/>
      <c r="O105" s="247"/>
      <c r="P105" s="247"/>
      <c r="R105" s="803">
        <f t="shared" si="4"/>
        <v>0</v>
      </c>
    </row>
    <row r="106" spans="2:18" ht="28.5" customHeight="1" x14ac:dyDescent="0.25">
      <c r="B106" s="1090" t="str">
        <f>"per 31/12/"&amp;$O$13</f>
        <v>per 31/12/2023</v>
      </c>
      <c r="C106" s="1091"/>
      <c r="D106" s="1091"/>
      <c r="E106" s="1092"/>
      <c r="F106" s="167"/>
      <c r="G106" s="247"/>
      <c r="H106" s="247"/>
      <c r="I106" s="247"/>
      <c r="J106" s="247"/>
      <c r="K106" s="247"/>
      <c r="L106" s="247">
        <f>H627</f>
        <v>0</v>
      </c>
      <c r="M106" s="247">
        <f>H628</f>
        <v>0</v>
      </c>
      <c r="N106" s="247"/>
      <c r="O106" s="247"/>
      <c r="P106" s="247"/>
      <c r="R106" s="803">
        <f t="shared" si="4"/>
        <v>0</v>
      </c>
    </row>
    <row r="107" spans="2:18" ht="28.5" customHeight="1" x14ac:dyDescent="0.25">
      <c r="B107" s="1090" t="str">
        <f>"per 31/12/"&amp;$P$13</f>
        <v>per 31/12/2024</v>
      </c>
      <c r="C107" s="1091"/>
      <c r="D107" s="1091"/>
      <c r="E107" s="1092"/>
      <c r="F107" s="167"/>
      <c r="G107" s="247"/>
      <c r="H107" s="247"/>
      <c r="I107" s="247"/>
      <c r="J107" s="247"/>
      <c r="K107" s="247"/>
      <c r="L107" s="247"/>
      <c r="M107" s="247">
        <f>H634</f>
        <v>0</v>
      </c>
      <c r="N107" s="520"/>
      <c r="O107" s="247"/>
      <c r="P107" s="247"/>
      <c r="R107" s="803">
        <f t="shared" ref="R107" si="7">SUM(G107:P107)</f>
        <v>0</v>
      </c>
    </row>
    <row r="108" spans="2:18" ht="33" customHeight="1" x14ac:dyDescent="0.25">
      <c r="B108" s="1096" t="s">
        <v>357</v>
      </c>
      <c r="C108" s="1097"/>
      <c r="D108" s="1097"/>
      <c r="E108" s="1098"/>
      <c r="F108" s="167"/>
      <c r="G108" s="804"/>
      <c r="H108" s="804"/>
      <c r="I108" s="804"/>
      <c r="J108" s="804"/>
      <c r="K108" s="804"/>
      <c r="L108" s="804"/>
      <c r="M108" s="804"/>
      <c r="N108" s="804"/>
      <c r="O108" s="804"/>
      <c r="P108" s="804"/>
      <c r="R108" s="804"/>
    </row>
    <row r="109" spans="2:18" ht="28.5" customHeight="1" x14ac:dyDescent="0.25">
      <c r="B109" s="1090" t="str">
        <f>"per 31/12/"&amp;$G$13</f>
        <v>per 31/12/2015</v>
      </c>
      <c r="C109" s="1091"/>
      <c r="D109" s="1091"/>
      <c r="E109" s="1092"/>
      <c r="F109" s="167"/>
      <c r="G109" s="247"/>
      <c r="H109" s="247"/>
      <c r="I109" s="247"/>
      <c r="J109" s="247"/>
      <c r="K109" s="247"/>
      <c r="L109" s="247"/>
      <c r="M109" s="247"/>
      <c r="N109" s="247"/>
      <c r="O109" s="247"/>
      <c r="P109" s="247"/>
      <c r="R109" s="803">
        <f t="shared" ref="R109:R118" si="8">SUM(G109:P109)</f>
        <v>0</v>
      </c>
    </row>
    <row r="110" spans="2:18" ht="28.5" customHeight="1" x14ac:dyDescent="0.25">
      <c r="B110" s="1090" t="str">
        <f>"per 31/12/"&amp;$H$13</f>
        <v>per 31/12/2016</v>
      </c>
      <c r="C110" s="1091"/>
      <c r="D110" s="1091"/>
      <c r="E110" s="1092"/>
      <c r="F110" s="167"/>
      <c r="G110" s="247"/>
      <c r="H110" s="247"/>
      <c r="I110" s="247"/>
      <c r="J110" s="247"/>
      <c r="K110" s="247"/>
      <c r="L110" s="247"/>
      <c r="M110" s="247"/>
      <c r="N110" s="247"/>
      <c r="O110" s="247"/>
      <c r="P110" s="247"/>
      <c r="R110" s="803">
        <f t="shared" si="8"/>
        <v>0</v>
      </c>
    </row>
    <row r="111" spans="2:18" ht="28.5" customHeight="1" x14ac:dyDescent="0.25">
      <c r="B111" s="1090" t="str">
        <f>"per 31/12/"&amp;$I$13</f>
        <v>per 31/12/2017</v>
      </c>
      <c r="C111" s="1091"/>
      <c r="D111" s="1091"/>
      <c r="E111" s="1092"/>
      <c r="F111" s="167"/>
      <c r="G111" s="247">
        <f>J651</f>
        <v>0</v>
      </c>
      <c r="H111" s="247"/>
      <c r="I111" s="247"/>
      <c r="J111" s="247"/>
      <c r="K111" s="247"/>
      <c r="L111" s="247"/>
      <c r="M111" s="247"/>
      <c r="N111" s="247"/>
      <c r="O111" s="247"/>
      <c r="P111" s="247"/>
      <c r="R111" s="803">
        <f t="shared" si="8"/>
        <v>0</v>
      </c>
    </row>
    <row r="112" spans="2:18" ht="28.5" customHeight="1" x14ac:dyDescent="0.25">
      <c r="B112" s="1090" t="str">
        <f>"per 31/12/"&amp;$J$13</f>
        <v>per 31/12/2018</v>
      </c>
      <c r="C112" s="1091"/>
      <c r="D112" s="1091"/>
      <c r="E112" s="1092"/>
      <c r="F112" s="167"/>
      <c r="G112" s="247">
        <f>L656</f>
        <v>0</v>
      </c>
      <c r="H112" s="247">
        <f>L657</f>
        <v>0</v>
      </c>
      <c r="I112" s="247"/>
      <c r="J112" s="247"/>
      <c r="K112" s="247"/>
      <c r="L112" s="247"/>
      <c r="M112" s="247"/>
      <c r="N112" s="247"/>
      <c r="O112" s="247"/>
      <c r="P112" s="247"/>
      <c r="R112" s="803">
        <f t="shared" si="8"/>
        <v>0</v>
      </c>
    </row>
    <row r="113" spans="1:18" ht="28.5" customHeight="1" x14ac:dyDescent="0.25">
      <c r="B113" s="1090" t="str">
        <f>"per 31/12/"&amp;$K$13</f>
        <v>per 31/12/2019</v>
      </c>
      <c r="C113" s="1091"/>
      <c r="D113" s="1091"/>
      <c r="E113" s="1092"/>
      <c r="F113" s="167"/>
      <c r="G113" s="247">
        <f>L663</f>
        <v>0</v>
      </c>
      <c r="H113" s="247">
        <f>L664</f>
        <v>0</v>
      </c>
      <c r="I113" s="247">
        <f>L665</f>
        <v>0</v>
      </c>
      <c r="J113" s="247"/>
      <c r="K113" s="247"/>
      <c r="L113" s="247"/>
      <c r="M113" s="247"/>
      <c r="N113" s="247"/>
      <c r="O113" s="247"/>
      <c r="P113" s="247"/>
      <c r="R113" s="803">
        <f t="shared" si="8"/>
        <v>0</v>
      </c>
    </row>
    <row r="114" spans="1:18" ht="28.5" customHeight="1" x14ac:dyDescent="0.25">
      <c r="B114" s="1090" t="str">
        <f>"per 31/12/"&amp;$L$13</f>
        <v>per 31/12/2020</v>
      </c>
      <c r="C114" s="1091"/>
      <c r="D114" s="1091"/>
      <c r="E114" s="1092"/>
      <c r="F114" s="167"/>
      <c r="G114" s="247">
        <f>L671</f>
        <v>0</v>
      </c>
      <c r="H114" s="247">
        <f>L672</f>
        <v>0</v>
      </c>
      <c r="I114" s="247">
        <f>L673</f>
        <v>0</v>
      </c>
      <c r="J114" s="247">
        <f>L674</f>
        <v>0</v>
      </c>
      <c r="K114" s="247"/>
      <c r="L114" s="247"/>
      <c r="M114" s="247"/>
      <c r="N114" s="247"/>
      <c r="O114" s="247"/>
      <c r="P114" s="247"/>
      <c r="R114" s="803">
        <f t="shared" si="8"/>
        <v>0</v>
      </c>
    </row>
    <row r="115" spans="1:18" ht="28.5" customHeight="1" x14ac:dyDescent="0.25">
      <c r="B115" s="1090" t="str">
        <f>"per 31/12/"&amp;$M$13</f>
        <v>per 31/12/2021</v>
      </c>
      <c r="C115" s="1091"/>
      <c r="D115" s="1091"/>
      <c r="E115" s="1092"/>
      <c r="F115" s="167"/>
      <c r="G115" s="247">
        <f>H680</f>
        <v>0</v>
      </c>
      <c r="H115" s="247">
        <f>H681</f>
        <v>0</v>
      </c>
      <c r="I115" s="247">
        <f>H682</f>
        <v>0</v>
      </c>
      <c r="J115" s="247">
        <f>H683</f>
        <v>0</v>
      </c>
      <c r="K115" s="247">
        <f>H684</f>
        <v>0</v>
      </c>
      <c r="L115" s="247"/>
      <c r="M115" s="247"/>
      <c r="N115" s="247"/>
      <c r="O115" s="247"/>
      <c r="P115" s="247"/>
      <c r="R115" s="803">
        <f t="shared" si="8"/>
        <v>0</v>
      </c>
    </row>
    <row r="116" spans="1:18" ht="28.5" customHeight="1" x14ac:dyDescent="0.25">
      <c r="B116" s="1090" t="str">
        <f>"per 31/12/"&amp;$N$13</f>
        <v>per 31/12/2022</v>
      </c>
      <c r="C116" s="1091"/>
      <c r="D116" s="1091"/>
      <c r="E116" s="1092"/>
      <c r="F116" s="167"/>
      <c r="G116" s="247">
        <f>H690</f>
        <v>0</v>
      </c>
      <c r="H116" s="247">
        <f>H691</f>
        <v>0</v>
      </c>
      <c r="I116" s="247">
        <f>H692</f>
        <v>0</v>
      </c>
      <c r="J116" s="247">
        <f>H693</f>
        <v>0</v>
      </c>
      <c r="K116" s="247">
        <f>H694</f>
        <v>0</v>
      </c>
      <c r="L116" s="247">
        <f>H695</f>
        <v>0</v>
      </c>
      <c r="M116" s="247"/>
      <c r="N116" s="247"/>
      <c r="O116" s="247"/>
      <c r="P116" s="247"/>
      <c r="R116" s="803">
        <f t="shared" si="8"/>
        <v>0</v>
      </c>
    </row>
    <row r="117" spans="1:18" ht="28.5" customHeight="1" x14ac:dyDescent="0.25">
      <c r="B117" s="1090" t="str">
        <f>"per 31/12/"&amp;$O$13</f>
        <v>per 31/12/2023</v>
      </c>
      <c r="C117" s="1091"/>
      <c r="D117" s="1091"/>
      <c r="E117" s="1092"/>
      <c r="F117" s="167"/>
      <c r="G117" s="247"/>
      <c r="H117" s="247"/>
      <c r="I117" s="247"/>
      <c r="J117" s="247"/>
      <c r="K117" s="247"/>
      <c r="L117" s="247">
        <f>H701</f>
        <v>0</v>
      </c>
      <c r="M117" s="247">
        <f>H702</f>
        <v>0</v>
      </c>
      <c r="N117" s="247"/>
      <c r="O117" s="247"/>
      <c r="P117" s="247"/>
      <c r="R117" s="803">
        <f t="shared" si="8"/>
        <v>0</v>
      </c>
    </row>
    <row r="118" spans="1:18" ht="28.5" customHeight="1" x14ac:dyDescent="0.25">
      <c r="B118" s="1090" t="str">
        <f>"per 31/12/"&amp;$P$13</f>
        <v>per 31/12/2024</v>
      </c>
      <c r="C118" s="1091"/>
      <c r="D118" s="1091"/>
      <c r="E118" s="1092"/>
      <c r="F118" s="167"/>
      <c r="G118" s="247"/>
      <c r="H118" s="247"/>
      <c r="I118" s="247"/>
      <c r="J118" s="247"/>
      <c r="K118" s="247"/>
      <c r="L118" s="247"/>
      <c r="M118" s="247">
        <f>H708</f>
        <v>0</v>
      </c>
      <c r="N118" s="247">
        <f>H709</f>
        <v>0</v>
      </c>
      <c r="O118" s="247"/>
      <c r="P118" s="247"/>
      <c r="R118" s="803">
        <f t="shared" si="8"/>
        <v>0</v>
      </c>
    </row>
    <row r="119" spans="1:18" x14ac:dyDescent="0.25">
      <c r="G119" s="301"/>
      <c r="H119" s="301"/>
      <c r="I119" s="301"/>
      <c r="J119" s="301"/>
      <c r="K119" s="301"/>
      <c r="L119" s="301"/>
      <c r="M119" s="301"/>
      <c r="N119" s="301"/>
      <c r="O119" s="301"/>
      <c r="P119" s="301"/>
      <c r="R119" s="301"/>
    </row>
    <row r="120" spans="1:18" s="216" customFormat="1" ht="13" x14ac:dyDescent="0.25">
      <c r="B120" s="1105"/>
      <c r="C120" s="1105"/>
      <c r="D120" s="1105"/>
      <c r="E120" s="1105"/>
      <c r="G120" s="304"/>
      <c r="H120" s="304"/>
      <c r="I120" s="304"/>
      <c r="J120" s="304"/>
      <c r="K120" s="304"/>
      <c r="L120" s="304"/>
      <c r="M120" s="304"/>
      <c r="N120" s="304"/>
      <c r="O120" s="304"/>
      <c r="P120" s="304"/>
      <c r="Q120" s="205"/>
      <c r="R120" s="304"/>
    </row>
    <row r="121" spans="1:18" s="216" customFormat="1" ht="13" x14ac:dyDescent="0.25">
      <c r="B121" s="310"/>
      <c r="C121" s="311"/>
      <c r="D121" s="311"/>
      <c r="E121" s="312"/>
      <c r="F121" s="275"/>
      <c r="G121" s="784">
        <v>2015</v>
      </c>
      <c r="H121" s="165">
        <f>+G121+1</f>
        <v>2016</v>
      </c>
      <c r="I121" s="165">
        <f>+H121+1</f>
        <v>2017</v>
      </c>
      <c r="J121" s="165">
        <f>+I121+1</f>
        <v>2018</v>
      </c>
      <c r="K121" s="165">
        <f>+J121+1</f>
        <v>2019</v>
      </c>
      <c r="L121" s="165">
        <f t="shared" ref="L121:P121" si="9">+K121+1</f>
        <v>2020</v>
      </c>
      <c r="M121" s="165">
        <f t="shared" si="9"/>
        <v>2021</v>
      </c>
      <c r="N121" s="165">
        <f t="shared" si="9"/>
        <v>2022</v>
      </c>
      <c r="O121" s="165">
        <f t="shared" si="9"/>
        <v>2023</v>
      </c>
      <c r="P121" s="165">
        <f t="shared" si="9"/>
        <v>2024</v>
      </c>
      <c r="Q121" s="203"/>
      <c r="R121" s="165" t="s">
        <v>20</v>
      </c>
    </row>
    <row r="122" spans="1:18" s="212" customFormat="1" ht="26.25" customHeight="1" x14ac:dyDescent="0.25">
      <c r="B122" s="1093" t="s">
        <v>126</v>
      </c>
      <c r="C122" s="1094"/>
      <c r="D122" s="1094"/>
      <c r="E122" s="1095"/>
      <c r="F122" s="171"/>
      <c r="G122" s="170"/>
      <c r="H122" s="170"/>
      <c r="I122" s="170"/>
      <c r="J122" s="170"/>
      <c r="K122" s="170"/>
      <c r="L122" s="170"/>
      <c r="M122" s="170"/>
      <c r="N122" s="170"/>
      <c r="O122" s="170"/>
      <c r="P122" s="170"/>
      <c r="Q122" s="204"/>
      <c r="R122" s="170"/>
    </row>
    <row r="123" spans="1:18" ht="28.5" customHeight="1" x14ac:dyDescent="0.25">
      <c r="A123" s="291"/>
      <c r="B123" s="1084" t="str">
        <f>"per 31/12/"&amp;$G$13</f>
        <v>per 31/12/2015</v>
      </c>
      <c r="C123" s="1085"/>
      <c r="D123" s="1085"/>
      <c r="E123" s="1086"/>
      <c r="F123" s="313"/>
      <c r="G123" s="806"/>
      <c r="H123" s="806"/>
      <c r="I123" s="806"/>
      <c r="J123" s="806"/>
      <c r="K123" s="806"/>
      <c r="L123" s="806"/>
      <c r="M123" s="806"/>
      <c r="N123" s="806"/>
      <c r="O123" s="806"/>
      <c r="P123" s="806"/>
      <c r="R123" s="807">
        <f t="shared" ref="R123:R132" si="10">SUMIFS(R$32:R$118,$B$32:$B$118,$B123)</f>
        <v>0</v>
      </c>
    </row>
    <row r="124" spans="1:18" ht="28.5" customHeight="1" x14ac:dyDescent="0.25">
      <c r="A124" s="291"/>
      <c r="B124" s="1084" t="str">
        <f>"per 31/12/"&amp;$H$13</f>
        <v>per 31/12/2016</v>
      </c>
      <c r="C124" s="1085"/>
      <c r="D124" s="1085"/>
      <c r="E124" s="1086"/>
      <c r="F124" s="313"/>
      <c r="G124" s="806"/>
      <c r="H124" s="806"/>
      <c r="I124" s="806"/>
      <c r="J124" s="806"/>
      <c r="K124" s="806"/>
      <c r="L124" s="806"/>
      <c r="M124" s="806"/>
      <c r="N124" s="806"/>
      <c r="O124" s="806"/>
      <c r="P124" s="806"/>
      <c r="R124" s="807">
        <f t="shared" si="10"/>
        <v>0</v>
      </c>
    </row>
    <row r="125" spans="1:18" ht="28.5" customHeight="1" x14ac:dyDescent="0.25">
      <c r="A125" s="291"/>
      <c r="B125" s="1084" t="str">
        <f>"per 31/12/"&amp;$I$13</f>
        <v>per 31/12/2017</v>
      </c>
      <c r="C125" s="1085"/>
      <c r="D125" s="1085"/>
      <c r="E125" s="1086"/>
      <c r="F125" s="313"/>
      <c r="G125" s="806">
        <f t="shared" ref="G125:G130" si="11">SUMIFS(G$32:G$118,$B$32:$B$118,$B125)</f>
        <v>0</v>
      </c>
      <c r="H125" s="806"/>
      <c r="I125" s="806"/>
      <c r="J125" s="806"/>
      <c r="K125" s="806"/>
      <c r="L125" s="806"/>
      <c r="M125" s="806"/>
      <c r="N125" s="806"/>
      <c r="O125" s="806"/>
      <c r="P125" s="806"/>
      <c r="R125" s="807">
        <f t="shared" si="10"/>
        <v>0</v>
      </c>
    </row>
    <row r="126" spans="1:18" ht="28.5" customHeight="1" x14ac:dyDescent="0.25">
      <c r="A126" s="291"/>
      <c r="B126" s="1084" t="str">
        <f>"per 31/12/"&amp;$J$13</f>
        <v>per 31/12/2018</v>
      </c>
      <c r="C126" s="1085"/>
      <c r="D126" s="1085"/>
      <c r="E126" s="1086"/>
      <c r="F126" s="313"/>
      <c r="G126" s="806">
        <f t="shared" si="11"/>
        <v>0</v>
      </c>
      <c r="H126" s="806">
        <f>SUMIFS(H$32:H$118,$B$32:$B$118,$B126)</f>
        <v>0</v>
      </c>
      <c r="I126" s="806"/>
      <c r="J126" s="806"/>
      <c r="K126" s="806"/>
      <c r="L126" s="806"/>
      <c r="M126" s="806"/>
      <c r="N126" s="806"/>
      <c r="O126" s="806"/>
      <c r="P126" s="806"/>
      <c r="R126" s="807">
        <f t="shared" si="10"/>
        <v>0</v>
      </c>
    </row>
    <row r="127" spans="1:18" ht="28.5" customHeight="1" x14ac:dyDescent="0.25">
      <c r="A127" s="291"/>
      <c r="B127" s="1084" t="str">
        <f>"per 31/12/"&amp;$K$13</f>
        <v>per 31/12/2019</v>
      </c>
      <c r="C127" s="1085"/>
      <c r="D127" s="1085"/>
      <c r="E127" s="1086"/>
      <c r="F127" s="313"/>
      <c r="G127" s="806">
        <f t="shared" si="11"/>
        <v>0</v>
      </c>
      <c r="H127" s="806">
        <f>SUMIFS(H$32:H$118,$B$32:$B$118,$B127)</f>
        <v>0</v>
      </c>
      <c r="I127" s="806">
        <f>SUMIFS(I$32:I$118,$B$32:$B$118,$B127)</f>
        <v>0</v>
      </c>
      <c r="J127" s="806"/>
      <c r="K127" s="806"/>
      <c r="L127" s="806"/>
      <c r="M127" s="806"/>
      <c r="N127" s="806"/>
      <c r="O127" s="806"/>
      <c r="P127" s="806"/>
      <c r="R127" s="807">
        <f t="shared" si="10"/>
        <v>0</v>
      </c>
    </row>
    <row r="128" spans="1:18" ht="28.5" customHeight="1" x14ac:dyDescent="0.25">
      <c r="A128" s="291"/>
      <c r="B128" s="1084" t="str">
        <f>"per 31/12/"&amp;$L$13</f>
        <v>per 31/12/2020</v>
      </c>
      <c r="C128" s="1085"/>
      <c r="D128" s="1085"/>
      <c r="E128" s="1086"/>
      <c r="F128" s="313"/>
      <c r="G128" s="806">
        <f t="shared" si="11"/>
        <v>0</v>
      </c>
      <c r="H128" s="806">
        <f>SUMIFS(H$32:H$118,$B$32:$B$118,$B128)</f>
        <v>0</v>
      </c>
      <c r="I128" s="806">
        <f>SUMIFS(I$32:I$118,$B$32:$B$118,$B128)</f>
        <v>0</v>
      </c>
      <c r="J128" s="806">
        <f>SUMIFS(J$32:J$118,$B$32:$B$118,$B128)</f>
        <v>0</v>
      </c>
      <c r="K128" s="806"/>
      <c r="L128" s="806"/>
      <c r="M128" s="806"/>
      <c r="N128" s="806"/>
      <c r="O128" s="806"/>
      <c r="P128" s="806"/>
      <c r="R128" s="807">
        <f t="shared" si="10"/>
        <v>0</v>
      </c>
    </row>
    <row r="129" spans="1:18" ht="28.5" customHeight="1" x14ac:dyDescent="0.25">
      <c r="A129" s="291"/>
      <c r="B129" s="1084" t="str">
        <f>"per 31/12/"&amp;$M$13</f>
        <v>per 31/12/2021</v>
      </c>
      <c r="C129" s="1085"/>
      <c r="D129" s="1085"/>
      <c r="E129" s="1086"/>
      <c r="F129" s="313"/>
      <c r="G129" s="806">
        <f t="shared" si="11"/>
        <v>0</v>
      </c>
      <c r="H129" s="806">
        <f>SUMIFS(H$32:H$118,$B$32:$B$118,$B129)</f>
        <v>0</v>
      </c>
      <c r="I129" s="806">
        <f>SUMIFS(I$32:I$118,$B$32:$B$118,$B129)</f>
        <v>0</v>
      </c>
      <c r="J129" s="806">
        <f>SUMIFS(J$32:J$118,$B$32:$B$118,$B129)</f>
        <v>0</v>
      </c>
      <c r="K129" s="806">
        <f>SUMIFS(K$32:K$118,$B$32:$B$118,$B129)</f>
        <v>0</v>
      </c>
      <c r="L129" s="806"/>
      <c r="M129" s="806"/>
      <c r="N129" s="806"/>
      <c r="O129" s="806"/>
      <c r="P129" s="806"/>
      <c r="R129" s="807">
        <f t="shared" si="10"/>
        <v>0</v>
      </c>
    </row>
    <row r="130" spans="1:18" ht="28.5" customHeight="1" x14ac:dyDescent="0.25">
      <c r="A130" s="291"/>
      <c r="B130" s="1084" t="str">
        <f>"per 31/12/"&amp;$N$13</f>
        <v>per 31/12/2022</v>
      </c>
      <c r="C130" s="1085"/>
      <c r="D130" s="1085"/>
      <c r="E130" s="1086"/>
      <c r="F130" s="313"/>
      <c r="G130" s="806">
        <f t="shared" si="11"/>
        <v>0</v>
      </c>
      <c r="H130" s="806">
        <f>SUMIFS(H$32:H$118,$B$32:$B$118,$B130)</f>
        <v>0</v>
      </c>
      <c r="I130" s="806">
        <f>SUMIFS(I$32:I$118,$B$32:$B$118,$B130)</f>
        <v>0</v>
      </c>
      <c r="J130" s="806">
        <f>SUMIFS(J$32:J$118,$B$32:$B$118,$B130)</f>
        <v>0</v>
      </c>
      <c r="K130" s="806">
        <f>SUMIFS(K$32:K$118,$B$32:$B$118,$B130)</f>
        <v>0</v>
      </c>
      <c r="L130" s="806">
        <f>SUMIFS(L$32:L$118,$B$32:$B$118,$B130)</f>
        <v>0</v>
      </c>
      <c r="M130" s="806"/>
      <c r="N130" s="806"/>
      <c r="O130" s="806"/>
      <c r="P130" s="806"/>
      <c r="R130" s="807">
        <f t="shared" si="10"/>
        <v>0</v>
      </c>
    </row>
    <row r="131" spans="1:18" ht="28.5" customHeight="1" x14ac:dyDescent="0.25">
      <c r="A131" s="291"/>
      <c r="B131" s="1084" t="str">
        <f>"per 31/12/"&amp;$O$13</f>
        <v>per 31/12/2023</v>
      </c>
      <c r="C131" s="1085"/>
      <c r="D131" s="1085"/>
      <c r="E131" s="1086"/>
      <c r="F131" s="313"/>
      <c r="G131" s="806"/>
      <c r="H131" s="806"/>
      <c r="I131" s="806"/>
      <c r="J131" s="806"/>
      <c r="K131" s="806"/>
      <c r="L131" s="806">
        <f>SUMIFS(L$32:L$118,$B$32:$B$118,$B131)</f>
        <v>0</v>
      </c>
      <c r="M131" s="806">
        <f>SUMIFS(M$32:M$118,$B$32:$B$118,$B131)</f>
        <v>0</v>
      </c>
      <c r="N131" s="806"/>
      <c r="O131" s="806"/>
      <c r="P131" s="806"/>
      <c r="R131" s="807">
        <f t="shared" si="10"/>
        <v>0</v>
      </c>
    </row>
    <row r="132" spans="1:18" ht="28.5" customHeight="1" x14ac:dyDescent="0.25">
      <c r="A132" s="291"/>
      <c r="B132" s="1084" t="str">
        <f>"per 31/12/"&amp;$P$13</f>
        <v>per 31/12/2024</v>
      </c>
      <c r="C132" s="1085"/>
      <c r="D132" s="1085"/>
      <c r="E132" s="1086"/>
      <c r="F132" s="313"/>
      <c r="G132" s="806"/>
      <c r="H132" s="806"/>
      <c r="I132" s="806"/>
      <c r="J132" s="806"/>
      <c r="K132" s="806"/>
      <c r="L132" s="806"/>
      <c r="M132" s="806">
        <f>SUMIFS(M$32:M$118,$B$32:$B$118,$B132)</f>
        <v>0</v>
      </c>
      <c r="N132" s="806">
        <f>SUMIFS(N$32:N$118,$B$32:$B$118,$B132)</f>
        <v>0</v>
      </c>
      <c r="O132" s="806"/>
      <c r="P132" s="806"/>
      <c r="R132" s="807">
        <f t="shared" si="10"/>
        <v>0</v>
      </c>
    </row>
    <row r="133" spans="1:18" s="216" customFormat="1" ht="13" x14ac:dyDescent="0.25">
      <c r="B133" s="1103"/>
      <c r="C133" s="1103"/>
      <c r="D133" s="1103"/>
      <c r="E133" s="1103"/>
      <c r="G133" s="314"/>
      <c r="H133" s="314"/>
      <c r="I133" s="314"/>
      <c r="J133" s="314"/>
      <c r="K133" s="304"/>
      <c r="L133" s="304"/>
      <c r="M133" s="304"/>
      <c r="N133" s="304"/>
      <c r="O133" s="304"/>
      <c r="P133" s="304"/>
      <c r="Q133" s="205"/>
      <c r="R133" s="304"/>
    </row>
    <row r="135" spans="1:18" x14ac:dyDescent="0.3">
      <c r="G135" s="123" t="s">
        <v>132</v>
      </c>
    </row>
    <row r="136" spans="1:18" x14ac:dyDescent="0.3">
      <c r="G136" s="92" t="s">
        <v>101</v>
      </c>
    </row>
    <row r="137" spans="1:18" ht="69.75" customHeight="1" x14ac:dyDescent="0.25">
      <c r="B137" s="1078" t="s">
        <v>206</v>
      </c>
      <c r="C137" s="1079"/>
      <c r="D137" s="1079"/>
      <c r="E137" s="1080"/>
      <c r="F137" s="274"/>
      <c r="G137" s="165">
        <v>2015</v>
      </c>
      <c r="H137" s="165">
        <f>+G137+1</f>
        <v>2016</v>
      </c>
      <c r="I137" s="165">
        <f>+H137+1</f>
        <v>2017</v>
      </c>
      <c r="J137" s="165">
        <f>+I137+1</f>
        <v>2018</v>
      </c>
      <c r="K137" s="165">
        <f>+J137+1</f>
        <v>2019</v>
      </c>
      <c r="L137" s="165">
        <f t="shared" ref="L137:O137" si="12">+K137+1</f>
        <v>2020</v>
      </c>
      <c r="M137" s="165">
        <f t="shared" si="12"/>
        <v>2021</v>
      </c>
      <c r="N137" s="165">
        <f t="shared" si="12"/>
        <v>2022</v>
      </c>
      <c r="O137" s="165">
        <f t="shared" si="12"/>
        <v>2023</v>
      </c>
      <c r="P137" s="165">
        <f>+K137+1</f>
        <v>2020</v>
      </c>
      <c r="R137" s="165" t="s">
        <v>20</v>
      </c>
    </row>
    <row r="138" spans="1:18" s="296" customFormat="1" ht="12" customHeight="1" x14ac:dyDescent="0.25">
      <c r="B138" s="315"/>
      <c r="C138" s="315"/>
      <c r="D138" s="315"/>
      <c r="E138" s="315"/>
      <c r="F138" s="316"/>
      <c r="G138" s="317"/>
      <c r="H138" s="318"/>
      <c r="I138" s="318"/>
      <c r="J138" s="319"/>
      <c r="K138" s="319"/>
      <c r="L138" s="319"/>
      <c r="M138" s="319"/>
      <c r="N138" s="319"/>
      <c r="O138" s="319"/>
      <c r="P138" s="319"/>
      <c r="Q138" s="300"/>
      <c r="R138" s="319"/>
    </row>
    <row r="139" spans="1:18" ht="36" customHeight="1" x14ac:dyDescent="0.25">
      <c r="B139" s="1096" t="s">
        <v>201</v>
      </c>
      <c r="C139" s="1097"/>
      <c r="D139" s="1097"/>
      <c r="E139" s="1098"/>
      <c r="F139" s="167"/>
      <c r="G139" s="804"/>
      <c r="H139" s="804"/>
      <c r="I139" s="804"/>
      <c r="J139" s="804"/>
      <c r="K139" s="804"/>
      <c r="L139" s="804"/>
      <c r="M139" s="804"/>
      <c r="N139" s="804"/>
      <c r="O139" s="804"/>
      <c r="P139" s="804"/>
      <c r="R139" s="804"/>
    </row>
    <row r="140" spans="1:18" ht="28.5" customHeight="1" x14ac:dyDescent="0.25">
      <c r="B140" s="1090" t="str">
        <f>"per 31/12/"&amp;$G$13</f>
        <v>per 31/12/2015</v>
      </c>
      <c r="C140" s="1091"/>
      <c r="D140" s="1091"/>
      <c r="E140" s="1092"/>
      <c r="F140" s="167"/>
      <c r="G140" s="247">
        <f>+G$15+G32</f>
        <v>0</v>
      </c>
      <c r="H140" s="247"/>
      <c r="I140" s="247"/>
      <c r="J140" s="247"/>
      <c r="K140" s="247"/>
      <c r="L140" s="247"/>
      <c r="M140" s="247"/>
      <c r="N140" s="247"/>
      <c r="O140" s="247"/>
      <c r="P140" s="247"/>
      <c r="R140" s="803">
        <f t="shared" ref="R140:R214" si="13">SUM(G140:P140)</f>
        <v>0</v>
      </c>
    </row>
    <row r="141" spans="1:18" ht="28.5" customHeight="1" x14ac:dyDescent="0.25">
      <c r="B141" s="1090" t="str">
        <f>"per 31/12/"&amp;$H$13</f>
        <v>per 31/12/2016</v>
      </c>
      <c r="C141" s="1091"/>
      <c r="D141" s="1091"/>
      <c r="E141" s="1092"/>
      <c r="F141" s="167"/>
      <c r="G141" s="247">
        <f t="shared" ref="G141:G147" si="14">+G140+G33</f>
        <v>0</v>
      </c>
      <c r="H141" s="247">
        <f>+$H$15+H33</f>
        <v>0</v>
      </c>
      <c r="I141" s="247"/>
      <c r="J141" s="247"/>
      <c r="K141" s="247"/>
      <c r="L141" s="247"/>
      <c r="M141" s="247"/>
      <c r="N141" s="247"/>
      <c r="O141" s="247"/>
      <c r="P141" s="247"/>
      <c r="R141" s="803">
        <f t="shared" si="13"/>
        <v>0</v>
      </c>
    </row>
    <row r="142" spans="1:18" ht="28.5" customHeight="1" x14ac:dyDescent="0.25">
      <c r="B142" s="1090" t="str">
        <f>"per 31/12/"&amp;$I$13</f>
        <v>per 31/12/2017</v>
      </c>
      <c r="C142" s="1091"/>
      <c r="D142" s="1091"/>
      <c r="E142" s="1092"/>
      <c r="F142" s="167"/>
      <c r="G142" s="247">
        <f t="shared" si="14"/>
        <v>0</v>
      </c>
      <c r="H142" s="247">
        <f t="shared" ref="H142:H147" si="15">+H141+H34</f>
        <v>0</v>
      </c>
      <c r="I142" s="247">
        <f>+$I$15+I34</f>
        <v>0</v>
      </c>
      <c r="J142" s="247"/>
      <c r="K142" s="247"/>
      <c r="L142" s="247"/>
      <c r="M142" s="247"/>
      <c r="N142" s="247"/>
      <c r="O142" s="247"/>
      <c r="P142" s="247"/>
      <c r="R142" s="803">
        <f t="shared" si="13"/>
        <v>0</v>
      </c>
    </row>
    <row r="143" spans="1:18" ht="28.5" customHeight="1" x14ac:dyDescent="0.25">
      <c r="B143" s="1090" t="str">
        <f>"per 31/12/"&amp;$J$13</f>
        <v>per 31/12/2018</v>
      </c>
      <c r="C143" s="1091"/>
      <c r="D143" s="1091"/>
      <c r="E143" s="1092"/>
      <c r="F143" s="167"/>
      <c r="G143" s="247">
        <f t="shared" si="14"/>
        <v>0</v>
      </c>
      <c r="H143" s="247">
        <f t="shared" si="15"/>
        <v>0</v>
      </c>
      <c r="I143" s="247">
        <f>+I142+I35</f>
        <v>0</v>
      </c>
      <c r="J143" s="247">
        <f>+$J$15+J35</f>
        <v>0</v>
      </c>
      <c r="K143" s="247"/>
      <c r="L143" s="247"/>
      <c r="M143" s="247"/>
      <c r="N143" s="247"/>
      <c r="O143" s="247"/>
      <c r="P143" s="247"/>
      <c r="R143" s="803">
        <f t="shared" si="13"/>
        <v>0</v>
      </c>
    </row>
    <row r="144" spans="1:18" ht="28.5" customHeight="1" x14ac:dyDescent="0.25">
      <c r="B144" s="1090" t="str">
        <f>"per 31/12/"&amp;$K$13</f>
        <v>per 31/12/2019</v>
      </c>
      <c r="C144" s="1091"/>
      <c r="D144" s="1091"/>
      <c r="E144" s="1092"/>
      <c r="F144" s="167"/>
      <c r="G144" s="247">
        <f t="shared" si="14"/>
        <v>0</v>
      </c>
      <c r="H144" s="247">
        <f t="shared" si="15"/>
        <v>0</v>
      </c>
      <c r="I144" s="247">
        <f>+I143+I36</f>
        <v>0</v>
      </c>
      <c r="J144" s="247">
        <f>+J143+J36</f>
        <v>0</v>
      </c>
      <c r="K144" s="247">
        <f>+$K$15+K36</f>
        <v>0</v>
      </c>
      <c r="L144" s="247"/>
      <c r="M144" s="247"/>
      <c r="N144" s="247"/>
      <c r="O144" s="247"/>
      <c r="P144" s="247"/>
      <c r="R144" s="803">
        <f t="shared" si="13"/>
        <v>0</v>
      </c>
    </row>
    <row r="145" spans="2:18" ht="28.5" customHeight="1" x14ac:dyDescent="0.25">
      <c r="B145" s="1090" t="str">
        <f>"per 31/12/"&amp;$L$13</f>
        <v>per 31/12/2020</v>
      </c>
      <c r="C145" s="1091"/>
      <c r="D145" s="1091"/>
      <c r="E145" s="1092"/>
      <c r="F145" s="167"/>
      <c r="G145" s="247">
        <f t="shared" si="14"/>
        <v>0</v>
      </c>
      <c r="H145" s="247">
        <f t="shared" si="15"/>
        <v>0</v>
      </c>
      <c r="I145" s="247">
        <f>+I144+I37</f>
        <v>0</v>
      </c>
      <c r="J145" s="247">
        <f>+J144+J37</f>
        <v>0</v>
      </c>
      <c r="K145" s="247">
        <f>+K144+K37</f>
        <v>0</v>
      </c>
      <c r="L145" s="247">
        <f>+L$15+L37</f>
        <v>0</v>
      </c>
      <c r="M145" s="247"/>
      <c r="N145" s="247"/>
      <c r="O145" s="247"/>
      <c r="P145" s="247"/>
      <c r="R145" s="803">
        <f t="shared" si="13"/>
        <v>0</v>
      </c>
    </row>
    <row r="146" spans="2:18" ht="28.5" customHeight="1" x14ac:dyDescent="0.25">
      <c r="B146" s="1090" t="str">
        <f>"per 31/12/"&amp;$M$13</f>
        <v>per 31/12/2021</v>
      </c>
      <c r="C146" s="1091"/>
      <c r="D146" s="1091"/>
      <c r="E146" s="1092"/>
      <c r="F146" s="167"/>
      <c r="G146" s="247">
        <f t="shared" si="14"/>
        <v>0</v>
      </c>
      <c r="H146" s="247">
        <f t="shared" si="15"/>
        <v>0</v>
      </c>
      <c r="I146" s="247">
        <f>+I145+I38</f>
        <v>0</v>
      </c>
      <c r="J146" s="247">
        <f>+J145+J38</f>
        <v>0</v>
      </c>
      <c r="K146" s="247">
        <f>+K145+K38</f>
        <v>0</v>
      </c>
      <c r="L146" s="247">
        <f>+L145+L38</f>
        <v>0</v>
      </c>
      <c r="M146" s="247">
        <f>+M$15+M38</f>
        <v>0</v>
      </c>
      <c r="N146" s="247"/>
      <c r="O146" s="247"/>
      <c r="P146" s="247"/>
      <c r="R146" s="803">
        <f t="shared" si="13"/>
        <v>0</v>
      </c>
    </row>
    <row r="147" spans="2:18" ht="28.5" customHeight="1" x14ac:dyDescent="0.25">
      <c r="B147" s="1090" t="str">
        <f>"per 31/12/"&amp;$N$13</f>
        <v>per 31/12/2022</v>
      </c>
      <c r="C147" s="1091"/>
      <c r="D147" s="1091"/>
      <c r="E147" s="1092"/>
      <c r="F147" s="167"/>
      <c r="G147" s="247">
        <f t="shared" si="14"/>
        <v>0</v>
      </c>
      <c r="H147" s="247">
        <f t="shared" si="15"/>
        <v>0</v>
      </c>
      <c r="I147" s="247">
        <f>+I146+I39</f>
        <v>0</v>
      </c>
      <c r="J147" s="247">
        <f>+J146+J39</f>
        <v>0</v>
      </c>
      <c r="K147" s="247">
        <f>+K146+K39</f>
        <v>0</v>
      </c>
      <c r="L147" s="247">
        <f>+L146+L39</f>
        <v>0</v>
      </c>
      <c r="M147" s="247">
        <f>+M146+M39</f>
        <v>0</v>
      </c>
      <c r="N147" s="247">
        <f>+N$15+N39</f>
        <v>0</v>
      </c>
      <c r="O147" s="247"/>
      <c r="P147" s="247"/>
      <c r="R147" s="803">
        <f t="shared" si="13"/>
        <v>0</v>
      </c>
    </row>
    <row r="148" spans="2:18" ht="28.5" customHeight="1" x14ac:dyDescent="0.25">
      <c r="B148" s="1090" t="str">
        <f>"per 31/12/"&amp;$O$13</f>
        <v>per 31/12/2023</v>
      </c>
      <c r="C148" s="1091"/>
      <c r="D148" s="1091"/>
      <c r="E148" s="1092"/>
      <c r="F148" s="167"/>
      <c r="G148" s="247"/>
      <c r="H148" s="247"/>
      <c r="I148" s="247"/>
      <c r="J148" s="247"/>
      <c r="K148" s="247"/>
      <c r="L148" s="247">
        <f>+L147+L40</f>
        <v>0</v>
      </c>
      <c r="M148" s="247">
        <f>+M147+M40</f>
        <v>0</v>
      </c>
      <c r="N148" s="247">
        <f>+N147+N40</f>
        <v>0</v>
      </c>
      <c r="O148" s="247">
        <f>+O$15+O40</f>
        <v>0</v>
      </c>
      <c r="P148" s="247"/>
      <c r="R148" s="803">
        <f t="shared" si="13"/>
        <v>0</v>
      </c>
    </row>
    <row r="149" spans="2:18" ht="28.5" customHeight="1" x14ac:dyDescent="0.25">
      <c r="B149" s="1090" t="str">
        <f>"per 31/12/"&amp;$P$13</f>
        <v>per 31/12/2024</v>
      </c>
      <c r="C149" s="1091"/>
      <c r="D149" s="1091"/>
      <c r="E149" s="1092"/>
      <c r="F149" s="167"/>
      <c r="G149" s="247"/>
      <c r="H149" s="247"/>
      <c r="I149" s="247"/>
      <c r="J149" s="247"/>
      <c r="K149" s="247"/>
      <c r="L149" s="247"/>
      <c r="M149" s="247">
        <f>+M148+M41</f>
        <v>0</v>
      </c>
      <c r="N149" s="247">
        <f>+N148+N41</f>
        <v>0</v>
      </c>
      <c r="O149" s="247">
        <f>+O148+O41</f>
        <v>0</v>
      </c>
      <c r="P149" s="247">
        <f>+P$15+P41</f>
        <v>0</v>
      </c>
      <c r="R149" s="803">
        <f t="shared" si="13"/>
        <v>0</v>
      </c>
    </row>
    <row r="150" spans="2:18" ht="36" customHeight="1" x14ac:dyDescent="0.25">
      <c r="B150" s="1096" t="s">
        <v>347</v>
      </c>
      <c r="C150" s="1097"/>
      <c r="D150" s="1097"/>
      <c r="E150" s="1098"/>
      <c r="F150" s="167"/>
      <c r="G150" s="804"/>
      <c r="H150" s="804"/>
      <c r="I150" s="804"/>
      <c r="J150" s="804"/>
      <c r="K150" s="804"/>
      <c r="L150" s="804"/>
      <c r="M150" s="804"/>
      <c r="N150" s="804"/>
      <c r="O150" s="804"/>
      <c r="P150" s="804"/>
      <c r="R150" s="804"/>
    </row>
    <row r="151" spans="2:18" ht="28.5" customHeight="1" x14ac:dyDescent="0.25">
      <c r="B151" s="1081" t="str">
        <f>"per 31/12/"&amp;$G$13</f>
        <v>per 31/12/2015</v>
      </c>
      <c r="C151" s="1082"/>
      <c r="D151" s="1082"/>
      <c r="E151" s="1083"/>
      <c r="F151" s="167"/>
      <c r="G151" s="520"/>
      <c r="H151" s="247"/>
      <c r="I151" s="247"/>
      <c r="J151" s="247"/>
      <c r="K151" s="247"/>
      <c r="L151" s="247"/>
      <c r="M151" s="247"/>
      <c r="N151" s="247"/>
      <c r="O151" s="247"/>
      <c r="P151" s="247"/>
      <c r="R151" s="805"/>
    </row>
    <row r="152" spans="2:18" ht="28.5" customHeight="1" x14ac:dyDescent="0.25">
      <c r="B152" s="1081" t="str">
        <f>"per 31/12/"&amp;$H$13</f>
        <v>per 31/12/2016</v>
      </c>
      <c r="C152" s="1082"/>
      <c r="D152" s="1082"/>
      <c r="E152" s="1083"/>
      <c r="F152" s="167"/>
      <c r="G152" s="520"/>
      <c r="H152" s="520"/>
      <c r="I152" s="247"/>
      <c r="J152" s="247"/>
      <c r="K152" s="247"/>
      <c r="L152" s="247"/>
      <c r="M152" s="247"/>
      <c r="N152" s="247"/>
      <c r="O152" s="247"/>
      <c r="P152" s="247"/>
      <c r="R152" s="805"/>
    </row>
    <row r="153" spans="2:18" ht="28.5" customHeight="1" x14ac:dyDescent="0.25">
      <c r="B153" s="1081" t="str">
        <f>"per 31/12/"&amp;$I$13</f>
        <v>per 31/12/2017</v>
      </c>
      <c r="C153" s="1082"/>
      <c r="D153" s="1082"/>
      <c r="E153" s="1083"/>
      <c r="F153" s="167"/>
      <c r="G153" s="520"/>
      <c r="H153" s="520"/>
      <c r="I153" s="520"/>
      <c r="J153" s="247"/>
      <c r="K153" s="247"/>
      <c r="L153" s="247"/>
      <c r="M153" s="247"/>
      <c r="N153" s="247"/>
      <c r="O153" s="247"/>
      <c r="P153" s="247"/>
      <c r="R153" s="805"/>
    </row>
    <row r="154" spans="2:18" ht="28.5" customHeight="1" x14ac:dyDescent="0.25">
      <c r="B154" s="1081" t="str">
        <f>"per 31/12/"&amp;$J$13</f>
        <v>per 31/12/2018</v>
      </c>
      <c r="C154" s="1082"/>
      <c r="D154" s="1082"/>
      <c r="E154" s="1083"/>
      <c r="F154" s="167"/>
      <c r="G154" s="520"/>
      <c r="H154" s="520"/>
      <c r="I154" s="520"/>
      <c r="J154" s="520"/>
      <c r="K154" s="247"/>
      <c r="L154" s="247"/>
      <c r="M154" s="247"/>
      <c r="N154" s="247"/>
      <c r="O154" s="247"/>
      <c r="P154" s="247"/>
      <c r="R154" s="805"/>
    </row>
    <row r="155" spans="2:18" ht="28.5" customHeight="1" x14ac:dyDescent="0.25">
      <c r="B155" s="1081" t="str">
        <f>"per 31/12/"&amp;$K$13</f>
        <v>per 31/12/2019</v>
      </c>
      <c r="C155" s="1082"/>
      <c r="D155" s="1082"/>
      <c r="E155" s="1083"/>
      <c r="F155" s="167"/>
      <c r="G155" s="520"/>
      <c r="H155" s="520"/>
      <c r="I155" s="520"/>
      <c r="J155" s="520"/>
      <c r="K155" s="520"/>
      <c r="L155" s="247"/>
      <c r="M155" s="247"/>
      <c r="N155" s="247"/>
      <c r="O155" s="247"/>
      <c r="P155" s="247"/>
      <c r="R155" s="805"/>
    </row>
    <row r="156" spans="2:18" ht="28.5" customHeight="1" x14ac:dyDescent="0.25">
      <c r="B156" s="1081" t="str">
        <f>"per 31/12/"&amp;$L$13</f>
        <v>per 31/12/2020</v>
      </c>
      <c r="C156" s="1082"/>
      <c r="D156" s="1082"/>
      <c r="E156" s="1083"/>
      <c r="F156" s="167"/>
      <c r="G156" s="520"/>
      <c r="H156" s="520"/>
      <c r="I156" s="520"/>
      <c r="J156" s="520"/>
      <c r="K156" s="520"/>
      <c r="L156" s="520"/>
      <c r="M156" s="247"/>
      <c r="N156" s="247"/>
      <c r="O156" s="247"/>
      <c r="P156" s="247"/>
      <c r="R156" s="805"/>
    </row>
    <row r="157" spans="2:18" ht="28.5" customHeight="1" x14ac:dyDescent="0.25">
      <c r="B157" s="1081" t="str">
        <f>"per 31/12/"&amp;$M$13</f>
        <v>per 31/12/2021</v>
      </c>
      <c r="C157" s="1082"/>
      <c r="D157" s="1082"/>
      <c r="E157" s="1083"/>
      <c r="F157" s="167"/>
      <c r="G157" s="520"/>
      <c r="H157" s="520"/>
      <c r="I157" s="520"/>
      <c r="J157" s="520"/>
      <c r="K157" s="520"/>
      <c r="L157" s="520"/>
      <c r="M157" s="520"/>
      <c r="N157" s="247"/>
      <c r="O157" s="247"/>
      <c r="P157" s="247"/>
      <c r="R157" s="805"/>
    </row>
    <row r="158" spans="2:18" ht="28.5" customHeight="1" x14ac:dyDescent="0.25">
      <c r="B158" s="1090" t="str">
        <f>"per 31/12/"&amp;$N$13</f>
        <v>per 31/12/2022</v>
      </c>
      <c r="C158" s="1091"/>
      <c r="D158" s="1091"/>
      <c r="E158" s="1092"/>
      <c r="F158" s="167"/>
      <c r="G158" s="520"/>
      <c r="H158" s="520"/>
      <c r="I158" s="520"/>
      <c r="J158" s="520"/>
      <c r="K158" s="520"/>
      <c r="L158" s="520"/>
      <c r="M158" s="520"/>
      <c r="N158" s="247">
        <f>+N$16+N50</f>
        <v>0</v>
      </c>
      <c r="O158" s="247"/>
      <c r="P158" s="247"/>
      <c r="R158" s="803">
        <f t="shared" ref="R158:R160" si="16">SUM(G158:P158)</f>
        <v>0</v>
      </c>
    </row>
    <row r="159" spans="2:18" ht="28.5" customHeight="1" x14ac:dyDescent="0.25">
      <c r="B159" s="1090" t="str">
        <f>"per 31/12/"&amp;$O$13</f>
        <v>per 31/12/2023</v>
      </c>
      <c r="C159" s="1091"/>
      <c r="D159" s="1091"/>
      <c r="E159" s="1092"/>
      <c r="F159" s="167"/>
      <c r="G159" s="247"/>
      <c r="H159" s="247"/>
      <c r="I159" s="247"/>
      <c r="J159" s="247"/>
      <c r="K159" s="247"/>
      <c r="L159" s="520"/>
      <c r="M159" s="520"/>
      <c r="N159" s="247">
        <f>+N158+N51</f>
        <v>0</v>
      </c>
      <c r="O159" s="247">
        <f>+O$16+O51</f>
        <v>0</v>
      </c>
      <c r="P159" s="247"/>
      <c r="R159" s="803">
        <f t="shared" si="16"/>
        <v>0</v>
      </c>
    </row>
    <row r="160" spans="2:18" ht="28.5" customHeight="1" x14ac:dyDescent="0.25">
      <c r="B160" s="1090" t="str">
        <f>"per 31/12/"&amp;$P$13</f>
        <v>per 31/12/2024</v>
      </c>
      <c r="C160" s="1091"/>
      <c r="D160" s="1091"/>
      <c r="E160" s="1092"/>
      <c r="F160" s="167"/>
      <c r="G160" s="247"/>
      <c r="H160" s="247"/>
      <c r="I160" s="247"/>
      <c r="J160" s="247"/>
      <c r="K160" s="247"/>
      <c r="L160" s="247"/>
      <c r="M160" s="520"/>
      <c r="N160" s="247">
        <f>+N159+N52</f>
        <v>0</v>
      </c>
      <c r="O160" s="247">
        <f>+O159+O52</f>
        <v>0</v>
      </c>
      <c r="P160" s="247">
        <f>+P$16+P52</f>
        <v>0</v>
      </c>
      <c r="R160" s="803">
        <f t="shared" si="16"/>
        <v>0</v>
      </c>
    </row>
    <row r="161" spans="2:18" ht="27.75" customHeight="1" x14ac:dyDescent="0.25">
      <c r="B161" s="1096" t="s">
        <v>66</v>
      </c>
      <c r="C161" s="1097"/>
      <c r="D161" s="1097"/>
      <c r="E161" s="1098"/>
      <c r="F161" s="167"/>
      <c r="G161" s="804"/>
      <c r="H161" s="804"/>
      <c r="I161" s="804"/>
      <c r="J161" s="804"/>
      <c r="K161" s="804"/>
      <c r="L161" s="804"/>
      <c r="M161" s="804"/>
      <c r="N161" s="804"/>
      <c r="O161" s="804"/>
      <c r="P161" s="804"/>
      <c r="R161" s="804"/>
    </row>
    <row r="162" spans="2:18" ht="28.5" customHeight="1" x14ac:dyDescent="0.25">
      <c r="B162" s="1090" t="str">
        <f>"per 31/12/"&amp;$G$13</f>
        <v>per 31/12/2015</v>
      </c>
      <c r="C162" s="1091"/>
      <c r="D162" s="1091"/>
      <c r="E162" s="1092"/>
      <c r="F162" s="167"/>
      <c r="G162" s="247">
        <f>+G$17+G54</f>
        <v>0</v>
      </c>
      <c r="H162" s="247"/>
      <c r="I162" s="247"/>
      <c r="J162" s="247"/>
      <c r="K162" s="247"/>
      <c r="L162" s="247"/>
      <c r="M162" s="247"/>
      <c r="N162" s="247"/>
      <c r="O162" s="247"/>
      <c r="P162" s="247"/>
      <c r="R162" s="803">
        <f t="shared" si="13"/>
        <v>0</v>
      </c>
    </row>
    <row r="163" spans="2:18" ht="28.5" customHeight="1" x14ac:dyDescent="0.25">
      <c r="B163" s="1090" t="str">
        <f>"per 31/12/"&amp;$H$13</f>
        <v>per 31/12/2016</v>
      </c>
      <c r="C163" s="1091"/>
      <c r="D163" s="1091"/>
      <c r="E163" s="1092"/>
      <c r="F163" s="167"/>
      <c r="G163" s="247">
        <f t="shared" ref="G163:G169" si="17">+G162+G55</f>
        <v>0</v>
      </c>
      <c r="H163" s="247">
        <f>+H$17+H55</f>
        <v>0</v>
      </c>
      <c r="I163" s="247"/>
      <c r="J163" s="247"/>
      <c r="K163" s="247"/>
      <c r="L163" s="247"/>
      <c r="M163" s="247"/>
      <c r="N163" s="247"/>
      <c r="O163" s="247"/>
      <c r="P163" s="247"/>
      <c r="R163" s="803">
        <f t="shared" si="13"/>
        <v>0</v>
      </c>
    </row>
    <row r="164" spans="2:18" ht="28.5" customHeight="1" x14ac:dyDescent="0.25">
      <c r="B164" s="1090" t="str">
        <f>"per 31/12/"&amp;$I$13</f>
        <v>per 31/12/2017</v>
      </c>
      <c r="C164" s="1091"/>
      <c r="D164" s="1091"/>
      <c r="E164" s="1092"/>
      <c r="F164" s="167"/>
      <c r="G164" s="247">
        <f t="shared" si="17"/>
        <v>0</v>
      </c>
      <c r="H164" s="247">
        <f t="shared" ref="H164:H169" si="18">+H163+H56</f>
        <v>0</v>
      </c>
      <c r="I164" s="247">
        <f>+I$17+I56</f>
        <v>0</v>
      </c>
      <c r="J164" s="247"/>
      <c r="K164" s="247"/>
      <c r="L164" s="247"/>
      <c r="M164" s="247"/>
      <c r="N164" s="247"/>
      <c r="O164" s="247"/>
      <c r="P164" s="247"/>
      <c r="R164" s="803">
        <f t="shared" si="13"/>
        <v>0</v>
      </c>
    </row>
    <row r="165" spans="2:18" ht="28.5" customHeight="1" x14ac:dyDescent="0.25">
      <c r="B165" s="1090" t="str">
        <f>"per 31/12/"&amp;$J$13</f>
        <v>per 31/12/2018</v>
      </c>
      <c r="C165" s="1091"/>
      <c r="D165" s="1091"/>
      <c r="E165" s="1092"/>
      <c r="F165" s="167"/>
      <c r="G165" s="247">
        <f t="shared" si="17"/>
        <v>0</v>
      </c>
      <c r="H165" s="247">
        <f t="shared" si="18"/>
        <v>0</v>
      </c>
      <c r="I165" s="247">
        <f>+I164+I57</f>
        <v>0</v>
      </c>
      <c r="J165" s="247">
        <f>+J$17+J57</f>
        <v>0</v>
      </c>
      <c r="K165" s="247"/>
      <c r="L165" s="247"/>
      <c r="M165" s="247"/>
      <c r="N165" s="247"/>
      <c r="O165" s="247"/>
      <c r="P165" s="247"/>
      <c r="R165" s="803">
        <f t="shared" si="13"/>
        <v>0</v>
      </c>
    </row>
    <row r="166" spans="2:18" ht="28.5" customHeight="1" x14ac:dyDescent="0.25">
      <c r="B166" s="1090" t="str">
        <f>"per 31/12/"&amp;$K$13</f>
        <v>per 31/12/2019</v>
      </c>
      <c r="C166" s="1091"/>
      <c r="D166" s="1091"/>
      <c r="E166" s="1092"/>
      <c r="F166" s="167"/>
      <c r="G166" s="247">
        <f t="shared" si="17"/>
        <v>0</v>
      </c>
      <c r="H166" s="247">
        <f t="shared" si="18"/>
        <v>0</v>
      </c>
      <c r="I166" s="247">
        <f>+I165+I58</f>
        <v>0</v>
      </c>
      <c r="J166" s="247">
        <f>+J165+J58</f>
        <v>0</v>
      </c>
      <c r="K166" s="247">
        <f>+K$17+K58</f>
        <v>0</v>
      </c>
      <c r="L166" s="247"/>
      <c r="M166" s="247"/>
      <c r="N166" s="247"/>
      <c r="O166" s="247"/>
      <c r="P166" s="247"/>
      <c r="R166" s="803">
        <f t="shared" si="13"/>
        <v>0</v>
      </c>
    </row>
    <row r="167" spans="2:18" ht="28.5" customHeight="1" x14ac:dyDescent="0.25">
      <c r="B167" s="1090" t="str">
        <f>"per 31/12/"&amp;$L$13</f>
        <v>per 31/12/2020</v>
      </c>
      <c r="C167" s="1091"/>
      <c r="D167" s="1091"/>
      <c r="E167" s="1092"/>
      <c r="F167" s="167"/>
      <c r="G167" s="247">
        <f t="shared" si="17"/>
        <v>0</v>
      </c>
      <c r="H167" s="247">
        <f t="shared" si="18"/>
        <v>0</v>
      </c>
      <c r="I167" s="247">
        <f>+I166+I59</f>
        <v>0</v>
      </c>
      <c r="J167" s="247">
        <f>+J166+J59</f>
        <v>0</v>
      </c>
      <c r="K167" s="247">
        <f>+K166+K59</f>
        <v>0</v>
      </c>
      <c r="L167" s="247">
        <f>+L$17+L59</f>
        <v>0</v>
      </c>
      <c r="M167" s="247"/>
      <c r="N167" s="247"/>
      <c r="O167" s="247"/>
      <c r="P167" s="247"/>
      <c r="R167" s="803">
        <f t="shared" si="13"/>
        <v>0</v>
      </c>
    </row>
    <row r="168" spans="2:18" ht="28.5" customHeight="1" x14ac:dyDescent="0.25">
      <c r="B168" s="1090" t="str">
        <f>"per 31/12/"&amp;$M$13</f>
        <v>per 31/12/2021</v>
      </c>
      <c r="C168" s="1091"/>
      <c r="D168" s="1091"/>
      <c r="E168" s="1092"/>
      <c r="F168" s="167"/>
      <c r="G168" s="247">
        <f t="shared" si="17"/>
        <v>0</v>
      </c>
      <c r="H168" s="247">
        <f t="shared" si="18"/>
        <v>0</v>
      </c>
      <c r="I168" s="247">
        <f>+I167+I60</f>
        <v>0</v>
      </c>
      <c r="J168" s="247">
        <f>+J167+J60</f>
        <v>0</v>
      </c>
      <c r="K168" s="247">
        <f>+K167+K60</f>
        <v>0</v>
      </c>
      <c r="L168" s="247">
        <f>+L167+L60</f>
        <v>0</v>
      </c>
      <c r="M168" s="247">
        <f>+M$17+M60</f>
        <v>0</v>
      </c>
      <c r="N168" s="247"/>
      <c r="O168" s="247"/>
      <c r="P168" s="247"/>
      <c r="R168" s="803">
        <f t="shared" si="13"/>
        <v>0</v>
      </c>
    </row>
    <row r="169" spans="2:18" ht="28.5" customHeight="1" x14ac:dyDescent="0.25">
      <c r="B169" s="1090" t="str">
        <f>"per 31/12/"&amp;$N$13</f>
        <v>per 31/12/2022</v>
      </c>
      <c r="C169" s="1091"/>
      <c r="D169" s="1091"/>
      <c r="E169" s="1092"/>
      <c r="F169" s="167"/>
      <c r="G169" s="247">
        <f t="shared" si="17"/>
        <v>0</v>
      </c>
      <c r="H169" s="247">
        <f t="shared" si="18"/>
        <v>0</v>
      </c>
      <c r="I169" s="247">
        <f>+I168+I61</f>
        <v>0</v>
      </c>
      <c r="J169" s="247">
        <f>+J168+J61</f>
        <v>0</v>
      </c>
      <c r="K169" s="247">
        <f>+K168+K61</f>
        <v>0</v>
      </c>
      <c r="L169" s="247">
        <f>+L168+L61</f>
        <v>0</v>
      </c>
      <c r="M169" s="247">
        <f>+M168+M61</f>
        <v>0</v>
      </c>
      <c r="N169" s="247">
        <f>+N$17+N61</f>
        <v>0</v>
      </c>
      <c r="O169" s="247"/>
      <c r="P169" s="247"/>
      <c r="R169" s="803">
        <f t="shared" si="13"/>
        <v>0</v>
      </c>
    </row>
    <row r="170" spans="2:18" ht="28.5" customHeight="1" x14ac:dyDescent="0.25">
      <c r="B170" s="1090" t="str">
        <f>"per 31/12/"&amp;$O$13</f>
        <v>per 31/12/2023</v>
      </c>
      <c r="C170" s="1091"/>
      <c r="D170" s="1091"/>
      <c r="E170" s="1092"/>
      <c r="F170" s="167"/>
      <c r="G170" s="247"/>
      <c r="H170" s="247"/>
      <c r="I170" s="247"/>
      <c r="J170" s="247"/>
      <c r="K170" s="247"/>
      <c r="L170" s="247">
        <f>+L169+L62</f>
        <v>0</v>
      </c>
      <c r="M170" s="247">
        <f>+M169+M62</f>
        <v>0</v>
      </c>
      <c r="N170" s="247">
        <f>+N169+N62</f>
        <v>0</v>
      </c>
      <c r="O170" s="247">
        <f>+O$17+O62</f>
        <v>0</v>
      </c>
      <c r="P170" s="247"/>
      <c r="R170" s="803">
        <f t="shared" si="13"/>
        <v>0</v>
      </c>
    </row>
    <row r="171" spans="2:18" ht="28.5" customHeight="1" x14ac:dyDescent="0.25">
      <c r="B171" s="1090" t="str">
        <f>"per 31/12/"&amp;$P$13</f>
        <v>per 31/12/2024</v>
      </c>
      <c r="C171" s="1091"/>
      <c r="D171" s="1091"/>
      <c r="E171" s="1092"/>
      <c r="F171" s="167"/>
      <c r="G171" s="247"/>
      <c r="H171" s="247"/>
      <c r="I171" s="247"/>
      <c r="J171" s="247"/>
      <c r="K171" s="247"/>
      <c r="L171" s="247"/>
      <c r="M171" s="247">
        <f>+M170+M63</f>
        <v>0</v>
      </c>
      <c r="N171" s="247">
        <f>+N170+N63</f>
        <v>0</v>
      </c>
      <c r="O171" s="247">
        <f>+O170+O63</f>
        <v>0</v>
      </c>
      <c r="P171" s="247">
        <f>+P$17+P63</f>
        <v>0</v>
      </c>
      <c r="R171" s="803">
        <f t="shared" si="13"/>
        <v>0</v>
      </c>
    </row>
    <row r="172" spans="2:18" ht="27" customHeight="1" x14ac:dyDescent="0.25">
      <c r="B172" s="1104" t="s">
        <v>350</v>
      </c>
      <c r="C172" s="1104"/>
      <c r="D172" s="1104"/>
      <c r="E172" s="1104"/>
      <c r="F172" s="167"/>
      <c r="G172" s="804"/>
      <c r="H172" s="804"/>
      <c r="I172" s="804"/>
      <c r="J172" s="804"/>
      <c r="K172" s="804"/>
      <c r="L172" s="804"/>
      <c r="M172" s="804"/>
      <c r="N172" s="804"/>
      <c r="O172" s="804"/>
      <c r="P172" s="804"/>
      <c r="R172" s="804"/>
    </row>
    <row r="173" spans="2:18" ht="28.5" customHeight="1" x14ac:dyDescent="0.25">
      <c r="B173" s="1090" t="str">
        <f>"per 31/12/"&amp;$G$13</f>
        <v>per 31/12/2015</v>
      </c>
      <c r="C173" s="1091"/>
      <c r="D173" s="1091"/>
      <c r="E173" s="1092"/>
      <c r="F173" s="167"/>
      <c r="G173" s="247">
        <f>+G$18+G65</f>
        <v>0</v>
      </c>
      <c r="H173" s="247"/>
      <c r="I173" s="247"/>
      <c r="J173" s="247"/>
      <c r="K173" s="247"/>
      <c r="L173" s="247"/>
      <c r="M173" s="247"/>
      <c r="N173" s="247"/>
      <c r="O173" s="247"/>
      <c r="P173" s="247"/>
      <c r="R173" s="803">
        <f t="shared" ref="R173:R181" si="19">SUM(G173:P173)</f>
        <v>0</v>
      </c>
    </row>
    <row r="174" spans="2:18" ht="28.5" customHeight="1" x14ac:dyDescent="0.25">
      <c r="B174" s="1090" t="str">
        <f>"per 31/12/"&amp;$H$13</f>
        <v>per 31/12/2016</v>
      </c>
      <c r="C174" s="1091"/>
      <c r="D174" s="1091"/>
      <c r="E174" s="1092"/>
      <c r="F174" s="167"/>
      <c r="G174" s="247">
        <f t="shared" ref="G174:G180" si="20">+G173+G66</f>
        <v>0</v>
      </c>
      <c r="H174" s="247">
        <f>+H$18+H66</f>
        <v>0</v>
      </c>
      <c r="I174" s="247"/>
      <c r="J174" s="247"/>
      <c r="K174" s="247"/>
      <c r="L174" s="247"/>
      <c r="M174" s="247"/>
      <c r="N174" s="247"/>
      <c r="O174" s="247"/>
      <c r="P174" s="247"/>
      <c r="R174" s="803">
        <f t="shared" si="19"/>
        <v>0</v>
      </c>
    </row>
    <row r="175" spans="2:18" ht="28.5" customHeight="1" x14ac:dyDescent="0.25">
      <c r="B175" s="1090" t="str">
        <f>"per 31/12/"&amp;$I$13</f>
        <v>per 31/12/2017</v>
      </c>
      <c r="C175" s="1091"/>
      <c r="D175" s="1091"/>
      <c r="E175" s="1092"/>
      <c r="F175" s="167"/>
      <c r="G175" s="247">
        <f t="shared" si="20"/>
        <v>0</v>
      </c>
      <c r="H175" s="247">
        <f t="shared" ref="H175:H180" si="21">+H174+H67</f>
        <v>0</v>
      </c>
      <c r="I175" s="247">
        <f>+I$18+I67</f>
        <v>0</v>
      </c>
      <c r="J175" s="247"/>
      <c r="K175" s="247"/>
      <c r="L175" s="247"/>
      <c r="M175" s="247"/>
      <c r="N175" s="247"/>
      <c r="O175" s="247"/>
      <c r="P175" s="247"/>
      <c r="R175" s="803">
        <f t="shared" si="19"/>
        <v>0</v>
      </c>
    </row>
    <row r="176" spans="2:18" ht="28.5" customHeight="1" x14ac:dyDescent="0.25">
      <c r="B176" s="1090" t="str">
        <f>"per 31/12/"&amp;$J$13</f>
        <v>per 31/12/2018</v>
      </c>
      <c r="C176" s="1091"/>
      <c r="D176" s="1091"/>
      <c r="E176" s="1092"/>
      <c r="F176" s="167"/>
      <c r="G176" s="247">
        <f t="shared" si="20"/>
        <v>0</v>
      </c>
      <c r="H176" s="247">
        <f t="shared" si="21"/>
        <v>0</v>
      </c>
      <c r="I176" s="247">
        <f>+I175+I68</f>
        <v>0</v>
      </c>
      <c r="J176" s="247">
        <f>+J$18+J68</f>
        <v>0</v>
      </c>
      <c r="K176" s="247"/>
      <c r="L176" s="247"/>
      <c r="M176" s="247"/>
      <c r="N176" s="247"/>
      <c r="O176" s="247"/>
      <c r="P176" s="247"/>
      <c r="R176" s="803">
        <f t="shared" si="19"/>
        <v>0</v>
      </c>
    </row>
    <row r="177" spans="2:18" ht="28.5" customHeight="1" x14ac:dyDescent="0.25">
      <c r="B177" s="1090" t="str">
        <f>"per 31/12/"&amp;$K$13</f>
        <v>per 31/12/2019</v>
      </c>
      <c r="C177" s="1091"/>
      <c r="D177" s="1091"/>
      <c r="E177" s="1092"/>
      <c r="F177" s="167"/>
      <c r="G177" s="247">
        <f t="shared" si="20"/>
        <v>0</v>
      </c>
      <c r="H177" s="247">
        <f t="shared" si="21"/>
        <v>0</v>
      </c>
      <c r="I177" s="247">
        <f>+I176+I69</f>
        <v>0</v>
      </c>
      <c r="J177" s="247">
        <f>+J176+J69</f>
        <v>0</v>
      </c>
      <c r="K177" s="247">
        <f>+K$18+K69</f>
        <v>0</v>
      </c>
      <c r="L177" s="247"/>
      <c r="M177" s="247"/>
      <c r="N177" s="247"/>
      <c r="O177" s="247"/>
      <c r="P177" s="247"/>
      <c r="R177" s="803">
        <f t="shared" si="19"/>
        <v>0</v>
      </c>
    </row>
    <row r="178" spans="2:18" ht="28.5" customHeight="1" x14ac:dyDescent="0.25">
      <c r="B178" s="1090" t="str">
        <f>"per 31/12/"&amp;$L$13</f>
        <v>per 31/12/2020</v>
      </c>
      <c r="C178" s="1091"/>
      <c r="D178" s="1091"/>
      <c r="E178" s="1092"/>
      <c r="F178" s="167"/>
      <c r="G178" s="247">
        <f t="shared" si="20"/>
        <v>0</v>
      </c>
      <c r="H178" s="247">
        <f t="shared" si="21"/>
        <v>0</v>
      </c>
      <c r="I178" s="247">
        <f>+I177+I70</f>
        <v>0</v>
      </c>
      <c r="J178" s="247">
        <f>+J177+J70</f>
        <v>0</v>
      </c>
      <c r="K178" s="247">
        <f>+K177+K70</f>
        <v>0</v>
      </c>
      <c r="L178" s="247">
        <f>+L$18+L70</f>
        <v>0</v>
      </c>
      <c r="M178" s="247"/>
      <c r="N178" s="247"/>
      <c r="O178" s="247"/>
      <c r="P178" s="247"/>
      <c r="R178" s="803">
        <f t="shared" si="19"/>
        <v>0</v>
      </c>
    </row>
    <row r="179" spans="2:18" ht="28.5" customHeight="1" x14ac:dyDescent="0.25">
      <c r="B179" s="1090" t="str">
        <f>"per 31/12/"&amp;$M$13</f>
        <v>per 31/12/2021</v>
      </c>
      <c r="C179" s="1091"/>
      <c r="D179" s="1091"/>
      <c r="E179" s="1092"/>
      <c r="F179" s="167"/>
      <c r="G179" s="247">
        <f t="shared" si="20"/>
        <v>0</v>
      </c>
      <c r="H179" s="247">
        <f t="shared" si="21"/>
        <v>0</v>
      </c>
      <c r="I179" s="247">
        <f>+I178+I71</f>
        <v>0</v>
      </c>
      <c r="J179" s="247">
        <f>+J178+J71</f>
        <v>0</v>
      </c>
      <c r="K179" s="247">
        <f>+K178+K71</f>
        <v>0</v>
      </c>
      <c r="L179" s="247">
        <f>+L178+L71</f>
        <v>0</v>
      </c>
      <c r="M179" s="520"/>
      <c r="N179" s="247"/>
      <c r="O179" s="247"/>
      <c r="P179" s="247"/>
      <c r="R179" s="803">
        <f t="shared" si="19"/>
        <v>0</v>
      </c>
    </row>
    <row r="180" spans="2:18" ht="28.5" customHeight="1" x14ac:dyDescent="0.25">
      <c r="B180" s="1090" t="str">
        <f>"per 31/12/"&amp;$N$13</f>
        <v>per 31/12/2022</v>
      </c>
      <c r="C180" s="1091"/>
      <c r="D180" s="1091"/>
      <c r="E180" s="1092"/>
      <c r="F180" s="167"/>
      <c r="G180" s="247">
        <f t="shared" si="20"/>
        <v>0</v>
      </c>
      <c r="H180" s="247">
        <f t="shared" si="21"/>
        <v>0</v>
      </c>
      <c r="I180" s="247">
        <f>+I179+I72</f>
        <v>0</v>
      </c>
      <c r="J180" s="247">
        <f>+J179+J72</f>
        <v>0</v>
      </c>
      <c r="K180" s="247">
        <f>+K179+K72</f>
        <v>0</v>
      </c>
      <c r="L180" s="247">
        <f>+L179+L72</f>
        <v>0</v>
      </c>
      <c r="M180" s="520"/>
      <c r="N180" s="520"/>
      <c r="O180" s="247"/>
      <c r="P180" s="247"/>
      <c r="R180" s="803">
        <f t="shared" si="19"/>
        <v>0</v>
      </c>
    </row>
    <row r="181" spans="2:18" ht="28.5" customHeight="1" x14ac:dyDescent="0.25">
      <c r="B181" s="1090" t="str">
        <f>"per 31/12/"&amp;$O$13</f>
        <v>per 31/12/2023</v>
      </c>
      <c r="C181" s="1091"/>
      <c r="D181" s="1091"/>
      <c r="E181" s="1092"/>
      <c r="F181" s="167"/>
      <c r="G181" s="247"/>
      <c r="H181" s="247"/>
      <c r="I181" s="247"/>
      <c r="J181" s="247"/>
      <c r="K181" s="247"/>
      <c r="L181" s="247">
        <f>+L180+L73</f>
        <v>0</v>
      </c>
      <c r="M181" s="520"/>
      <c r="N181" s="520"/>
      <c r="O181" s="520"/>
      <c r="P181" s="247"/>
      <c r="R181" s="803">
        <f t="shared" si="19"/>
        <v>0</v>
      </c>
    </row>
    <row r="182" spans="2:18" ht="28.5" customHeight="1" x14ac:dyDescent="0.25">
      <c r="B182" s="1090" t="str">
        <f>"per 31/12/"&amp;$P$13</f>
        <v>per 31/12/2024</v>
      </c>
      <c r="C182" s="1091"/>
      <c r="D182" s="1091"/>
      <c r="E182" s="1092"/>
      <c r="F182" s="167"/>
      <c r="G182" s="247"/>
      <c r="H182" s="247"/>
      <c r="I182" s="247"/>
      <c r="J182" s="247"/>
      <c r="K182" s="247"/>
      <c r="L182" s="247"/>
      <c r="M182" s="520"/>
      <c r="N182" s="520"/>
      <c r="O182" s="520"/>
      <c r="P182" s="520"/>
      <c r="R182" s="805"/>
    </row>
    <row r="183" spans="2:18" ht="30" customHeight="1" x14ac:dyDescent="0.25">
      <c r="B183" s="1096" t="s">
        <v>169</v>
      </c>
      <c r="C183" s="1097"/>
      <c r="D183" s="1097"/>
      <c r="E183" s="1098"/>
      <c r="F183" s="167"/>
      <c r="G183" s="804"/>
      <c r="H183" s="804"/>
      <c r="I183" s="804"/>
      <c r="J183" s="804"/>
      <c r="K183" s="804"/>
      <c r="L183" s="804"/>
      <c r="M183" s="804"/>
      <c r="N183" s="804"/>
      <c r="O183" s="804"/>
      <c r="P183" s="804"/>
      <c r="R183" s="804"/>
    </row>
    <row r="184" spans="2:18" ht="28.5" customHeight="1" x14ac:dyDescent="0.25">
      <c r="B184" s="1090" t="str">
        <f>"per 31/12/"&amp;$G$13</f>
        <v>per 31/12/2015</v>
      </c>
      <c r="C184" s="1091"/>
      <c r="D184" s="1091"/>
      <c r="E184" s="1092"/>
      <c r="F184" s="167"/>
      <c r="G184" s="520"/>
      <c r="H184" s="247"/>
      <c r="I184" s="247"/>
      <c r="J184" s="247"/>
      <c r="K184" s="247"/>
      <c r="L184" s="247"/>
      <c r="M184" s="247"/>
      <c r="N184" s="247"/>
      <c r="O184" s="247"/>
      <c r="P184" s="247"/>
      <c r="R184" s="805"/>
    </row>
    <row r="185" spans="2:18" ht="28.5" customHeight="1" x14ac:dyDescent="0.25">
      <c r="B185" s="1090" t="str">
        <f>"per 31/12/"&amp;$H$13</f>
        <v>per 31/12/2016</v>
      </c>
      <c r="C185" s="1091"/>
      <c r="D185" s="1091"/>
      <c r="E185" s="1092"/>
      <c r="F185" s="167"/>
      <c r="G185" s="520"/>
      <c r="H185" s="520"/>
      <c r="I185" s="247"/>
      <c r="J185" s="247"/>
      <c r="K185" s="247"/>
      <c r="L185" s="247"/>
      <c r="M185" s="247"/>
      <c r="N185" s="247"/>
      <c r="O185" s="247"/>
      <c r="P185" s="247"/>
      <c r="R185" s="805"/>
    </row>
    <row r="186" spans="2:18" ht="28.5" customHeight="1" x14ac:dyDescent="0.25">
      <c r="B186" s="1090" t="str">
        <f>"per 31/12/"&amp;$I$13</f>
        <v>per 31/12/2017</v>
      </c>
      <c r="C186" s="1091"/>
      <c r="D186" s="1091"/>
      <c r="E186" s="1092"/>
      <c r="F186" s="167"/>
      <c r="G186" s="520"/>
      <c r="H186" s="520"/>
      <c r="I186" s="520"/>
      <c r="J186" s="247"/>
      <c r="K186" s="247"/>
      <c r="L186" s="247"/>
      <c r="M186" s="247"/>
      <c r="N186" s="247"/>
      <c r="O186" s="247"/>
      <c r="P186" s="247"/>
      <c r="R186" s="805"/>
    </row>
    <row r="187" spans="2:18" ht="28.5" customHeight="1" x14ac:dyDescent="0.25">
      <c r="B187" s="1090" t="str">
        <f>"per 31/12/"&amp;$J$13</f>
        <v>per 31/12/2018</v>
      </c>
      <c r="C187" s="1091"/>
      <c r="D187" s="1091"/>
      <c r="E187" s="1092"/>
      <c r="F187" s="167"/>
      <c r="G187" s="520"/>
      <c r="H187" s="520"/>
      <c r="I187" s="520"/>
      <c r="J187" s="520"/>
      <c r="K187" s="247"/>
      <c r="L187" s="247"/>
      <c r="M187" s="247"/>
      <c r="N187" s="247"/>
      <c r="O187" s="247"/>
      <c r="P187" s="247"/>
      <c r="R187" s="805"/>
    </row>
    <row r="188" spans="2:18" ht="28.5" customHeight="1" x14ac:dyDescent="0.25">
      <c r="B188" s="1090" t="str">
        <f>"per 31/12/"&amp;$K$13</f>
        <v>per 31/12/2019</v>
      </c>
      <c r="C188" s="1091"/>
      <c r="D188" s="1091"/>
      <c r="E188" s="1092"/>
      <c r="F188" s="167"/>
      <c r="G188" s="520"/>
      <c r="H188" s="520"/>
      <c r="I188" s="520"/>
      <c r="J188" s="520"/>
      <c r="K188" s="520"/>
      <c r="L188" s="247"/>
      <c r="M188" s="247"/>
      <c r="N188" s="247"/>
      <c r="O188" s="247"/>
      <c r="P188" s="247"/>
      <c r="R188" s="805"/>
    </row>
    <row r="189" spans="2:18" ht="28.5" customHeight="1" x14ac:dyDescent="0.25">
      <c r="B189" s="1090" t="str">
        <f>"per 31/12/"&amp;$L$13</f>
        <v>per 31/12/2020</v>
      </c>
      <c r="C189" s="1091"/>
      <c r="D189" s="1091"/>
      <c r="E189" s="1092"/>
      <c r="F189" s="167"/>
      <c r="G189" s="520"/>
      <c r="H189" s="520"/>
      <c r="I189" s="520"/>
      <c r="J189" s="520"/>
      <c r="K189" s="520"/>
      <c r="L189" s="520"/>
      <c r="M189" s="247"/>
      <c r="N189" s="247"/>
      <c r="O189" s="247"/>
      <c r="P189" s="247"/>
      <c r="R189" s="805"/>
    </row>
    <row r="190" spans="2:18" ht="28.5" customHeight="1" x14ac:dyDescent="0.25">
      <c r="B190" s="1090" t="str">
        <f>"per 31/12/"&amp;$M$13</f>
        <v>per 31/12/2021</v>
      </c>
      <c r="C190" s="1091"/>
      <c r="D190" s="1091"/>
      <c r="E190" s="1092"/>
      <c r="F190" s="167"/>
      <c r="G190" s="520"/>
      <c r="H190" s="520"/>
      <c r="I190" s="520"/>
      <c r="J190" s="520"/>
      <c r="K190" s="520"/>
      <c r="L190" s="520"/>
      <c r="M190" s="520"/>
      <c r="N190" s="247"/>
      <c r="O190" s="247"/>
      <c r="P190" s="247"/>
      <c r="R190" s="805"/>
    </row>
    <row r="191" spans="2:18" ht="28.5" customHeight="1" x14ac:dyDescent="0.25">
      <c r="B191" s="1090" t="str">
        <f>"per 31/12/"&amp;$N$13</f>
        <v>per 31/12/2022</v>
      </c>
      <c r="C191" s="1091"/>
      <c r="D191" s="1091"/>
      <c r="E191" s="1092"/>
      <c r="F191" s="167"/>
      <c r="G191" s="520"/>
      <c r="H191" s="520"/>
      <c r="I191" s="520"/>
      <c r="J191" s="520"/>
      <c r="K191" s="520"/>
      <c r="L191" s="520"/>
      <c r="M191" s="520"/>
      <c r="N191" s="520"/>
      <c r="O191" s="247"/>
      <c r="P191" s="247"/>
      <c r="R191" s="805"/>
    </row>
    <row r="192" spans="2:18" ht="28.5" customHeight="1" x14ac:dyDescent="0.25">
      <c r="B192" s="1090" t="str">
        <f>"per 31/12/"&amp;$O$13</f>
        <v>per 31/12/2023</v>
      </c>
      <c r="C192" s="1091"/>
      <c r="D192" s="1091"/>
      <c r="E192" s="1092"/>
      <c r="F192" s="167"/>
      <c r="G192" s="247"/>
      <c r="H192" s="247"/>
      <c r="I192" s="247"/>
      <c r="J192" s="247"/>
      <c r="K192" s="247"/>
      <c r="L192" s="520"/>
      <c r="M192" s="520"/>
      <c r="N192" s="520"/>
      <c r="O192" s="520"/>
      <c r="P192" s="247"/>
      <c r="R192" s="805"/>
    </row>
    <row r="193" spans="2:18" ht="28.5" customHeight="1" x14ac:dyDescent="0.25">
      <c r="B193" s="1090" t="str">
        <f>"per 31/12/"&amp;$P$13</f>
        <v>per 31/12/2024</v>
      </c>
      <c r="C193" s="1091"/>
      <c r="D193" s="1091"/>
      <c r="E193" s="1092"/>
      <c r="F193" s="167"/>
      <c r="G193" s="247"/>
      <c r="H193" s="247"/>
      <c r="I193" s="247"/>
      <c r="J193" s="247"/>
      <c r="K193" s="247"/>
      <c r="L193" s="247"/>
      <c r="M193" s="520"/>
      <c r="N193" s="520"/>
      <c r="O193" s="520"/>
      <c r="P193" s="520"/>
      <c r="R193" s="805"/>
    </row>
    <row r="194" spans="2:18" ht="30" customHeight="1" x14ac:dyDescent="0.25">
      <c r="B194" s="1096" t="s">
        <v>67</v>
      </c>
      <c r="C194" s="1097"/>
      <c r="D194" s="1097"/>
      <c r="E194" s="1098"/>
      <c r="F194" s="167"/>
      <c r="G194" s="804"/>
      <c r="H194" s="804"/>
      <c r="I194" s="804"/>
      <c r="J194" s="804"/>
      <c r="K194" s="804"/>
      <c r="L194" s="804"/>
      <c r="M194" s="804"/>
      <c r="N194" s="804"/>
      <c r="O194" s="804"/>
      <c r="P194" s="804"/>
      <c r="R194" s="804"/>
    </row>
    <row r="195" spans="2:18" ht="28.5" customHeight="1" x14ac:dyDescent="0.25">
      <c r="B195" s="1090" t="str">
        <f>"per 31/12/"&amp;$G$13</f>
        <v>per 31/12/2015</v>
      </c>
      <c r="C195" s="1091"/>
      <c r="D195" s="1091"/>
      <c r="E195" s="1092"/>
      <c r="F195" s="167"/>
      <c r="G195" s="247">
        <f>+G$20+G87</f>
        <v>0</v>
      </c>
      <c r="H195" s="247"/>
      <c r="I195" s="247"/>
      <c r="J195" s="247"/>
      <c r="K195" s="247"/>
      <c r="L195" s="247"/>
      <c r="M195" s="247"/>
      <c r="N195" s="247"/>
      <c r="O195" s="247"/>
      <c r="P195" s="247"/>
      <c r="R195" s="803">
        <f t="shared" si="13"/>
        <v>0</v>
      </c>
    </row>
    <row r="196" spans="2:18" ht="28.5" customHeight="1" x14ac:dyDescent="0.25">
      <c r="B196" s="1090" t="str">
        <f>"per 31/12/"&amp;$H$13</f>
        <v>per 31/12/2016</v>
      </c>
      <c r="C196" s="1091"/>
      <c r="D196" s="1091"/>
      <c r="E196" s="1092"/>
      <c r="F196" s="167"/>
      <c r="G196" s="247">
        <f t="shared" ref="G196:G202" si="22">+G195+G88</f>
        <v>0</v>
      </c>
      <c r="H196" s="247">
        <f>+H$20+H88</f>
        <v>0</v>
      </c>
      <c r="I196" s="247"/>
      <c r="J196" s="247"/>
      <c r="K196" s="247"/>
      <c r="L196" s="247"/>
      <c r="M196" s="247"/>
      <c r="N196" s="247"/>
      <c r="O196" s="247"/>
      <c r="P196" s="247"/>
      <c r="R196" s="803">
        <f t="shared" si="13"/>
        <v>0</v>
      </c>
    </row>
    <row r="197" spans="2:18" ht="28.5" customHeight="1" x14ac:dyDescent="0.25">
      <c r="B197" s="1090" t="str">
        <f>"per 31/12/"&amp;$I$13</f>
        <v>per 31/12/2017</v>
      </c>
      <c r="C197" s="1091"/>
      <c r="D197" s="1091"/>
      <c r="E197" s="1092"/>
      <c r="F197" s="167"/>
      <c r="G197" s="247">
        <f t="shared" si="22"/>
        <v>0</v>
      </c>
      <c r="H197" s="247">
        <f t="shared" ref="H197:H202" si="23">+H196+H89</f>
        <v>0</v>
      </c>
      <c r="I197" s="247">
        <f>+I$20+I89</f>
        <v>0</v>
      </c>
      <c r="J197" s="247"/>
      <c r="K197" s="247"/>
      <c r="L197" s="247"/>
      <c r="M197" s="247"/>
      <c r="N197" s="247"/>
      <c r="O197" s="247"/>
      <c r="P197" s="247"/>
      <c r="R197" s="803">
        <f t="shared" si="13"/>
        <v>0</v>
      </c>
    </row>
    <row r="198" spans="2:18" ht="28.5" customHeight="1" x14ac:dyDescent="0.25">
      <c r="B198" s="1090" t="str">
        <f>"per 31/12/"&amp;$J$13</f>
        <v>per 31/12/2018</v>
      </c>
      <c r="C198" s="1091"/>
      <c r="D198" s="1091"/>
      <c r="E198" s="1092"/>
      <c r="F198" s="167"/>
      <c r="G198" s="247">
        <f t="shared" si="22"/>
        <v>0</v>
      </c>
      <c r="H198" s="247">
        <f t="shared" si="23"/>
        <v>0</v>
      </c>
      <c r="I198" s="247">
        <f>+I197+I90</f>
        <v>0</v>
      </c>
      <c r="J198" s="247">
        <f>+J$20+J90</f>
        <v>0</v>
      </c>
      <c r="K198" s="247"/>
      <c r="L198" s="247"/>
      <c r="M198" s="247"/>
      <c r="N198" s="247"/>
      <c r="O198" s="247"/>
      <c r="P198" s="247"/>
      <c r="R198" s="803">
        <f t="shared" si="13"/>
        <v>0</v>
      </c>
    </row>
    <row r="199" spans="2:18" ht="28.5" customHeight="1" x14ac:dyDescent="0.25">
      <c r="B199" s="1090" t="str">
        <f>"per 31/12/"&amp;$K$13</f>
        <v>per 31/12/2019</v>
      </c>
      <c r="C199" s="1091"/>
      <c r="D199" s="1091"/>
      <c r="E199" s="1092"/>
      <c r="F199" s="167"/>
      <c r="G199" s="247">
        <f t="shared" si="22"/>
        <v>0</v>
      </c>
      <c r="H199" s="247">
        <f t="shared" si="23"/>
        <v>0</v>
      </c>
      <c r="I199" s="247">
        <f>+I198+I91</f>
        <v>0</v>
      </c>
      <c r="J199" s="247">
        <f>+J198+J91</f>
        <v>0</v>
      </c>
      <c r="K199" s="247">
        <f>+K$20+K91</f>
        <v>0</v>
      </c>
      <c r="L199" s="247"/>
      <c r="M199" s="247"/>
      <c r="N199" s="247"/>
      <c r="O199" s="247"/>
      <c r="P199" s="247"/>
      <c r="R199" s="803">
        <f t="shared" si="13"/>
        <v>0</v>
      </c>
    </row>
    <row r="200" spans="2:18" ht="28.5" customHeight="1" x14ac:dyDescent="0.25">
      <c r="B200" s="1090" t="str">
        <f>"per 31/12/"&amp;$L$13</f>
        <v>per 31/12/2020</v>
      </c>
      <c r="C200" s="1091"/>
      <c r="D200" s="1091"/>
      <c r="E200" s="1092"/>
      <c r="F200" s="167"/>
      <c r="G200" s="247">
        <f t="shared" si="22"/>
        <v>0</v>
      </c>
      <c r="H200" s="247">
        <f t="shared" si="23"/>
        <v>0</v>
      </c>
      <c r="I200" s="247">
        <f>+I199+I92</f>
        <v>0</v>
      </c>
      <c r="J200" s="247">
        <f>+J199+J92</f>
        <v>0</v>
      </c>
      <c r="K200" s="247">
        <f>+K199+K92</f>
        <v>0</v>
      </c>
      <c r="L200" s="247">
        <f>+L$20+L92</f>
        <v>0</v>
      </c>
      <c r="M200" s="247"/>
      <c r="N200" s="247"/>
      <c r="O200" s="247"/>
      <c r="P200" s="247"/>
      <c r="R200" s="803">
        <f t="shared" si="13"/>
        <v>0</v>
      </c>
    </row>
    <row r="201" spans="2:18" ht="28.5" customHeight="1" x14ac:dyDescent="0.25">
      <c r="B201" s="1090" t="str">
        <f>"per 31/12/"&amp;$M$13</f>
        <v>per 31/12/2021</v>
      </c>
      <c r="C201" s="1091"/>
      <c r="D201" s="1091"/>
      <c r="E201" s="1092"/>
      <c r="F201" s="167"/>
      <c r="G201" s="247">
        <f t="shared" si="22"/>
        <v>0</v>
      </c>
      <c r="H201" s="247">
        <f t="shared" si="23"/>
        <v>0</v>
      </c>
      <c r="I201" s="247">
        <f>+I200+I93</f>
        <v>0</v>
      </c>
      <c r="J201" s="247">
        <f>+J200+J93</f>
        <v>0</v>
      </c>
      <c r="K201" s="247">
        <f>+K200+K93</f>
        <v>0</v>
      </c>
      <c r="L201" s="247">
        <f>+L200+L93</f>
        <v>0</v>
      </c>
      <c r="M201" s="247">
        <f>+M$20+M93</f>
        <v>0</v>
      </c>
      <c r="N201" s="247"/>
      <c r="O201" s="247"/>
      <c r="P201" s="247"/>
      <c r="R201" s="803">
        <f t="shared" si="13"/>
        <v>0</v>
      </c>
    </row>
    <row r="202" spans="2:18" ht="28.5" customHeight="1" x14ac:dyDescent="0.25">
      <c r="B202" s="1090" t="str">
        <f>"per 31/12/"&amp;$N$13</f>
        <v>per 31/12/2022</v>
      </c>
      <c r="C202" s="1091"/>
      <c r="D202" s="1091"/>
      <c r="E202" s="1092"/>
      <c r="F202" s="167"/>
      <c r="G202" s="247">
        <f t="shared" si="22"/>
        <v>0</v>
      </c>
      <c r="H202" s="247">
        <f t="shared" si="23"/>
        <v>0</v>
      </c>
      <c r="I202" s="247">
        <f>+I201+I94</f>
        <v>0</v>
      </c>
      <c r="J202" s="247">
        <f>+J201+J94</f>
        <v>0</v>
      </c>
      <c r="K202" s="247">
        <f>+K201+K94</f>
        <v>0</v>
      </c>
      <c r="L202" s="247">
        <f>+L201+L94</f>
        <v>0</v>
      </c>
      <c r="M202" s="247">
        <f>+M201+M94</f>
        <v>0</v>
      </c>
      <c r="N202" s="247">
        <f>+N$20+N94</f>
        <v>0</v>
      </c>
      <c r="O202" s="247"/>
      <c r="P202" s="247"/>
      <c r="R202" s="803">
        <f t="shared" si="13"/>
        <v>0</v>
      </c>
    </row>
    <row r="203" spans="2:18" ht="28.5" customHeight="1" x14ac:dyDescent="0.25">
      <c r="B203" s="1090" t="str">
        <f>"per 31/12/"&amp;$O$13</f>
        <v>per 31/12/2023</v>
      </c>
      <c r="C203" s="1091"/>
      <c r="D203" s="1091"/>
      <c r="E203" s="1092"/>
      <c r="F203" s="167"/>
      <c r="G203" s="247"/>
      <c r="H203" s="247"/>
      <c r="I203" s="247"/>
      <c r="J203" s="247"/>
      <c r="K203" s="247"/>
      <c r="L203" s="247">
        <f>+L202+L95</f>
        <v>0</v>
      </c>
      <c r="M203" s="247">
        <f>+M202+M95</f>
        <v>0</v>
      </c>
      <c r="N203" s="247">
        <f>+N202+N95</f>
        <v>0</v>
      </c>
      <c r="O203" s="247">
        <f>+O$20+O95</f>
        <v>0</v>
      </c>
      <c r="P203" s="247"/>
      <c r="R203" s="803">
        <f t="shared" si="13"/>
        <v>0</v>
      </c>
    </row>
    <row r="204" spans="2:18" ht="28.5" customHeight="1" x14ac:dyDescent="0.25">
      <c r="B204" s="1090" t="str">
        <f>"per 31/12/"&amp;$P$13</f>
        <v>per 31/12/2024</v>
      </c>
      <c r="C204" s="1091"/>
      <c r="D204" s="1091"/>
      <c r="E204" s="1092"/>
      <c r="F204" s="167"/>
      <c r="G204" s="247"/>
      <c r="H204" s="247"/>
      <c r="I204" s="247"/>
      <c r="J204" s="247"/>
      <c r="K204" s="247"/>
      <c r="L204" s="247"/>
      <c r="M204" s="247">
        <f>+M203+M96</f>
        <v>0</v>
      </c>
      <c r="N204" s="247">
        <f>+N203+N96</f>
        <v>0</v>
      </c>
      <c r="O204" s="247">
        <f>+O203+O96</f>
        <v>0</v>
      </c>
      <c r="P204" s="247">
        <f>+P$20+P96</f>
        <v>0</v>
      </c>
      <c r="R204" s="803">
        <f t="shared" si="13"/>
        <v>0</v>
      </c>
    </row>
    <row r="205" spans="2:18" ht="26.25" customHeight="1" x14ac:dyDescent="0.25">
      <c r="B205" s="1096" t="s">
        <v>96</v>
      </c>
      <c r="C205" s="1097"/>
      <c r="D205" s="1097"/>
      <c r="E205" s="1098"/>
      <c r="F205" s="167"/>
      <c r="G205" s="804"/>
      <c r="H205" s="804"/>
      <c r="I205" s="804"/>
      <c r="J205" s="804"/>
      <c r="K205" s="804"/>
      <c r="L205" s="804"/>
      <c r="M205" s="804"/>
      <c r="N205" s="804"/>
      <c r="O205" s="804"/>
      <c r="P205" s="804"/>
      <c r="R205" s="804"/>
    </row>
    <row r="206" spans="2:18" ht="28.5" customHeight="1" x14ac:dyDescent="0.25">
      <c r="B206" s="1090" t="str">
        <f>"per 31/12/"&amp;$G$13</f>
        <v>per 31/12/2015</v>
      </c>
      <c r="C206" s="1091"/>
      <c r="D206" s="1091"/>
      <c r="E206" s="1092"/>
      <c r="F206" s="167"/>
      <c r="G206" s="247">
        <f>+G$21+G98</f>
        <v>0</v>
      </c>
      <c r="H206" s="247"/>
      <c r="I206" s="247"/>
      <c r="J206" s="247"/>
      <c r="K206" s="247"/>
      <c r="L206" s="247"/>
      <c r="M206" s="247"/>
      <c r="N206" s="247"/>
      <c r="O206" s="247"/>
      <c r="P206" s="247"/>
      <c r="R206" s="803">
        <f t="shared" si="13"/>
        <v>0</v>
      </c>
    </row>
    <row r="207" spans="2:18" ht="28.5" customHeight="1" x14ac:dyDescent="0.25">
      <c r="B207" s="1090" t="str">
        <f>"per 31/12/"&amp;$H$13</f>
        <v>per 31/12/2016</v>
      </c>
      <c r="C207" s="1091"/>
      <c r="D207" s="1091"/>
      <c r="E207" s="1092"/>
      <c r="F207" s="167"/>
      <c r="G207" s="247">
        <f t="shared" ref="G207:G213" si="24">G206+G99</f>
        <v>0</v>
      </c>
      <c r="H207" s="247">
        <f>+H$21+H99</f>
        <v>0</v>
      </c>
      <c r="I207" s="247"/>
      <c r="J207" s="247"/>
      <c r="K207" s="247"/>
      <c r="L207" s="247"/>
      <c r="M207" s="247"/>
      <c r="N207" s="247"/>
      <c r="O207" s="247"/>
      <c r="P207" s="247"/>
      <c r="R207" s="803">
        <f t="shared" si="13"/>
        <v>0</v>
      </c>
    </row>
    <row r="208" spans="2:18" ht="28.5" customHeight="1" x14ac:dyDescent="0.25">
      <c r="B208" s="1090" t="str">
        <f>"per 31/12/"&amp;$I$13</f>
        <v>per 31/12/2017</v>
      </c>
      <c r="C208" s="1091"/>
      <c r="D208" s="1091"/>
      <c r="E208" s="1092"/>
      <c r="F208" s="167"/>
      <c r="G208" s="247">
        <f t="shared" si="24"/>
        <v>0</v>
      </c>
      <c r="H208" s="247">
        <f t="shared" ref="H208:H213" si="25">H207+H100</f>
        <v>0</v>
      </c>
      <c r="I208" s="247">
        <f>+I$21+I100</f>
        <v>0</v>
      </c>
      <c r="J208" s="247"/>
      <c r="K208" s="247"/>
      <c r="L208" s="247"/>
      <c r="M208" s="247"/>
      <c r="N208" s="247"/>
      <c r="O208" s="247"/>
      <c r="P208" s="247"/>
      <c r="R208" s="803">
        <f t="shared" si="13"/>
        <v>0</v>
      </c>
    </row>
    <row r="209" spans="2:18" ht="28.5" customHeight="1" x14ac:dyDescent="0.25">
      <c r="B209" s="1090" t="str">
        <f>"per 31/12/"&amp;$J$13</f>
        <v>per 31/12/2018</v>
      </c>
      <c r="C209" s="1091"/>
      <c r="D209" s="1091"/>
      <c r="E209" s="1092"/>
      <c r="F209" s="167"/>
      <c r="G209" s="247">
        <f t="shared" si="24"/>
        <v>0</v>
      </c>
      <c r="H209" s="247">
        <f t="shared" si="25"/>
        <v>0</v>
      </c>
      <c r="I209" s="247">
        <f>I208+I101</f>
        <v>0</v>
      </c>
      <c r="J209" s="247">
        <f>+J$21+J101</f>
        <v>0</v>
      </c>
      <c r="K209" s="247"/>
      <c r="L209" s="247"/>
      <c r="M209" s="247"/>
      <c r="N209" s="247"/>
      <c r="O209" s="247"/>
      <c r="P209" s="247"/>
      <c r="R209" s="803">
        <f t="shared" si="13"/>
        <v>0</v>
      </c>
    </row>
    <row r="210" spans="2:18" ht="28.5" customHeight="1" x14ac:dyDescent="0.25">
      <c r="B210" s="1090" t="str">
        <f>"per 31/12/"&amp;$K$13</f>
        <v>per 31/12/2019</v>
      </c>
      <c r="C210" s="1091"/>
      <c r="D210" s="1091"/>
      <c r="E210" s="1092"/>
      <c r="F210" s="167"/>
      <c r="G210" s="247">
        <f t="shared" si="24"/>
        <v>0</v>
      </c>
      <c r="H210" s="247">
        <f t="shared" si="25"/>
        <v>0</v>
      </c>
      <c r="I210" s="247">
        <f>I209+I102</f>
        <v>0</v>
      </c>
      <c r="J210" s="247">
        <f>J209+J102</f>
        <v>0</v>
      </c>
      <c r="K210" s="247">
        <f>+K$21+K102</f>
        <v>0</v>
      </c>
      <c r="L210" s="247"/>
      <c r="M210" s="247"/>
      <c r="N210" s="247"/>
      <c r="O210" s="247"/>
      <c r="P210" s="247"/>
      <c r="R210" s="803">
        <f t="shared" si="13"/>
        <v>0</v>
      </c>
    </row>
    <row r="211" spans="2:18" ht="28.5" customHeight="1" x14ac:dyDescent="0.25">
      <c r="B211" s="1090" t="str">
        <f>"per 31/12/"&amp;$L$13</f>
        <v>per 31/12/2020</v>
      </c>
      <c r="C211" s="1091"/>
      <c r="D211" s="1091"/>
      <c r="E211" s="1092"/>
      <c r="F211" s="167"/>
      <c r="G211" s="247">
        <f t="shared" si="24"/>
        <v>0</v>
      </c>
      <c r="H211" s="247">
        <f t="shared" si="25"/>
        <v>0</v>
      </c>
      <c r="I211" s="247">
        <f>I210+I103</f>
        <v>0</v>
      </c>
      <c r="J211" s="247">
        <f>J210+J103</f>
        <v>0</v>
      </c>
      <c r="K211" s="247">
        <f>K210+K103</f>
        <v>0</v>
      </c>
      <c r="L211" s="247">
        <f>+L$21+L103</f>
        <v>0</v>
      </c>
      <c r="M211" s="247"/>
      <c r="N211" s="247"/>
      <c r="O211" s="247"/>
      <c r="P211" s="247"/>
      <c r="R211" s="803">
        <f t="shared" si="13"/>
        <v>0</v>
      </c>
    </row>
    <row r="212" spans="2:18" ht="28.5" customHeight="1" x14ac:dyDescent="0.25">
      <c r="B212" s="1090" t="str">
        <f>"per 31/12/"&amp;$M$13</f>
        <v>per 31/12/2021</v>
      </c>
      <c r="C212" s="1091"/>
      <c r="D212" s="1091"/>
      <c r="E212" s="1092"/>
      <c r="F212" s="167"/>
      <c r="G212" s="247">
        <f t="shared" si="24"/>
        <v>0</v>
      </c>
      <c r="H212" s="247">
        <f t="shared" si="25"/>
        <v>0</v>
      </c>
      <c r="I212" s="247">
        <f>I211+I104</f>
        <v>0</v>
      </c>
      <c r="J212" s="247">
        <f>J211+J104</f>
        <v>0</v>
      </c>
      <c r="K212" s="247">
        <f>K211+K104</f>
        <v>0</v>
      </c>
      <c r="L212" s="247">
        <f>L211+L104</f>
        <v>0</v>
      </c>
      <c r="M212" s="247">
        <f>+M$21+M104</f>
        <v>0</v>
      </c>
      <c r="N212" s="247"/>
      <c r="O212" s="247"/>
      <c r="P212" s="247"/>
      <c r="R212" s="803">
        <f t="shared" si="13"/>
        <v>0</v>
      </c>
    </row>
    <row r="213" spans="2:18" ht="28.5" customHeight="1" x14ac:dyDescent="0.25">
      <c r="B213" s="1090" t="str">
        <f>"per 31/12/"&amp;$N$13</f>
        <v>per 31/12/2022</v>
      </c>
      <c r="C213" s="1091"/>
      <c r="D213" s="1091"/>
      <c r="E213" s="1092"/>
      <c r="F213" s="167"/>
      <c r="G213" s="247">
        <f t="shared" si="24"/>
        <v>0</v>
      </c>
      <c r="H213" s="247">
        <f t="shared" si="25"/>
        <v>0</v>
      </c>
      <c r="I213" s="247">
        <f>I212+I105</f>
        <v>0</v>
      </c>
      <c r="J213" s="247">
        <f>J212+J105</f>
        <v>0</v>
      </c>
      <c r="K213" s="247">
        <f>K212+K105</f>
        <v>0</v>
      </c>
      <c r="L213" s="247">
        <f>L212+L105</f>
        <v>0</v>
      </c>
      <c r="M213" s="247">
        <f>M212+M105</f>
        <v>0</v>
      </c>
      <c r="N213" s="520"/>
      <c r="O213" s="247"/>
      <c r="P213" s="247"/>
      <c r="R213" s="803">
        <f t="shared" si="13"/>
        <v>0</v>
      </c>
    </row>
    <row r="214" spans="2:18" ht="28.5" customHeight="1" x14ac:dyDescent="0.25">
      <c r="B214" s="1090" t="str">
        <f>"per 31/12/"&amp;$O$13</f>
        <v>per 31/12/2023</v>
      </c>
      <c r="C214" s="1091"/>
      <c r="D214" s="1091"/>
      <c r="E214" s="1092"/>
      <c r="F214" s="167"/>
      <c r="G214" s="247"/>
      <c r="H214" s="247"/>
      <c r="I214" s="247"/>
      <c r="J214" s="247"/>
      <c r="K214" s="247"/>
      <c r="L214" s="247">
        <f>L213+L106</f>
        <v>0</v>
      </c>
      <c r="M214" s="247">
        <f>M213+M106</f>
        <v>0</v>
      </c>
      <c r="N214" s="520"/>
      <c r="O214" s="520"/>
      <c r="P214" s="247"/>
      <c r="R214" s="803">
        <f t="shared" si="13"/>
        <v>0</v>
      </c>
    </row>
    <row r="215" spans="2:18" ht="28.5" customHeight="1" x14ac:dyDescent="0.25">
      <c r="B215" s="1090" t="str">
        <f>"per 31/12/"&amp;$P$13</f>
        <v>per 31/12/2024</v>
      </c>
      <c r="C215" s="1091"/>
      <c r="D215" s="1091"/>
      <c r="E215" s="1092"/>
      <c r="F215" s="167"/>
      <c r="G215" s="247"/>
      <c r="H215" s="247"/>
      <c r="I215" s="247"/>
      <c r="J215" s="247"/>
      <c r="K215" s="247"/>
      <c r="L215" s="247"/>
      <c r="M215" s="247">
        <f>M214+M107</f>
        <v>0</v>
      </c>
      <c r="N215" s="520"/>
      <c r="O215" s="520"/>
      <c r="P215" s="520"/>
      <c r="R215" s="803">
        <f t="shared" ref="R215" si="26">SUM(G215:P215)</f>
        <v>0</v>
      </c>
    </row>
    <row r="216" spans="2:18" ht="33" customHeight="1" x14ac:dyDescent="0.25">
      <c r="B216" s="1096" t="s">
        <v>357</v>
      </c>
      <c r="C216" s="1097"/>
      <c r="D216" s="1097"/>
      <c r="E216" s="1098"/>
      <c r="F216" s="167"/>
      <c r="G216" s="804"/>
      <c r="H216" s="804"/>
      <c r="I216" s="804"/>
      <c r="J216" s="804"/>
      <c r="K216" s="804"/>
      <c r="L216" s="804"/>
      <c r="M216" s="804"/>
      <c r="N216" s="804"/>
      <c r="O216" s="804"/>
      <c r="P216" s="804"/>
      <c r="R216" s="804"/>
    </row>
    <row r="217" spans="2:18" ht="28.5" customHeight="1" x14ac:dyDescent="0.25">
      <c r="B217" s="1090" t="str">
        <f>"per 31/12/"&amp;$G$13</f>
        <v>per 31/12/2015</v>
      </c>
      <c r="C217" s="1091"/>
      <c r="D217" s="1091"/>
      <c r="E217" s="1092"/>
      <c r="F217" s="167"/>
      <c r="G217" s="808">
        <f>+G$22+G109</f>
        <v>0</v>
      </c>
      <c r="H217" s="247"/>
      <c r="I217" s="247"/>
      <c r="J217" s="247"/>
      <c r="K217" s="247"/>
      <c r="L217" s="247"/>
      <c r="M217" s="247"/>
      <c r="N217" s="247"/>
      <c r="O217" s="247"/>
      <c r="P217" s="247"/>
      <c r="R217" s="803">
        <f t="shared" ref="R217:R226" si="27">SUM(G217:P217)</f>
        <v>0</v>
      </c>
    </row>
    <row r="218" spans="2:18" ht="28.5" customHeight="1" x14ac:dyDescent="0.25">
      <c r="B218" s="1090" t="str">
        <f>"per 31/12/"&amp;$H$13</f>
        <v>per 31/12/2016</v>
      </c>
      <c r="C218" s="1091"/>
      <c r="D218" s="1091"/>
      <c r="E218" s="1092"/>
      <c r="F218" s="167"/>
      <c r="G218" s="247">
        <f t="shared" ref="G218:G224" si="28">+G217+G110</f>
        <v>0</v>
      </c>
      <c r="H218" s="247">
        <f>+H$22+H110</f>
        <v>0</v>
      </c>
      <c r="I218" s="247"/>
      <c r="J218" s="247"/>
      <c r="K218" s="247"/>
      <c r="L218" s="247"/>
      <c r="M218" s="247"/>
      <c r="N218" s="247"/>
      <c r="O218" s="247"/>
      <c r="P218" s="247"/>
      <c r="R218" s="803">
        <f t="shared" si="27"/>
        <v>0</v>
      </c>
    </row>
    <row r="219" spans="2:18" ht="28.5" customHeight="1" x14ac:dyDescent="0.25">
      <c r="B219" s="1090" t="str">
        <f>"per 31/12/"&amp;$I$13</f>
        <v>per 31/12/2017</v>
      </c>
      <c r="C219" s="1091"/>
      <c r="D219" s="1091"/>
      <c r="E219" s="1092"/>
      <c r="F219" s="167"/>
      <c r="G219" s="247">
        <f t="shared" si="28"/>
        <v>0</v>
      </c>
      <c r="H219" s="247">
        <f t="shared" ref="H219:H224" si="29">+H218+H111</f>
        <v>0</v>
      </c>
      <c r="I219" s="247">
        <f>+I$22+I111</f>
        <v>0</v>
      </c>
      <c r="J219" s="247"/>
      <c r="K219" s="247"/>
      <c r="L219" s="247"/>
      <c r="M219" s="247"/>
      <c r="N219" s="247"/>
      <c r="O219" s="247"/>
      <c r="P219" s="247"/>
      <c r="R219" s="803">
        <f t="shared" si="27"/>
        <v>0</v>
      </c>
    </row>
    <row r="220" spans="2:18" ht="28.5" customHeight="1" x14ac:dyDescent="0.25">
      <c r="B220" s="1090" t="str">
        <f>"per 31/12/"&amp;$J$13</f>
        <v>per 31/12/2018</v>
      </c>
      <c r="C220" s="1091"/>
      <c r="D220" s="1091"/>
      <c r="E220" s="1092"/>
      <c r="F220" s="167"/>
      <c r="G220" s="247">
        <f t="shared" si="28"/>
        <v>0</v>
      </c>
      <c r="H220" s="247">
        <f t="shared" si="29"/>
        <v>0</v>
      </c>
      <c r="I220" s="247">
        <f>+I219+I112</f>
        <v>0</v>
      </c>
      <c r="J220" s="247">
        <f>+J$22+J112</f>
        <v>0</v>
      </c>
      <c r="K220" s="247"/>
      <c r="L220" s="247"/>
      <c r="M220" s="247"/>
      <c r="N220" s="247"/>
      <c r="O220" s="247"/>
      <c r="P220" s="247"/>
      <c r="R220" s="803">
        <f t="shared" si="27"/>
        <v>0</v>
      </c>
    </row>
    <row r="221" spans="2:18" ht="28.5" customHeight="1" x14ac:dyDescent="0.25">
      <c r="B221" s="1090" t="str">
        <f>"per 31/12/"&amp;$K$13</f>
        <v>per 31/12/2019</v>
      </c>
      <c r="C221" s="1091"/>
      <c r="D221" s="1091"/>
      <c r="E221" s="1092"/>
      <c r="F221" s="167"/>
      <c r="G221" s="247">
        <f t="shared" si="28"/>
        <v>0</v>
      </c>
      <c r="H221" s="247">
        <f t="shared" si="29"/>
        <v>0</v>
      </c>
      <c r="I221" s="247">
        <f>+I220+I113</f>
        <v>0</v>
      </c>
      <c r="J221" s="247">
        <f>+J220+J113</f>
        <v>0</v>
      </c>
      <c r="K221" s="247">
        <f>+K$22+K113</f>
        <v>0</v>
      </c>
      <c r="L221" s="247"/>
      <c r="M221" s="247"/>
      <c r="N221" s="247"/>
      <c r="O221" s="247"/>
      <c r="P221" s="247"/>
      <c r="R221" s="803">
        <f t="shared" si="27"/>
        <v>0</v>
      </c>
    </row>
    <row r="222" spans="2:18" ht="28.5" customHeight="1" x14ac:dyDescent="0.25">
      <c r="B222" s="1090" t="str">
        <f>"per 31/12/"&amp;$L$13</f>
        <v>per 31/12/2020</v>
      </c>
      <c r="C222" s="1091"/>
      <c r="D222" s="1091"/>
      <c r="E222" s="1092"/>
      <c r="F222" s="167"/>
      <c r="G222" s="247">
        <f t="shared" si="28"/>
        <v>0</v>
      </c>
      <c r="H222" s="247">
        <f t="shared" si="29"/>
        <v>0</v>
      </c>
      <c r="I222" s="247">
        <f>+I221+I114</f>
        <v>0</v>
      </c>
      <c r="J222" s="247">
        <f>+J221+J114</f>
        <v>0</v>
      </c>
      <c r="K222" s="247">
        <f>+K221+K114</f>
        <v>0</v>
      </c>
      <c r="L222" s="247">
        <f>+L$22+L114</f>
        <v>0</v>
      </c>
      <c r="M222" s="247"/>
      <c r="N222" s="247"/>
      <c r="O222" s="247"/>
      <c r="P222" s="247"/>
      <c r="R222" s="803">
        <f t="shared" si="27"/>
        <v>0</v>
      </c>
    </row>
    <row r="223" spans="2:18" ht="28.5" customHeight="1" x14ac:dyDescent="0.25">
      <c r="B223" s="1090" t="str">
        <f>"per 31/12/"&amp;$M$13</f>
        <v>per 31/12/2021</v>
      </c>
      <c r="C223" s="1091"/>
      <c r="D223" s="1091"/>
      <c r="E223" s="1092"/>
      <c r="F223" s="167"/>
      <c r="G223" s="247">
        <f t="shared" si="28"/>
        <v>0</v>
      </c>
      <c r="H223" s="247">
        <f t="shared" si="29"/>
        <v>0</v>
      </c>
      <c r="I223" s="247">
        <f>+I222+I115</f>
        <v>0</v>
      </c>
      <c r="J223" s="247">
        <f>+J222+J115</f>
        <v>0</v>
      </c>
      <c r="K223" s="247">
        <f>+K222+K115</f>
        <v>0</v>
      </c>
      <c r="L223" s="247">
        <f>+L222+L115</f>
        <v>0</v>
      </c>
      <c r="M223" s="247">
        <f>+M$22+M115</f>
        <v>0</v>
      </c>
      <c r="N223" s="247"/>
      <c r="O223" s="247"/>
      <c r="P223" s="247"/>
      <c r="R223" s="803">
        <f t="shared" si="27"/>
        <v>0</v>
      </c>
    </row>
    <row r="224" spans="2:18" ht="28.5" customHeight="1" x14ac:dyDescent="0.25">
      <c r="B224" s="1090" t="str">
        <f>"per 31/12/"&amp;$N$13</f>
        <v>per 31/12/2022</v>
      </c>
      <c r="C224" s="1091"/>
      <c r="D224" s="1091"/>
      <c r="E224" s="1092"/>
      <c r="F224" s="167"/>
      <c r="G224" s="247">
        <f t="shared" si="28"/>
        <v>0</v>
      </c>
      <c r="H224" s="247">
        <f t="shared" si="29"/>
        <v>0</v>
      </c>
      <c r="I224" s="247">
        <f>+I223+I116</f>
        <v>0</v>
      </c>
      <c r="J224" s="247">
        <f>+J223+J116</f>
        <v>0</v>
      </c>
      <c r="K224" s="247">
        <f>+K223+K116</f>
        <v>0</v>
      </c>
      <c r="L224" s="247">
        <f>+L223+L116</f>
        <v>0</v>
      </c>
      <c r="M224" s="247">
        <f>+M223+M116</f>
        <v>0</v>
      </c>
      <c r="N224" s="247">
        <f>+N$22+N116</f>
        <v>0</v>
      </c>
      <c r="O224" s="247"/>
      <c r="P224" s="247"/>
      <c r="R224" s="803">
        <f t="shared" si="27"/>
        <v>0</v>
      </c>
    </row>
    <row r="225" spans="1:18" ht="28.5" customHeight="1" x14ac:dyDescent="0.25">
      <c r="B225" s="1090" t="str">
        <f>"per 31/12/"&amp;$O$13</f>
        <v>per 31/12/2023</v>
      </c>
      <c r="C225" s="1091"/>
      <c r="D225" s="1091"/>
      <c r="E225" s="1092"/>
      <c r="F225" s="167"/>
      <c r="G225" s="247"/>
      <c r="H225" s="247"/>
      <c r="I225" s="247"/>
      <c r="J225" s="247"/>
      <c r="K225" s="247"/>
      <c r="L225" s="247">
        <f>+L224+L117</f>
        <v>0</v>
      </c>
      <c r="M225" s="247">
        <f>+M224+M117</f>
        <v>0</v>
      </c>
      <c r="N225" s="247">
        <f>+N224+N117</f>
        <v>0</v>
      </c>
      <c r="O225" s="247">
        <f>+O$22+O117</f>
        <v>0</v>
      </c>
      <c r="P225" s="247"/>
      <c r="R225" s="803">
        <f t="shared" si="27"/>
        <v>0</v>
      </c>
    </row>
    <row r="226" spans="1:18" ht="28.5" customHeight="1" x14ac:dyDescent="0.25">
      <c r="B226" s="1090" t="str">
        <f>"per 31/12/"&amp;$P$13</f>
        <v>per 31/12/2024</v>
      </c>
      <c r="C226" s="1091"/>
      <c r="D226" s="1091"/>
      <c r="E226" s="1092"/>
      <c r="F226" s="167"/>
      <c r="G226" s="247"/>
      <c r="H226" s="247"/>
      <c r="I226" s="247"/>
      <c r="J226" s="247"/>
      <c r="K226" s="247"/>
      <c r="L226" s="247"/>
      <c r="M226" s="247">
        <f>+M225+M118</f>
        <v>0</v>
      </c>
      <c r="N226" s="247">
        <f>+N225+N118</f>
        <v>0</v>
      </c>
      <c r="O226" s="247">
        <f>+O225+O118</f>
        <v>0</v>
      </c>
      <c r="P226" s="247">
        <f>+P$22+P118</f>
        <v>0</v>
      </c>
      <c r="R226" s="803">
        <f t="shared" si="27"/>
        <v>0</v>
      </c>
    </row>
    <row r="227" spans="1:18" ht="13" x14ac:dyDescent="0.25">
      <c r="G227" s="301"/>
      <c r="H227" s="301"/>
      <c r="I227" s="301"/>
      <c r="J227" s="301"/>
      <c r="K227" s="301"/>
      <c r="L227" s="301"/>
      <c r="M227" s="301"/>
      <c r="N227" s="301"/>
      <c r="O227" s="301"/>
      <c r="P227" s="301"/>
      <c r="R227" s="302"/>
    </row>
    <row r="228" spans="1:18" s="216" customFormat="1" ht="13" x14ac:dyDescent="0.25">
      <c r="B228" s="310"/>
      <c r="C228" s="311"/>
      <c r="D228" s="311"/>
      <c r="E228" s="312"/>
      <c r="F228" s="275"/>
      <c r="G228" s="784">
        <v>2015</v>
      </c>
      <c r="H228" s="165">
        <f>+G228+1</f>
        <v>2016</v>
      </c>
      <c r="I228" s="165">
        <f>+H228+1</f>
        <v>2017</v>
      </c>
      <c r="J228" s="165">
        <f>+I228+1</f>
        <v>2018</v>
      </c>
      <c r="K228" s="165">
        <f>+J228+1</f>
        <v>2019</v>
      </c>
      <c r="L228" s="165">
        <f t="shared" ref="L228:P228" si="30">+K228+1</f>
        <v>2020</v>
      </c>
      <c r="M228" s="165">
        <f t="shared" si="30"/>
        <v>2021</v>
      </c>
      <c r="N228" s="165">
        <f t="shared" si="30"/>
        <v>2022</v>
      </c>
      <c r="O228" s="165">
        <f t="shared" si="30"/>
        <v>2023</v>
      </c>
      <c r="P228" s="165">
        <f t="shared" si="30"/>
        <v>2024</v>
      </c>
      <c r="Q228" s="203"/>
      <c r="R228" s="165" t="s">
        <v>20</v>
      </c>
    </row>
    <row r="229" spans="1:18" ht="20.25" customHeight="1" x14ac:dyDescent="0.25">
      <c r="B229" s="1093" t="s">
        <v>125</v>
      </c>
      <c r="C229" s="1094"/>
      <c r="D229" s="1094"/>
      <c r="E229" s="1095"/>
      <c r="F229" s="169"/>
      <c r="G229" s="170"/>
      <c r="H229" s="170"/>
      <c r="I229" s="170"/>
      <c r="J229" s="170"/>
      <c r="K229" s="170"/>
      <c r="L229" s="170"/>
      <c r="M229" s="170"/>
      <c r="N229" s="170"/>
      <c r="O229" s="170"/>
      <c r="P229" s="170"/>
      <c r="R229" s="170"/>
    </row>
    <row r="230" spans="1:18" ht="28.5" customHeight="1" x14ac:dyDescent="0.25">
      <c r="A230" s="203">
        <v>2015</v>
      </c>
      <c r="B230" s="1084" t="str">
        <f>"per 31/12/"&amp;$G$13</f>
        <v>per 31/12/2015</v>
      </c>
      <c r="C230" s="1085"/>
      <c r="D230" s="1085"/>
      <c r="E230" s="1086"/>
      <c r="F230" s="313"/>
      <c r="G230" s="806">
        <f t="shared" ref="G230:G237" si="31">SUMIFS(G$140:G$226,$B$140:$B$226,$B230)</f>
        <v>0</v>
      </c>
      <c r="H230" s="806"/>
      <c r="I230" s="806"/>
      <c r="J230" s="806"/>
      <c r="K230" s="806"/>
      <c r="L230" s="806"/>
      <c r="M230" s="806"/>
      <c r="N230" s="806"/>
      <c r="O230" s="806"/>
      <c r="P230" s="806"/>
      <c r="R230" s="807">
        <f t="shared" ref="R230:R239" si="32">SUMIFS(R$140:R$226,$B$140:$B$226,$B230)</f>
        <v>0</v>
      </c>
    </row>
    <row r="231" spans="1:18" ht="28.5" customHeight="1" x14ac:dyDescent="0.25">
      <c r="A231" s="203">
        <v>2016</v>
      </c>
      <c r="B231" s="1084" t="str">
        <f>"per 31/12/"&amp;$H$13</f>
        <v>per 31/12/2016</v>
      </c>
      <c r="C231" s="1085"/>
      <c r="D231" s="1085"/>
      <c r="E231" s="1086"/>
      <c r="F231" s="313"/>
      <c r="G231" s="806">
        <f t="shared" si="31"/>
        <v>0</v>
      </c>
      <c r="H231" s="806">
        <f t="shared" ref="H231:H237" si="33">SUMIFS(H$140:H$226,$B$140:$B$226,$B231)</f>
        <v>0</v>
      </c>
      <c r="I231" s="806"/>
      <c r="J231" s="806"/>
      <c r="K231" s="806"/>
      <c r="L231" s="806"/>
      <c r="M231" s="806"/>
      <c r="N231" s="806"/>
      <c r="O231" s="806"/>
      <c r="P231" s="806"/>
      <c r="R231" s="807">
        <f t="shared" si="32"/>
        <v>0</v>
      </c>
    </row>
    <row r="232" spans="1:18" ht="28.5" customHeight="1" x14ac:dyDescent="0.25">
      <c r="A232" s="203">
        <v>2017</v>
      </c>
      <c r="B232" s="1084" t="str">
        <f>"per 31/12/"&amp;$I$13</f>
        <v>per 31/12/2017</v>
      </c>
      <c r="C232" s="1085"/>
      <c r="D232" s="1085"/>
      <c r="E232" s="1086"/>
      <c r="F232" s="313"/>
      <c r="G232" s="806">
        <f t="shared" si="31"/>
        <v>0</v>
      </c>
      <c r="H232" s="806">
        <f t="shared" si="33"/>
        <v>0</v>
      </c>
      <c r="I232" s="806">
        <f t="shared" ref="I232:I237" si="34">SUMIFS(I$140:I$226,$B$140:$B$226,$B232)</f>
        <v>0</v>
      </c>
      <c r="J232" s="806"/>
      <c r="K232" s="806"/>
      <c r="L232" s="806"/>
      <c r="M232" s="806"/>
      <c r="N232" s="806"/>
      <c r="O232" s="806"/>
      <c r="P232" s="806"/>
      <c r="R232" s="807">
        <f t="shared" si="32"/>
        <v>0</v>
      </c>
    </row>
    <row r="233" spans="1:18" ht="28.5" customHeight="1" x14ac:dyDescent="0.25">
      <c r="A233" s="203">
        <v>2018</v>
      </c>
      <c r="B233" s="1084" t="str">
        <f>"per 31/12/"&amp;$J$13</f>
        <v>per 31/12/2018</v>
      </c>
      <c r="C233" s="1085"/>
      <c r="D233" s="1085"/>
      <c r="E233" s="1086"/>
      <c r="F233" s="313"/>
      <c r="G233" s="806">
        <f t="shared" si="31"/>
        <v>0</v>
      </c>
      <c r="H233" s="806">
        <f t="shared" si="33"/>
        <v>0</v>
      </c>
      <c r="I233" s="806">
        <f t="shared" si="34"/>
        <v>0</v>
      </c>
      <c r="J233" s="806">
        <f>SUMIFS(J$140:J$226,$B$140:$B$226,$B233)</f>
        <v>0</v>
      </c>
      <c r="K233" s="806"/>
      <c r="L233" s="806"/>
      <c r="M233" s="806"/>
      <c r="N233" s="806"/>
      <c r="O233" s="806"/>
      <c r="P233" s="806"/>
      <c r="R233" s="807">
        <f t="shared" si="32"/>
        <v>0</v>
      </c>
    </row>
    <row r="234" spans="1:18" ht="28.5" customHeight="1" x14ac:dyDescent="0.25">
      <c r="A234" s="203">
        <v>2019</v>
      </c>
      <c r="B234" s="1084" t="str">
        <f>"per 31/12/"&amp;$K$13</f>
        <v>per 31/12/2019</v>
      </c>
      <c r="C234" s="1085"/>
      <c r="D234" s="1085"/>
      <c r="E234" s="1086"/>
      <c r="F234" s="313"/>
      <c r="G234" s="806">
        <f t="shared" si="31"/>
        <v>0</v>
      </c>
      <c r="H234" s="806">
        <f t="shared" si="33"/>
        <v>0</v>
      </c>
      <c r="I234" s="806">
        <f t="shared" si="34"/>
        <v>0</v>
      </c>
      <c r="J234" s="806">
        <f>SUMIFS(J$140:J$226,$B$140:$B$226,$B234)</f>
        <v>0</v>
      </c>
      <c r="K234" s="806">
        <f>SUMIFS(K$140:K$226,$B$140:$B$226,$B234)</f>
        <v>0</v>
      </c>
      <c r="L234" s="806"/>
      <c r="M234" s="806"/>
      <c r="N234" s="806"/>
      <c r="O234" s="806"/>
      <c r="P234" s="806"/>
      <c r="R234" s="807">
        <f t="shared" si="32"/>
        <v>0</v>
      </c>
    </row>
    <row r="235" spans="1:18" ht="28.5" customHeight="1" x14ac:dyDescent="0.25">
      <c r="A235" s="203">
        <v>2020</v>
      </c>
      <c r="B235" s="1084" t="str">
        <f>"per 31/12/"&amp;$L$13</f>
        <v>per 31/12/2020</v>
      </c>
      <c r="C235" s="1085"/>
      <c r="D235" s="1085"/>
      <c r="E235" s="1086"/>
      <c r="F235" s="313"/>
      <c r="G235" s="806">
        <f t="shared" si="31"/>
        <v>0</v>
      </c>
      <c r="H235" s="806">
        <f t="shared" si="33"/>
        <v>0</v>
      </c>
      <c r="I235" s="806">
        <f t="shared" si="34"/>
        <v>0</v>
      </c>
      <c r="J235" s="806">
        <f>SUMIFS(J$140:J$226,$B$140:$B$226,$B235)</f>
        <v>0</v>
      </c>
      <c r="K235" s="806">
        <f>SUMIFS(K$140:K$226,$B$140:$B$226,$B235)</f>
        <v>0</v>
      </c>
      <c r="L235" s="806">
        <f>SUMIFS(L$140:L$226,$B$140:$B$226,$B235)</f>
        <v>0</v>
      </c>
      <c r="M235" s="806"/>
      <c r="N235" s="806"/>
      <c r="O235" s="806"/>
      <c r="P235" s="806"/>
      <c r="R235" s="807">
        <f t="shared" si="32"/>
        <v>0</v>
      </c>
    </row>
    <row r="236" spans="1:18" ht="28.5" customHeight="1" x14ac:dyDescent="0.25">
      <c r="A236" s="203">
        <v>2021</v>
      </c>
      <c r="B236" s="1084" t="str">
        <f>"per 31/12/"&amp;$M$13</f>
        <v>per 31/12/2021</v>
      </c>
      <c r="C236" s="1085"/>
      <c r="D236" s="1085"/>
      <c r="E236" s="1086"/>
      <c r="F236" s="313"/>
      <c r="G236" s="806">
        <f t="shared" si="31"/>
        <v>0</v>
      </c>
      <c r="H236" s="806">
        <f t="shared" si="33"/>
        <v>0</v>
      </c>
      <c r="I236" s="806">
        <f t="shared" si="34"/>
        <v>0</v>
      </c>
      <c r="J236" s="806">
        <f>SUMIFS(J$140:J$226,$B$140:$B$226,$B236)</f>
        <v>0</v>
      </c>
      <c r="K236" s="806">
        <f>SUMIFS(K$140:K$226,$B$140:$B$226,$B236)</f>
        <v>0</v>
      </c>
      <c r="L236" s="806">
        <f>SUMIFS(L$140:L$226,$B$140:$B$226,$B236)</f>
        <v>0</v>
      </c>
      <c r="M236" s="806">
        <f>SUMIFS(M$140:M$226,$B$140:$B$226,$B236)</f>
        <v>0</v>
      </c>
      <c r="N236" s="806"/>
      <c r="O236" s="806"/>
      <c r="P236" s="806"/>
      <c r="R236" s="807">
        <f t="shared" si="32"/>
        <v>0</v>
      </c>
    </row>
    <row r="237" spans="1:18" ht="28.5" customHeight="1" x14ac:dyDescent="0.25">
      <c r="A237" s="203">
        <v>2022</v>
      </c>
      <c r="B237" s="1084" t="str">
        <f>"per 31/12/"&amp;$N$13</f>
        <v>per 31/12/2022</v>
      </c>
      <c r="C237" s="1085"/>
      <c r="D237" s="1085"/>
      <c r="E237" s="1086"/>
      <c r="F237" s="313"/>
      <c r="G237" s="806">
        <f t="shared" si="31"/>
        <v>0</v>
      </c>
      <c r="H237" s="806">
        <f t="shared" si="33"/>
        <v>0</v>
      </c>
      <c r="I237" s="806">
        <f t="shared" si="34"/>
        <v>0</v>
      </c>
      <c r="J237" s="806">
        <f>SUMIFS(J$140:J$226,$B$140:$B$226,$B237)</f>
        <v>0</v>
      </c>
      <c r="K237" s="806">
        <f>SUMIFS(K$140:K$226,$B$140:$B$226,$B237)</f>
        <v>0</v>
      </c>
      <c r="L237" s="806">
        <f>SUMIFS(L$140:L$226,$B$140:$B$226,$B237)</f>
        <v>0</v>
      </c>
      <c r="M237" s="806">
        <f>SUMIFS(M$140:M$226,$B$140:$B$226,$B237)</f>
        <v>0</v>
      </c>
      <c r="N237" s="806">
        <f>SUMIFS(N$140:N$226,$B$140:$B$226,$B237)</f>
        <v>0</v>
      </c>
      <c r="O237" s="806"/>
      <c r="P237" s="806"/>
      <c r="R237" s="807">
        <f t="shared" si="32"/>
        <v>0</v>
      </c>
    </row>
    <row r="238" spans="1:18" ht="28.5" customHeight="1" x14ac:dyDescent="0.25">
      <c r="A238" s="203">
        <v>2023</v>
      </c>
      <c r="B238" s="1084" t="str">
        <f>"per 31/12/"&amp;$O$13</f>
        <v>per 31/12/2023</v>
      </c>
      <c r="C238" s="1085"/>
      <c r="D238" s="1085"/>
      <c r="E238" s="1086"/>
      <c r="F238" s="313"/>
      <c r="G238" s="806"/>
      <c r="H238" s="806"/>
      <c r="I238" s="806"/>
      <c r="J238" s="806"/>
      <c r="K238" s="806"/>
      <c r="L238" s="806">
        <f>SUMIFS(L$140:L$226,$B$140:$B$226,$B238)</f>
        <v>0</v>
      </c>
      <c r="M238" s="806">
        <f>SUMIFS(M$140:M$226,$B$140:$B$226,$B238)</f>
        <v>0</v>
      </c>
      <c r="N238" s="806">
        <f>SUMIFS(N$140:N$226,$B$140:$B$226,$B238)</f>
        <v>0</v>
      </c>
      <c r="O238" s="806">
        <f>SUMIFS(O$140:O$226,$B$140:$B$226,$B238)</f>
        <v>0</v>
      </c>
      <c r="P238" s="806"/>
      <c r="R238" s="807">
        <f t="shared" si="32"/>
        <v>0</v>
      </c>
    </row>
    <row r="239" spans="1:18" ht="28.5" customHeight="1" x14ac:dyDescent="0.25">
      <c r="A239" s="203">
        <v>2024</v>
      </c>
      <c r="B239" s="1084" t="str">
        <f>"per 31/12/"&amp;$P$13</f>
        <v>per 31/12/2024</v>
      </c>
      <c r="C239" s="1085"/>
      <c r="D239" s="1085"/>
      <c r="E239" s="1086"/>
      <c r="F239" s="313"/>
      <c r="G239" s="806"/>
      <c r="H239" s="806"/>
      <c r="I239" s="806"/>
      <c r="J239" s="806"/>
      <c r="K239" s="806"/>
      <c r="L239" s="806"/>
      <c r="M239" s="806">
        <f>SUMIFS(M$140:M$226,$B$140:$B$226,$B239)</f>
        <v>0</v>
      </c>
      <c r="N239" s="806">
        <f>SUMIFS(N$140:N$226,$B$140:$B$226,$B239)</f>
        <v>0</v>
      </c>
      <c r="O239" s="806">
        <f>SUMIFS(O$140:O$226,$B$140:$B$226,$B239)</f>
        <v>0</v>
      </c>
      <c r="P239" s="806">
        <f>SUMIFS(P$140:P$226,$B$140:$B$226,$B239)</f>
        <v>0</v>
      </c>
      <c r="R239" s="807">
        <f t="shared" si="32"/>
        <v>0</v>
      </c>
    </row>
    <row r="240" spans="1:18" s="216" customFormat="1" ht="13" x14ac:dyDescent="0.25">
      <c r="B240" s="1103" t="s">
        <v>98</v>
      </c>
      <c r="C240" s="1103"/>
      <c r="D240" s="1103"/>
      <c r="E240" s="1103"/>
      <c r="G240" s="304">
        <f>IF($E$2="ex-ante",(INDEX(G$230:G$239,MATCH($D$2,$A$230:$A$239,0),1))-T5A!C67,IF($E$2="ex-post",(INDEX(G$230:G$239,MATCH($D$2,$A$230:$A$239,0),1))-T5A!C67+SUMIFS(T5A!C$73:C$82,T5A!$B$73:$B$82,$D$2+1),"FOUT"))</f>
        <v>0</v>
      </c>
      <c r="H240" s="304">
        <f>IF($E$2="ex-ante",(INDEX(H$230:H$239,MATCH($D$2,$A$230:$A$239,0),1))-T5A!D67,IF($E$2="ex-post",(INDEX(H$230:H$239,MATCH($D$2,$A$230:$A$239,0),1))-T5A!D67+SUMIFS(T5A!D$73:D$82,T5A!$B$73:$B$82,$D$2+1),"FOUT"))</f>
        <v>0</v>
      </c>
      <c r="I240" s="304">
        <f>IF($E$2="ex-ante",(INDEX(I$230:I$239,MATCH($D$2,$A$230:$A$239,0),1))-T5A!E67,IF($E$2="ex-post",(INDEX(I$230:I$239,MATCH($D$2,$A$230:$A$239,0),1))-T5A!E67+SUMIFS(T5A!E$73:E$82,T5A!$B$73:$B$82,$D$2+1),"FOUT"))</f>
        <v>0</v>
      </c>
      <c r="J240" s="304">
        <f>IF($E$2="ex-ante",(INDEX(J$230:J$239,MATCH($D$2,$A$230:$A$239,0),1))-T5A!F67,IF($E$2="ex-post",(INDEX(J$230:J$239,MATCH($D$2,$A$230:$A$239,0),1))-T5A!F67+SUMIFS(T5A!F$73:F$82,T5A!$B$73:$B$82,$D$2+1),"FOUT"))</f>
        <v>0</v>
      </c>
      <c r="K240" s="304">
        <f>IF($E$2="ex-ante",(INDEX(K$230:K$239,MATCH($D$2,$A$230:$A$239,0),1))-T5A!G67,IF($E$2="ex-post",(INDEX(K$230:K$239,MATCH($D$2,$A$230:$A$239,0),1))-T5A!G67+SUMIFS(T5A!G$73:G$82,T5A!$B$73:$B$82,$D$2+1),"FOUT"))</f>
        <v>0</v>
      </c>
      <c r="L240" s="304">
        <f>IF($E$2="ex-ante",(INDEX(L$230:L$239,MATCH($D$2,$A$230:$A$239,0),1))-T5A!H67,IF($E$2="ex-post",(INDEX(L$230:L$239,MATCH($D$2,$A$230:$A$239,0),1))-T5A!H67+SUMIFS(T5A!H$73:H$82,T5A!$B$73:$B$82,$D$2+1),"FOUT"))</f>
        <v>0</v>
      </c>
      <c r="M240" s="304">
        <f>IF($E$2="ex-ante",(INDEX(M$230:M$239,MATCH($D$2,$A$230:$A$239,0),1))-T5A!I67,IF($E$2="ex-post",(INDEX(M$230:M$239,MATCH($D$2,$A$230:$A$239,0),1))-T5A!I67+SUMIFS(T5A!I$73:I$82,T5A!$B$73:$B$82,$D$2+1),"FOUT"))</f>
        <v>0</v>
      </c>
      <c r="N240" s="304">
        <f>IF($E$2="ex-ante",(INDEX(N$230:N$239,MATCH($D$2,$A$230:$A$239,0),1))-T5A!J67,IF($E$2="ex-post",(INDEX(N$230:N$239,MATCH($D$2,$A$230:$A$239,0),1))-T5A!J67+SUMIFS(T5A!J$73:J$82,T5A!$B$73:$B$82,$D$2+1),"FOUT"))</f>
        <v>0</v>
      </c>
      <c r="O240" s="304">
        <f>IF($E$2="ex-ante",(INDEX(O$230:O$239,MATCH($D$2,$A$230:$A$239,0),1))-T5A!K67,IF($E$2="ex-post",(INDEX(O$230:O$239,MATCH($D$2,$A$230:$A$239,0),1))-T5A!K67+SUMIFS(T5A!K$73:K$82,T5A!$B$73:$B$82,$D$2+1),"FOUT"))</f>
        <v>0</v>
      </c>
      <c r="P240" s="304">
        <f>IF($E$2="ex-ante",(INDEX(P$230:P$239,MATCH($D$2,$A$230:$A$239,0),1))-T5A!L67,IF($E$2="ex-post",(INDEX(P$230:P$239,MATCH($D$2,$A$230:$A$239,0),1))-T5A!L67+SUMIFS(T5A!L$73:L$82,T5A!$B$73:$B$82,$D$2+1),"FOUT"))</f>
        <v>0</v>
      </c>
      <c r="Q240" s="205"/>
      <c r="R240" s="304">
        <f>IF($E$2="ex-ante",(INDEX(R$230:R$239,MATCH($D$2,$A$230:$A$239,0),1))-T5A!N67,IF($E$2="ex-post",(INDEX(R$230:R$239,MATCH($D$2,$A$230:$A$239,0),1))-T5A!N67+SUMIFS(T5A!N$73:N$82,T5A!$B$73:$B$82,$D$2+1),"FOUT"))</f>
        <v>0</v>
      </c>
    </row>
    <row r="241" spans="2:18" ht="13" x14ac:dyDescent="0.25">
      <c r="B241" s="305"/>
      <c r="C241" s="305"/>
      <c r="D241" s="305"/>
      <c r="E241" s="305"/>
      <c r="F241" s="306"/>
      <c r="G241" s="307"/>
      <c r="H241" s="307"/>
      <c r="I241" s="307"/>
      <c r="J241" s="307"/>
      <c r="K241" s="307"/>
      <c r="L241" s="307"/>
      <c r="M241" s="307"/>
      <c r="N241" s="307"/>
      <c r="O241" s="307"/>
      <c r="P241" s="307"/>
      <c r="R241" s="307"/>
    </row>
    <row r="242" spans="2:18" ht="13" x14ac:dyDescent="0.25">
      <c r="B242" s="305"/>
      <c r="C242" s="305"/>
      <c r="D242" s="305"/>
      <c r="E242" s="305"/>
      <c r="F242" s="306"/>
      <c r="G242" s="307"/>
      <c r="H242" s="307"/>
      <c r="I242" s="307"/>
      <c r="J242" s="307"/>
      <c r="K242" s="307"/>
      <c r="L242" s="307"/>
      <c r="M242" s="307"/>
      <c r="N242" s="307"/>
      <c r="O242" s="307"/>
      <c r="P242" s="307"/>
      <c r="R242" s="307"/>
    </row>
    <row r="243" spans="2:18" ht="13" x14ac:dyDescent="0.25">
      <c r="B243" s="305"/>
      <c r="C243" s="305"/>
      <c r="D243" s="305"/>
      <c r="E243" s="305"/>
      <c r="F243" s="306"/>
      <c r="G243" s="308" t="s">
        <v>32</v>
      </c>
      <c r="H243" s="307"/>
      <c r="I243" s="307"/>
      <c r="J243" s="307"/>
      <c r="K243" s="307"/>
      <c r="L243" s="307"/>
      <c r="M243" s="307"/>
      <c r="N243" s="307"/>
      <c r="O243" s="307"/>
      <c r="P243" s="307"/>
      <c r="R243" s="307"/>
    </row>
    <row r="244" spans="2:18" ht="13" x14ac:dyDescent="0.25">
      <c r="G244" s="308" t="s">
        <v>33</v>
      </c>
      <c r="H244" s="307"/>
      <c r="I244" s="307"/>
      <c r="J244" s="307"/>
    </row>
    <row r="245" spans="2:18" ht="71.150000000000006" customHeight="1" x14ac:dyDescent="0.25">
      <c r="B245" s="1087" t="s">
        <v>65</v>
      </c>
      <c r="C245" s="1088"/>
      <c r="D245" s="1088"/>
      <c r="E245" s="1089"/>
      <c r="F245" s="167"/>
      <c r="G245" s="165" t="str">
        <f>"Afbouw van het regulatoir saldo inzake volumeverschillen op te nemen in het toegelaten inkomen voor boekjaar "&amp;D2</f>
        <v>Afbouw van het regulatoir saldo inzake volumeverschillen op te nemen in het toegelaten inkomen voor boekjaar 2022</v>
      </c>
      <c r="H245" s="307"/>
      <c r="I245" s="307"/>
      <c r="J245" s="307"/>
    </row>
    <row r="246" spans="2:18" ht="13" x14ac:dyDescent="0.25">
      <c r="B246" s="320"/>
      <c r="C246" s="297"/>
      <c r="D246" s="297"/>
      <c r="E246" s="297"/>
      <c r="F246" s="298"/>
      <c r="G246" s="787"/>
      <c r="H246" s="307"/>
      <c r="I246" s="307"/>
      <c r="J246" s="307"/>
    </row>
    <row r="247" spans="2:18" ht="30" customHeight="1" x14ac:dyDescent="0.25">
      <c r="B247" s="1099" t="s">
        <v>369</v>
      </c>
      <c r="C247" s="1099"/>
      <c r="D247" s="1099"/>
      <c r="E247" s="1099"/>
      <c r="F247" s="167"/>
      <c r="G247" s="247">
        <f>+IF($B$7="elektriciteit",VLOOKUP(D2,B323:C326,2,FALSE)+VLOOKUP(D2,B339:C342,2,FALSE)+VLOOKUP(D2,B414:C417,2,FALSE)+VLOOKUP(D2,B480:C483,2,FALSE)+VLOOKUP(D2,B491:C494,2,FALSE)+VLOOKUP(D2,B640:C643,2,FALSE),IF($B$7="gas",VLOOKUP(D2,B323:C326,2,FALSE)+VLOOKUP(D2,B491:C494,2,FALSE),"FOUT"))</f>
        <v>0</v>
      </c>
      <c r="H247" s="307"/>
      <c r="I247" s="307"/>
      <c r="J247" s="307"/>
    </row>
    <row r="248" spans="2:18" ht="30" customHeight="1" x14ac:dyDescent="0.25">
      <c r="B248" s="1099" t="s">
        <v>353</v>
      </c>
      <c r="C248" s="1099"/>
      <c r="D248" s="1099"/>
      <c r="E248" s="1099"/>
      <c r="F248" s="167"/>
      <c r="G248" s="247">
        <f>+IF($B$7="elektriciteit",0,IF($B$7="gas",VLOOKUP(D2,B414:C417,2,FALSE),"FOUT"))</f>
        <v>0</v>
      </c>
      <c r="H248" s="307"/>
      <c r="I248" s="307"/>
      <c r="J248" s="307"/>
    </row>
    <row r="249" spans="2:18" ht="30" customHeight="1" x14ac:dyDescent="0.25">
      <c r="B249" s="1099" t="s">
        <v>354</v>
      </c>
      <c r="C249" s="1099"/>
      <c r="D249" s="1099"/>
      <c r="E249" s="1099"/>
      <c r="F249" s="167"/>
      <c r="G249" s="247">
        <f>+VLOOKUP(D2,B566:C569,2,FALSE)</f>
        <v>0</v>
      </c>
      <c r="H249" s="307"/>
      <c r="I249" s="307"/>
      <c r="J249" s="307"/>
    </row>
    <row r="250" spans="2:18" ht="30" customHeight="1" x14ac:dyDescent="0.25">
      <c r="B250" s="1099" t="s">
        <v>356</v>
      </c>
      <c r="C250" s="1099"/>
      <c r="D250" s="1099"/>
      <c r="E250" s="1099"/>
      <c r="F250" s="167"/>
      <c r="G250" s="247">
        <f>VLOOKUP(D2,B715:C718,2,FALSE)</f>
        <v>0</v>
      </c>
      <c r="H250" s="307"/>
      <c r="I250" s="307"/>
      <c r="J250" s="307"/>
    </row>
    <row r="251" spans="2:18" ht="13" x14ac:dyDescent="0.25">
      <c r="H251" s="307"/>
      <c r="I251" s="307"/>
      <c r="J251" s="307"/>
    </row>
    <row r="252" spans="2:18" ht="13" x14ac:dyDescent="0.25">
      <c r="B252" s="1106" t="s">
        <v>22</v>
      </c>
      <c r="C252" s="1107"/>
      <c r="D252" s="1107"/>
      <c r="E252" s="1108"/>
      <c r="F252" s="181"/>
      <c r="G252" s="168">
        <f>SUM(G247:G250)</f>
        <v>0</v>
      </c>
      <c r="H252" s="307"/>
      <c r="I252" s="307"/>
      <c r="J252" s="307"/>
    </row>
    <row r="253" spans="2:18" x14ac:dyDescent="0.25">
      <c r="Q253" s="206"/>
    </row>
    <row r="254" spans="2:18" x14ac:dyDescent="0.25">
      <c r="Q254" s="206"/>
    </row>
    <row r="255" spans="2:18" ht="13" x14ac:dyDescent="0.25">
      <c r="B255" s="321" t="s">
        <v>201</v>
      </c>
      <c r="C255" s="322"/>
      <c r="D255" s="322"/>
      <c r="E255" s="322"/>
      <c r="F255" s="323"/>
      <c r="G255" s="323"/>
      <c r="H255" s="323"/>
      <c r="I255" s="323"/>
      <c r="J255" s="323"/>
      <c r="K255" s="323"/>
      <c r="L255" s="323"/>
      <c r="M255" s="323"/>
      <c r="N255" s="323"/>
      <c r="O255" s="323"/>
      <c r="P255" s="323"/>
      <c r="Q255" s="324"/>
      <c r="R255" s="323"/>
    </row>
    <row r="256" spans="2:18" x14ac:dyDescent="0.25">
      <c r="Q256" s="206"/>
    </row>
    <row r="257" spans="2:17" ht="13" x14ac:dyDescent="0.25">
      <c r="B257" s="273" t="s">
        <v>139</v>
      </c>
      <c r="F257" s="810">
        <v>2017</v>
      </c>
      <c r="Q257" s="206"/>
    </row>
    <row r="258" spans="2:17" x14ac:dyDescent="0.25">
      <c r="P258" s="206"/>
      <c r="Q258" s="166"/>
    </row>
    <row r="259" spans="2:17" ht="82.5" customHeight="1" x14ac:dyDescent="0.25">
      <c r="B259" s="1078" t="s">
        <v>140</v>
      </c>
      <c r="C259" s="1079"/>
      <c r="D259" s="1079"/>
      <c r="E259" s="1080"/>
      <c r="F259" s="274"/>
      <c r="G259" s="165" t="str">
        <f>"Nog af te bouwen regulatoir saldo einde "&amp;F257-1</f>
        <v>Nog af te bouwen regulatoir saldo einde 2016</v>
      </c>
      <c r="H259" s="165" t="str">
        <f>"Afbouw oudste openstaande regulatoir saldo vanaf boekjaar "&amp;F257-3&amp;" en vroeger, door aanwending van compensatie met regulatoir saldo ontstaan over boekjaar "&amp;F257-2</f>
        <v>Afbouw oudste openstaande regulatoir saldo vanaf boekjaar 2014 en vroeger, door aanwending van compensatie met regulatoir saldo ontstaan over boekjaar 2015</v>
      </c>
      <c r="I259" s="165" t="str">
        <f>"Nog af te bouwen regulatoir saldo na compensatie einde "&amp;F257-1</f>
        <v>Nog af te bouwen regulatoir saldo na compensatie einde 2016</v>
      </c>
      <c r="J259" s="165" t="str">
        <f>"Aanwending van "&amp;IF($B$7="elektriciteit","75%",IF($B$7="gas","40%","FALSE"))&amp;" van het geaccumuleerd regulatoir saldo door te rekenen volgens de tariefmethodologie in het boekjaar "&amp;F257</f>
        <v>Aanwending van 75% van het geaccumuleerd regulatoir saldo door te rekenen volgens de tariefmethodologie in het boekjaar 2017</v>
      </c>
      <c r="K259" s="165" t="str">
        <f>"Nog af te bouwen regulatoir saldo einde "&amp;F257</f>
        <v>Nog af te bouwen regulatoir saldo einde 2017</v>
      </c>
      <c r="L259" s="220"/>
      <c r="M259" s="220"/>
      <c r="N259" s="220"/>
      <c r="O259" s="220"/>
      <c r="P259" s="206"/>
      <c r="Q259" s="166"/>
    </row>
    <row r="260" spans="2:17" ht="13" x14ac:dyDescent="0.25">
      <c r="B260" s="1075">
        <v>2015</v>
      </c>
      <c r="C260" s="1076"/>
      <c r="D260" s="1076"/>
      <c r="E260" s="1077"/>
      <c r="F260" s="275"/>
      <c r="G260" s="176">
        <f>G141</f>
        <v>0</v>
      </c>
      <c r="H260" s="521">
        <v>0</v>
      </c>
      <c r="I260" s="176">
        <f>+G260+H260</f>
        <v>0</v>
      </c>
      <c r="J260" s="819">
        <f>-I260*IF($B$7="elektriciteit",0.75,IF($B$7="gas",0.4,"FALSE"))</f>
        <v>0</v>
      </c>
      <c r="K260" s="811">
        <f>+J260+G260</f>
        <v>0</v>
      </c>
      <c r="L260" s="812"/>
      <c r="M260" s="812"/>
      <c r="N260" s="812"/>
      <c r="O260" s="812"/>
      <c r="P260" s="206"/>
      <c r="Q260" s="166"/>
    </row>
    <row r="261" spans="2:17" x14ac:dyDescent="0.25">
      <c r="H261" s="214"/>
      <c r="P261" s="206"/>
      <c r="Q261" s="166"/>
    </row>
    <row r="262" spans="2:17" ht="13" x14ac:dyDescent="0.25">
      <c r="B262" s="273" t="s">
        <v>139</v>
      </c>
      <c r="F262" s="810">
        <v>2018</v>
      </c>
      <c r="H262" s="214"/>
      <c r="Q262" s="206"/>
    </row>
    <row r="263" spans="2:17" x14ac:dyDescent="0.25">
      <c r="H263" s="214"/>
      <c r="Q263" s="206"/>
    </row>
    <row r="264" spans="2:17" ht="69.75" customHeight="1" x14ac:dyDescent="0.25">
      <c r="B264" s="1078" t="s">
        <v>140</v>
      </c>
      <c r="C264" s="1079"/>
      <c r="D264" s="1079"/>
      <c r="E264" s="1080"/>
      <c r="F264" s="274"/>
      <c r="G264" s="165" t="str">
        <f>"Nog af te bouwen regulatoir saldo einde "&amp;F262-1</f>
        <v>Nog af te bouwen regulatoir saldo einde 2017</v>
      </c>
      <c r="H264" s="165" t="str">
        <f>"Afbouw oudste openstaande regulatoir saldo vanaf boekjaar "&amp;F262-3&amp;" en vroeger, door aanwending van compensatie met regulatoir saldo ontstaan over boekjaar "&amp;F262-2</f>
        <v>Afbouw oudste openstaande regulatoir saldo vanaf boekjaar 2015 en vroeger, door aanwending van compensatie met regulatoir saldo ontstaan over boekjaar 2016</v>
      </c>
      <c r="I264" s="165" t="str">
        <f>"Nog af te bouwen regulatoir saldo na compensatie einde "&amp;F262-1</f>
        <v>Nog af te bouwen regulatoir saldo na compensatie einde 2017</v>
      </c>
      <c r="J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K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L264" s="165" t="str">
        <f>"Totale afbouw over "&amp;F262</f>
        <v>Totale afbouw over 2018</v>
      </c>
      <c r="M264" s="165" t="str">
        <f>"Nog af te bouwen regulatoir saldo einde "&amp;F262</f>
        <v>Nog af te bouwen regulatoir saldo einde 2018</v>
      </c>
      <c r="N264" s="206"/>
      <c r="Q264" s="166"/>
    </row>
    <row r="265" spans="2:17" ht="13" x14ac:dyDescent="0.25">
      <c r="B265" s="1075">
        <v>2015</v>
      </c>
      <c r="C265" s="1076"/>
      <c r="D265" s="1076"/>
      <c r="E265" s="1077"/>
      <c r="F265" s="275"/>
      <c r="G265" s="176">
        <f>K260</f>
        <v>0</v>
      </c>
      <c r="H265" s="521">
        <f>IF(SIGN(G266*K260)&lt;0,IF(G265&lt;&gt;0,-SIGN(G265)*MIN(ABS(G266),ABS(G265)),0),0)</f>
        <v>0</v>
      </c>
      <c r="I265" s="176">
        <f>+G265+H265</f>
        <v>0</v>
      </c>
      <c r="J265" s="820"/>
      <c r="K265" s="821">
        <f>-MIN(ABS(I265),ABS(J267))*SIGN(I265)</f>
        <v>0</v>
      </c>
      <c r="L265" s="813">
        <f>+K265+H265</f>
        <v>0</v>
      </c>
      <c r="M265" s="176">
        <f>+I265+K265</f>
        <v>0</v>
      </c>
      <c r="N265" s="206"/>
      <c r="Q265" s="166"/>
    </row>
    <row r="266" spans="2:17" ht="13" x14ac:dyDescent="0.25">
      <c r="B266" s="1075">
        <v>2016</v>
      </c>
      <c r="C266" s="1076"/>
      <c r="D266" s="1076"/>
      <c r="E266" s="1077"/>
      <c r="F266" s="275"/>
      <c r="G266" s="176">
        <f>H142</f>
        <v>0</v>
      </c>
      <c r="H266" s="813">
        <f>IF(SIGN(G266*K260)&lt;0,-H265,0)</f>
        <v>0</v>
      </c>
      <c r="I266" s="176">
        <f>+G266+H266</f>
        <v>0</v>
      </c>
      <c r="J266" s="820"/>
      <c r="K266" s="821">
        <f>-MIN(ABS(I266),ABS(J267-K265))*SIGN(I266)</f>
        <v>0</v>
      </c>
      <c r="L266" s="813">
        <f>+K266+H266</f>
        <v>0</v>
      </c>
      <c r="M266" s="176">
        <f>+I266+K266</f>
        <v>0</v>
      </c>
      <c r="N266" s="206"/>
      <c r="Q266" s="166"/>
    </row>
    <row r="267" spans="2:17" s="273" customFormat="1" ht="13" x14ac:dyDescent="0.3">
      <c r="G267" s="276">
        <f>SUM(G265:G266)</f>
        <v>0</v>
      </c>
      <c r="H267" s="168">
        <f>SUM(H265:H266)</f>
        <v>0</v>
      </c>
      <c r="I267" s="276">
        <f>SUM(I265:I266)</f>
        <v>0</v>
      </c>
      <c r="J267" s="208">
        <f>-I267*IF($B$7="elektriciteit",0.75,IF($B$7="gas",0.4,"FALSE"))</f>
        <v>0</v>
      </c>
      <c r="K267" s="286">
        <f>SUM(K265:K266)</f>
        <v>0</v>
      </c>
      <c r="L267" s="528"/>
      <c r="M267" s="276">
        <f>SUM(M265:M266)</f>
        <v>0</v>
      </c>
    </row>
    <row r="268" spans="2:17" x14ac:dyDescent="0.25">
      <c r="H268" s="214"/>
      <c r="J268" s="12"/>
      <c r="K268" s="12"/>
      <c r="Q268" s="166"/>
    </row>
    <row r="269" spans="2:17" ht="13" x14ac:dyDescent="0.25">
      <c r="B269" s="273" t="s">
        <v>139</v>
      </c>
      <c r="F269" s="810">
        <v>2019</v>
      </c>
      <c r="H269" s="214"/>
      <c r="J269" s="12"/>
      <c r="K269" s="12"/>
      <c r="Q269" s="166"/>
    </row>
    <row r="270" spans="2:17" x14ac:dyDescent="0.25">
      <c r="H270" s="214"/>
      <c r="J270" s="12"/>
      <c r="K270" s="12"/>
      <c r="Q270" s="166"/>
    </row>
    <row r="271" spans="2:17" ht="75.75" customHeight="1" x14ac:dyDescent="0.25">
      <c r="B271" s="1078" t="s">
        <v>140</v>
      </c>
      <c r="C271" s="1079"/>
      <c r="D271" s="1079"/>
      <c r="E271" s="1080"/>
      <c r="F271" s="274"/>
      <c r="G271" s="165" t="str">
        <f>"Nog af te bouwen regulatoir saldo einde "&amp;F269-1</f>
        <v>Nog af te bouwen regulatoir saldo einde 2018</v>
      </c>
      <c r="H271" s="165" t="str">
        <f>"Afbouw oudste openstaande regulatoir saldo vanaf boekjaar "&amp;F269-3&amp;" en vroeger, door aanwending van compensatie met regulatoir saldo ontstaan over boekjaar "&amp;F269-2</f>
        <v>Afbouw oudste openstaande regulatoir saldo vanaf boekjaar 2016 en vroeger, door aanwending van compensatie met regulatoir saldo ontstaan over boekjaar 2017</v>
      </c>
      <c r="I271" s="165" t="str">
        <f>"Nog af te bouwen regulatoir saldo na compensatie einde "&amp;F269-1</f>
        <v>Nog af te bouwen regulatoir saldo na compensatie einde 2018</v>
      </c>
      <c r="J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K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L271" s="165" t="str">
        <f>"Totale afbouw over "&amp;F269</f>
        <v>Totale afbouw over 2019</v>
      </c>
      <c r="M271" s="165" t="str">
        <f>"Nog af te bouwen regulatoir saldo einde "&amp;F269</f>
        <v>Nog af te bouwen regulatoir saldo einde 2019</v>
      </c>
      <c r="N271" s="206"/>
      <c r="Q271" s="166"/>
    </row>
    <row r="272" spans="2:17" ht="13" x14ac:dyDescent="0.25">
      <c r="B272" s="1075">
        <v>2015</v>
      </c>
      <c r="C272" s="1076"/>
      <c r="D272" s="1076"/>
      <c r="E272" s="1077"/>
      <c r="F272" s="275"/>
      <c r="G272" s="176">
        <f>+M265</f>
        <v>0</v>
      </c>
      <c r="H272" s="813">
        <f>IF(SIGN(G274*M267)&lt;0,IF(G272&lt;&gt;0,-SIGN(G272)*MIN(ABS(G274),ABS(G272)),0),0)</f>
        <v>0</v>
      </c>
      <c r="I272" s="176">
        <f>+G272+H272</f>
        <v>0</v>
      </c>
      <c r="J272" s="820"/>
      <c r="K272" s="821">
        <f>-MIN(ABS(I272),ABS(J275))*SIGN(I272)</f>
        <v>0</v>
      </c>
      <c r="L272" s="813">
        <f>+K272+H272</f>
        <v>0</v>
      </c>
      <c r="M272" s="176">
        <f>+I272+K272</f>
        <v>0</v>
      </c>
      <c r="N272" s="206"/>
      <c r="Q272" s="166"/>
    </row>
    <row r="273" spans="2:17" ht="13" x14ac:dyDescent="0.25">
      <c r="B273" s="1075">
        <v>2016</v>
      </c>
      <c r="C273" s="1076"/>
      <c r="D273" s="1076">
        <v>2016</v>
      </c>
      <c r="E273" s="1077"/>
      <c r="F273" s="275"/>
      <c r="G273" s="176">
        <f>+M266</f>
        <v>0</v>
      </c>
      <c r="H273" s="813">
        <f>IF(SIGN(G274*M267)&lt;0,IF(G273&lt;&gt;0,-SIGN(G273)*MIN(ABS(G274-H272),ABS(G273)),0),0)</f>
        <v>0</v>
      </c>
      <c r="I273" s="176">
        <f>+G273+H273</f>
        <v>0</v>
      </c>
      <c r="J273" s="820"/>
      <c r="K273" s="821">
        <f>-MIN(ABS(I273),ABS(J275-K272))*SIGN(I273)</f>
        <v>0</v>
      </c>
      <c r="L273" s="813">
        <f>+K273+H273</f>
        <v>0</v>
      </c>
      <c r="M273" s="176">
        <f>+I273+K273</f>
        <v>0</v>
      </c>
      <c r="N273" s="206"/>
      <c r="Q273" s="166"/>
    </row>
    <row r="274" spans="2:17" ht="13" x14ac:dyDescent="0.25">
      <c r="B274" s="1075">
        <v>2017</v>
      </c>
      <c r="C274" s="1076"/>
      <c r="D274" s="1076"/>
      <c r="E274" s="1077"/>
      <c r="F274" s="275"/>
      <c r="G274" s="176">
        <f>I143</f>
        <v>0</v>
      </c>
      <c r="H274" s="813">
        <f>IF(SIGN(G274*M267)&lt;0,-SUM(H272:H273),0)</f>
        <v>0</v>
      </c>
      <c r="I274" s="176">
        <f>+G274+H274</f>
        <v>0</v>
      </c>
      <c r="J274" s="820"/>
      <c r="K274" s="821">
        <f>-MIN(ABS(I274),ABS(J275-K272-K273))*SIGN(I274)</f>
        <v>0</v>
      </c>
      <c r="L274" s="813">
        <f>+K274+H274</f>
        <v>0</v>
      </c>
      <c r="M274" s="176">
        <f>+I274+K274</f>
        <v>0</v>
      </c>
      <c r="N274" s="206"/>
      <c r="Q274" s="166"/>
    </row>
    <row r="275" spans="2:17" s="273" customFormat="1" ht="13" x14ac:dyDescent="0.3">
      <c r="G275" s="276">
        <f>SUM(G272:G274)</f>
        <v>0</v>
      </c>
      <c r="H275" s="168">
        <f>SUM(H272:H274)</f>
        <v>0</v>
      </c>
      <c r="I275" s="276">
        <f>SUM(I272:I274)</f>
        <v>0</v>
      </c>
      <c r="J275" s="208">
        <f>-I275*IF($B$7="elektriciteit",0.75,IF($B$7="gas",0.4,"FALSE"))</f>
        <v>0</v>
      </c>
      <c r="K275" s="286">
        <f>SUM(K272:K274)</f>
        <v>0</v>
      </c>
      <c r="L275" s="528"/>
      <c r="M275" s="276">
        <f>SUM(M272:M274)</f>
        <v>0</v>
      </c>
    </row>
    <row r="276" spans="2:17" x14ac:dyDescent="0.25">
      <c r="H276" s="214"/>
      <c r="J276" s="12"/>
      <c r="K276" s="12"/>
      <c r="Q276" s="166"/>
    </row>
    <row r="277" spans="2:17" ht="13" x14ac:dyDescent="0.25">
      <c r="B277" s="273" t="s">
        <v>139</v>
      </c>
      <c r="F277" s="810">
        <v>2020</v>
      </c>
      <c r="H277" s="214"/>
      <c r="J277" s="12"/>
      <c r="K277" s="12"/>
      <c r="Q277" s="166"/>
    </row>
    <row r="278" spans="2:17" x14ac:dyDescent="0.25">
      <c r="H278" s="214"/>
      <c r="J278" s="12"/>
      <c r="K278" s="12"/>
      <c r="Q278" s="166"/>
    </row>
    <row r="279" spans="2:17" ht="78" customHeight="1" x14ac:dyDescent="0.25">
      <c r="B279" s="1078" t="s">
        <v>140</v>
      </c>
      <c r="C279" s="1079"/>
      <c r="D279" s="1079"/>
      <c r="E279" s="1080"/>
      <c r="F279" s="274"/>
      <c r="G279" s="165" t="str">
        <f>"Nog af te bouwen regulatoir saldo einde "&amp;F277-1</f>
        <v>Nog af te bouwen regulatoir saldo einde 2019</v>
      </c>
      <c r="H279" s="165" t="str">
        <f>"Afbouw oudste openstaande regulatoir saldo vanaf boekjaar "&amp;F277-3&amp;" en vroeger, door aanwending van compensatie met regulatoir saldo ontstaan over boekjaar "&amp;F277-2</f>
        <v>Afbouw oudste openstaande regulatoir saldo vanaf boekjaar 2017 en vroeger, door aanwending van compensatie met regulatoir saldo ontstaan over boekjaar 2018</v>
      </c>
      <c r="I279" s="165" t="str">
        <f>"Nog af te bouwen regulatoir saldo na compensatie einde "&amp;F277-1</f>
        <v>Nog af te bouwen regulatoir saldo na compensatie einde 2019</v>
      </c>
      <c r="J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K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L279" s="165" t="str">
        <f>"Totale afbouw over "&amp;F277</f>
        <v>Totale afbouw over 2020</v>
      </c>
      <c r="M279" s="165" t="str">
        <f>"Nog af te bouwen regulatoir saldo einde "&amp;F277</f>
        <v>Nog af te bouwen regulatoir saldo einde 2020</v>
      </c>
      <c r="N279" s="206"/>
      <c r="Q279" s="166"/>
    </row>
    <row r="280" spans="2:17" ht="13" x14ac:dyDescent="0.25">
      <c r="B280" s="1075">
        <v>2015</v>
      </c>
      <c r="C280" s="1076"/>
      <c r="D280" s="1076"/>
      <c r="E280" s="1077"/>
      <c r="F280" s="275"/>
      <c r="G280" s="176">
        <f>+M272</f>
        <v>0</v>
      </c>
      <c r="H280" s="813">
        <f>IF(SIGN(G283*M275)&lt;0,IF(G280&lt;&gt;0,-SIGN(G280)*MIN(ABS(G283),ABS(G280)),0),0)</f>
        <v>0</v>
      </c>
      <c r="I280" s="176">
        <f>+G280+H280</f>
        <v>0</v>
      </c>
      <c r="J280" s="820"/>
      <c r="K280" s="821">
        <f>-MIN(ABS(I280),ABS(J284))*SIGN(I280)</f>
        <v>0</v>
      </c>
      <c r="L280" s="813">
        <f>+K280+H280</f>
        <v>0</v>
      </c>
      <c r="M280" s="176">
        <f>+I280+K280</f>
        <v>0</v>
      </c>
      <c r="N280" s="206"/>
      <c r="Q280" s="166"/>
    </row>
    <row r="281" spans="2:17" ht="13" x14ac:dyDescent="0.25">
      <c r="B281" s="1075">
        <v>2016</v>
      </c>
      <c r="C281" s="1076"/>
      <c r="D281" s="1076"/>
      <c r="E281" s="1077"/>
      <c r="F281" s="275"/>
      <c r="G281" s="176">
        <f>+M273</f>
        <v>0</v>
      </c>
      <c r="H281" s="813">
        <f>IF(SIGN(G283*M275)&lt;0,IF(G281&lt;&gt;0,-SIGN(G281)*MIN(ABS(G283-H280),ABS(G281)),0),0)</f>
        <v>0</v>
      </c>
      <c r="I281" s="176">
        <f>+G281+H281</f>
        <v>0</v>
      </c>
      <c r="J281" s="820"/>
      <c r="K281" s="821">
        <f>-MIN(ABS(I281),ABS(J284-K280))*SIGN(I281)</f>
        <v>0</v>
      </c>
      <c r="L281" s="813">
        <f>+K281+H281</f>
        <v>0</v>
      </c>
      <c r="M281" s="176">
        <f>+I281+K281</f>
        <v>0</v>
      </c>
      <c r="N281" s="206"/>
      <c r="Q281" s="166"/>
    </row>
    <row r="282" spans="2:17" ht="13" x14ac:dyDescent="0.25">
      <c r="B282" s="1075">
        <v>2017</v>
      </c>
      <c r="C282" s="1076"/>
      <c r="D282" s="1076">
        <v>2016</v>
      </c>
      <c r="E282" s="1077"/>
      <c r="F282" s="275"/>
      <c r="G282" s="176">
        <f>+M274</f>
        <v>0</v>
      </c>
      <c r="H282" s="813">
        <f>IF(SIGN(G283*M275)&lt;0,IF(G282&lt;&gt;0,-SIGN(G282)*MIN(ABS(G283-H280-H281),ABS(G282)),0),0)</f>
        <v>0</v>
      </c>
      <c r="I282" s="176">
        <f>+G282+H282</f>
        <v>0</v>
      </c>
      <c r="J282" s="820"/>
      <c r="K282" s="821">
        <f>-MIN(ABS(I282),ABS(J284-K280-K281))*SIGN(I282)</f>
        <v>0</v>
      </c>
      <c r="L282" s="813">
        <f>+K282+H282</f>
        <v>0</v>
      </c>
      <c r="M282" s="176">
        <f>+I282+K282</f>
        <v>0</v>
      </c>
      <c r="N282" s="206"/>
      <c r="Q282" s="166"/>
    </row>
    <row r="283" spans="2:17" ht="13" x14ac:dyDescent="0.25">
      <c r="B283" s="1075">
        <v>2018</v>
      </c>
      <c r="C283" s="1076"/>
      <c r="D283" s="1076"/>
      <c r="E283" s="1077"/>
      <c r="F283" s="275"/>
      <c r="G283" s="176">
        <f>J144</f>
        <v>0</v>
      </c>
      <c r="H283" s="813">
        <f>IF(SIGN(G283*M275)&lt;0,-SUM(H280:H282),0)</f>
        <v>0</v>
      </c>
      <c r="I283" s="176">
        <f>+G283+H283</f>
        <v>0</v>
      </c>
      <c r="J283" s="820"/>
      <c r="K283" s="821">
        <f>-MIN(ABS(I283),ABS(J284-K280-K281-K282))*SIGN(I283)</f>
        <v>0</v>
      </c>
      <c r="L283" s="813">
        <f>+K283+H283</f>
        <v>0</v>
      </c>
      <c r="M283" s="176">
        <f>+I283+K283</f>
        <v>0</v>
      </c>
      <c r="N283" s="206"/>
      <c r="Q283" s="166"/>
    </row>
    <row r="284" spans="2:17" s="273" customFormat="1" ht="13" x14ac:dyDescent="0.3">
      <c r="G284" s="276">
        <f>SUM(G280:G283)</f>
        <v>0</v>
      </c>
      <c r="H284" s="168">
        <f>SUM(H280:H283)</f>
        <v>0</v>
      </c>
      <c r="I284" s="276">
        <f>SUM(I280:I283)</f>
        <v>0</v>
      </c>
      <c r="J284" s="208">
        <f>-I284*IF($B$7="elektriciteit",0.75,IF($B$7="gas",0.4,"FALSE"))</f>
        <v>0</v>
      </c>
      <c r="K284" s="286">
        <f>SUM(K280:K283)</f>
        <v>0</v>
      </c>
      <c r="L284" s="168"/>
      <c r="M284" s="276">
        <f>SUM(M280:M283)</f>
        <v>0</v>
      </c>
    </row>
    <row r="285" spans="2:17" x14ac:dyDescent="0.25">
      <c r="H285" s="214"/>
      <c r="Q285" s="166"/>
    </row>
    <row r="286" spans="2:17" ht="13" x14ac:dyDescent="0.25">
      <c r="B286" s="273" t="s">
        <v>139</v>
      </c>
      <c r="F286" s="810">
        <v>2021</v>
      </c>
      <c r="H286" s="214"/>
      <c r="Q286" s="166"/>
    </row>
    <row r="287" spans="2:17" x14ac:dyDescent="0.25">
      <c r="H287" s="214"/>
      <c r="Q287" s="166"/>
    </row>
    <row r="288" spans="2:17" ht="78" customHeight="1" x14ac:dyDescent="0.25">
      <c r="B288" s="1078" t="s">
        <v>140</v>
      </c>
      <c r="C288" s="1079"/>
      <c r="D288" s="1079"/>
      <c r="E288" s="1080"/>
      <c r="F288" s="274"/>
      <c r="G288" s="165" t="str">
        <f>"Nog af te bouwen regulatoir saldo einde "&amp;F286-1</f>
        <v>Nog af te bouwen regulatoir saldo einde 2020</v>
      </c>
      <c r="H288" s="165" t="str">
        <f>"50% van het oorspronkelijk regulatoir saldo door te rekenen volgens de tariefmethodologie in het boekjaar "&amp;F286</f>
        <v>50% van het oorspronkelijk regulatoir saldo door te rekenen volgens de tariefmethodologie in het boekjaar 2021</v>
      </c>
      <c r="I288" s="165" t="str">
        <f>"Nog af te bouwen regulatoir saldo einde "&amp;F286</f>
        <v>Nog af te bouwen regulatoir saldo einde 2021</v>
      </c>
      <c r="J288" s="206"/>
      <c r="Q288" s="166"/>
    </row>
    <row r="289" spans="2:17" ht="13" x14ac:dyDescent="0.25">
      <c r="B289" s="1075">
        <v>2015</v>
      </c>
      <c r="C289" s="1076"/>
      <c r="D289" s="1076"/>
      <c r="E289" s="1077"/>
      <c r="F289" s="275"/>
      <c r="G289" s="176">
        <f>M280</f>
        <v>0</v>
      </c>
      <c r="H289" s="521">
        <f>-G289*0.5</f>
        <v>0</v>
      </c>
      <c r="I289" s="176">
        <f>+G289+H289</f>
        <v>0</v>
      </c>
      <c r="J289" s="206"/>
      <c r="Q289" s="166"/>
    </row>
    <row r="290" spans="2:17" ht="13" x14ac:dyDescent="0.25">
      <c r="B290" s="1075">
        <v>2016</v>
      </c>
      <c r="C290" s="1076"/>
      <c r="D290" s="1076"/>
      <c r="E290" s="1077"/>
      <c r="F290" s="275"/>
      <c r="G290" s="176">
        <f t="shared" ref="G290:G292" si="35">M281</f>
        <v>0</v>
      </c>
      <c r="H290" s="521">
        <f t="shared" ref="H290:H293" si="36">-G290*0.5</f>
        <v>0</v>
      </c>
      <c r="I290" s="176">
        <f t="shared" ref="I290:I293" si="37">+G290+H290</f>
        <v>0</v>
      </c>
      <c r="J290" s="206"/>
      <c r="Q290" s="166"/>
    </row>
    <row r="291" spans="2:17" ht="13" x14ac:dyDescent="0.25">
      <c r="B291" s="1075">
        <v>2017</v>
      </c>
      <c r="C291" s="1076"/>
      <c r="D291" s="1076">
        <v>2016</v>
      </c>
      <c r="E291" s="1077"/>
      <c r="F291" s="275"/>
      <c r="G291" s="176">
        <f t="shared" si="35"/>
        <v>0</v>
      </c>
      <c r="H291" s="521">
        <f t="shared" si="36"/>
        <v>0</v>
      </c>
      <c r="I291" s="176">
        <f t="shared" si="37"/>
        <v>0</v>
      </c>
      <c r="J291" s="206"/>
      <c r="Q291" s="166"/>
    </row>
    <row r="292" spans="2:17" ht="13" x14ac:dyDescent="0.25">
      <c r="B292" s="1075">
        <v>2018</v>
      </c>
      <c r="C292" s="1076"/>
      <c r="D292" s="1076"/>
      <c r="E292" s="1077"/>
      <c r="F292" s="275"/>
      <c r="G292" s="176">
        <f t="shared" si="35"/>
        <v>0</v>
      </c>
      <c r="H292" s="521">
        <f t="shared" si="36"/>
        <v>0</v>
      </c>
      <c r="I292" s="176">
        <f t="shared" si="37"/>
        <v>0</v>
      </c>
      <c r="J292" s="206"/>
      <c r="Q292" s="166"/>
    </row>
    <row r="293" spans="2:17" ht="13" x14ac:dyDescent="0.25">
      <c r="B293" s="1075">
        <v>2019</v>
      </c>
      <c r="C293" s="1076"/>
      <c r="D293" s="1076"/>
      <c r="E293" s="1077"/>
      <c r="F293" s="275"/>
      <c r="G293" s="176">
        <f>K145</f>
        <v>0</v>
      </c>
      <c r="H293" s="521">
        <f t="shared" si="36"/>
        <v>0</v>
      </c>
      <c r="I293" s="176">
        <f t="shared" si="37"/>
        <v>0</v>
      </c>
      <c r="J293" s="206"/>
      <c r="Q293" s="166"/>
    </row>
    <row r="294" spans="2:17" s="273" customFormat="1" ht="13" x14ac:dyDescent="0.25">
      <c r="G294" s="276">
        <f>SUM(G289:G293)</f>
        <v>0</v>
      </c>
      <c r="H294" s="168">
        <f>SUM(H289:H293)</f>
        <v>0</v>
      </c>
      <c r="I294" s="276">
        <f>SUM(I289:I293)</f>
        <v>0</v>
      </c>
    </row>
    <row r="295" spans="2:17" x14ac:dyDescent="0.25">
      <c r="H295" s="214"/>
      <c r="Q295" s="166"/>
    </row>
    <row r="296" spans="2:17" ht="13" x14ac:dyDescent="0.25">
      <c r="B296" s="273" t="s">
        <v>139</v>
      </c>
      <c r="F296" s="810">
        <v>2022</v>
      </c>
      <c r="H296" s="214"/>
      <c r="Q296" s="166"/>
    </row>
    <row r="297" spans="2:17" x14ac:dyDescent="0.25">
      <c r="H297" s="214"/>
      <c r="Q297" s="166"/>
    </row>
    <row r="298" spans="2:17" ht="78" customHeight="1" x14ac:dyDescent="0.25">
      <c r="B298" s="1078" t="s">
        <v>140</v>
      </c>
      <c r="C298" s="1079"/>
      <c r="D298" s="1079"/>
      <c r="E298" s="1080"/>
      <c r="F298" s="274"/>
      <c r="G298" s="165" t="str">
        <f>"Nog af te bouwen regulatoir saldo einde "&amp;F296-1</f>
        <v>Nog af te bouwen regulatoir saldo einde 2021</v>
      </c>
      <c r="H298" s="165" t="str">
        <f>"50% van het oorspronkelijk regulatoir saldo door te rekenen volgens de tariefmethodologie in het boekjaar "&amp;F296</f>
        <v>50% van het oorspronkelijk regulatoir saldo door te rekenen volgens de tariefmethodologie in het boekjaar 2022</v>
      </c>
      <c r="I298" s="165" t="str">
        <f>"Nog af te bouwen regulatoir saldo einde "&amp;F296</f>
        <v>Nog af te bouwen regulatoir saldo einde 2022</v>
      </c>
      <c r="J298" s="206"/>
      <c r="Q298" s="166"/>
    </row>
    <row r="299" spans="2:17" ht="13" x14ac:dyDescent="0.25">
      <c r="B299" s="1075">
        <v>2015</v>
      </c>
      <c r="C299" s="1076"/>
      <c r="D299" s="1076"/>
      <c r="E299" s="1077"/>
      <c r="F299" s="275"/>
      <c r="G299" s="176">
        <f>+I289</f>
        <v>0</v>
      </c>
      <c r="H299" s="521">
        <f>-G289*0.5</f>
        <v>0</v>
      </c>
      <c r="I299" s="176">
        <f>+G299+H299</f>
        <v>0</v>
      </c>
      <c r="J299" s="206"/>
      <c r="Q299" s="166"/>
    </row>
    <row r="300" spans="2:17" ht="13" x14ac:dyDescent="0.25">
      <c r="B300" s="1075">
        <v>2016</v>
      </c>
      <c r="C300" s="1076"/>
      <c r="D300" s="1076"/>
      <c r="E300" s="1077"/>
      <c r="F300" s="275"/>
      <c r="G300" s="176">
        <f t="shared" ref="G300:G303" si="38">+I290</f>
        <v>0</v>
      </c>
      <c r="H300" s="521">
        <f>-G290*0.5</f>
        <v>0</v>
      </c>
      <c r="I300" s="176">
        <f t="shared" ref="I300:I304" si="39">+G300+H300</f>
        <v>0</v>
      </c>
      <c r="J300" s="206"/>
      <c r="Q300" s="166"/>
    </row>
    <row r="301" spans="2:17" ht="13" x14ac:dyDescent="0.25">
      <c r="B301" s="1075">
        <v>2017</v>
      </c>
      <c r="C301" s="1076"/>
      <c r="D301" s="1076">
        <v>2016</v>
      </c>
      <c r="E301" s="1077"/>
      <c r="F301" s="275"/>
      <c r="G301" s="176">
        <f t="shared" si="38"/>
        <v>0</v>
      </c>
      <c r="H301" s="521">
        <f t="shared" ref="H301:H303" si="40">-G291*0.5</f>
        <v>0</v>
      </c>
      <c r="I301" s="176">
        <f t="shared" si="39"/>
        <v>0</v>
      </c>
      <c r="J301" s="206"/>
      <c r="Q301" s="166"/>
    </row>
    <row r="302" spans="2:17" ht="13" x14ac:dyDescent="0.25">
      <c r="B302" s="1075">
        <v>2018</v>
      </c>
      <c r="C302" s="1076"/>
      <c r="D302" s="1076"/>
      <c r="E302" s="1077"/>
      <c r="F302" s="275"/>
      <c r="G302" s="176">
        <f t="shared" si="38"/>
        <v>0</v>
      </c>
      <c r="H302" s="521">
        <f t="shared" si="40"/>
        <v>0</v>
      </c>
      <c r="I302" s="176">
        <f t="shared" si="39"/>
        <v>0</v>
      </c>
      <c r="J302" s="206"/>
      <c r="Q302" s="166"/>
    </row>
    <row r="303" spans="2:17" ht="13" x14ac:dyDescent="0.25">
      <c r="B303" s="1075">
        <v>2019</v>
      </c>
      <c r="C303" s="1076"/>
      <c r="D303" s="1076"/>
      <c r="E303" s="1077"/>
      <c r="F303" s="275"/>
      <c r="G303" s="176">
        <f t="shared" si="38"/>
        <v>0</v>
      </c>
      <c r="H303" s="521">
        <f t="shared" si="40"/>
        <v>0</v>
      </c>
      <c r="I303" s="176">
        <f t="shared" si="39"/>
        <v>0</v>
      </c>
      <c r="J303" s="206"/>
      <c r="Q303" s="166"/>
    </row>
    <row r="304" spans="2:17" ht="13" x14ac:dyDescent="0.25">
      <c r="B304" s="1075">
        <v>2020</v>
      </c>
      <c r="C304" s="1076"/>
      <c r="D304" s="1076"/>
      <c r="E304" s="1077"/>
      <c r="F304" s="275"/>
      <c r="G304" s="176">
        <f>L146</f>
        <v>0</v>
      </c>
      <c r="H304" s="521">
        <f t="shared" ref="H304" si="41">-G304*0.5</f>
        <v>0</v>
      </c>
      <c r="I304" s="176">
        <f t="shared" si="39"/>
        <v>0</v>
      </c>
      <c r="J304" s="206"/>
      <c r="Q304" s="166"/>
    </row>
    <row r="305" spans="2:17" s="273" customFormat="1" ht="13" x14ac:dyDescent="0.25">
      <c r="G305" s="276">
        <f>SUM(G299:G304)</f>
        <v>0</v>
      </c>
      <c r="H305" s="168">
        <f t="shared" ref="H305:I305" si="42">SUM(H299:H304)</f>
        <v>0</v>
      </c>
      <c r="I305" s="276">
        <f t="shared" si="42"/>
        <v>0</v>
      </c>
    </row>
    <row r="306" spans="2:17" x14ac:dyDescent="0.25">
      <c r="H306" s="214"/>
      <c r="Q306" s="166"/>
    </row>
    <row r="307" spans="2:17" ht="13" x14ac:dyDescent="0.25">
      <c r="B307" s="273" t="s">
        <v>139</v>
      </c>
      <c r="F307" s="810">
        <v>2023</v>
      </c>
      <c r="H307" s="214"/>
      <c r="Q307" s="166"/>
    </row>
    <row r="308" spans="2:17" x14ac:dyDescent="0.25">
      <c r="H308" s="214"/>
      <c r="Q308" s="166"/>
    </row>
    <row r="309" spans="2:17" ht="78" customHeight="1" x14ac:dyDescent="0.25">
      <c r="B309" s="1078" t="s">
        <v>140</v>
      </c>
      <c r="C309" s="1079"/>
      <c r="D309" s="1079"/>
      <c r="E309" s="1080"/>
      <c r="F309" s="274"/>
      <c r="G309" s="165" t="str">
        <f>"Nog af te bouwen regulatoir saldo einde "&amp;F307-1</f>
        <v>Nog af te bouwen regulatoir saldo einde 2022</v>
      </c>
      <c r="H309" s="165" t="str">
        <f>"50% van het oorspronkelijk regulatoir saldo door te rekenen volgens de tariefmethodologie in het boekjaar "&amp;F307</f>
        <v>50% van het oorspronkelijk regulatoir saldo door te rekenen volgens de tariefmethodologie in het boekjaar 2023</v>
      </c>
      <c r="I309" s="165" t="str">
        <f>"Nog af te bouwen regulatoir saldo einde "&amp;F307</f>
        <v>Nog af te bouwen regulatoir saldo einde 2023</v>
      </c>
      <c r="J309" s="206"/>
      <c r="Q309" s="166"/>
    </row>
    <row r="310" spans="2:17" ht="13" x14ac:dyDescent="0.25">
      <c r="B310" s="1075">
        <v>2020</v>
      </c>
      <c r="C310" s="1076"/>
      <c r="D310" s="1076"/>
      <c r="E310" s="1077"/>
      <c r="F310" s="275"/>
      <c r="G310" s="176">
        <f>+I304</f>
        <v>0</v>
      </c>
      <c r="H310" s="521">
        <f>-G304*0.5</f>
        <v>0</v>
      </c>
      <c r="I310" s="176">
        <f t="shared" ref="I310:I311" si="43">+G310+H310</f>
        <v>0</v>
      </c>
      <c r="J310" s="206"/>
      <c r="Q310" s="166"/>
    </row>
    <row r="311" spans="2:17" ht="13" x14ac:dyDescent="0.25">
      <c r="B311" s="1075">
        <v>2021</v>
      </c>
      <c r="C311" s="1076"/>
      <c r="D311" s="1076"/>
      <c r="E311" s="1077"/>
      <c r="F311" s="275"/>
      <c r="G311" s="176">
        <f>M147</f>
        <v>0</v>
      </c>
      <c r="H311" s="521">
        <f t="shared" ref="H311" si="44">-G311*0.5</f>
        <v>0</v>
      </c>
      <c r="I311" s="176">
        <f t="shared" si="43"/>
        <v>0</v>
      </c>
      <c r="J311" s="206"/>
      <c r="Q311" s="166"/>
    </row>
    <row r="312" spans="2:17" s="273" customFormat="1" ht="13" x14ac:dyDescent="0.25">
      <c r="G312" s="276">
        <f>SUM(G310:G311)</f>
        <v>0</v>
      </c>
      <c r="H312" s="168">
        <f>SUM(H310:H311)</f>
        <v>0</v>
      </c>
      <c r="I312" s="276">
        <f>SUM(I310:I311)</f>
        <v>0</v>
      </c>
    </row>
    <row r="313" spans="2:17" x14ac:dyDescent="0.25">
      <c r="H313" s="214"/>
      <c r="Q313" s="166"/>
    </row>
    <row r="314" spans="2:17" ht="13" x14ac:dyDescent="0.25">
      <c r="B314" s="273" t="s">
        <v>139</v>
      </c>
      <c r="F314" s="810">
        <v>2024</v>
      </c>
      <c r="H314" s="214"/>
      <c r="Q314" s="166"/>
    </row>
    <row r="315" spans="2:17" x14ac:dyDescent="0.25">
      <c r="H315" s="214"/>
      <c r="Q315" s="166"/>
    </row>
    <row r="316" spans="2:17" ht="78" customHeight="1" x14ac:dyDescent="0.25">
      <c r="B316" s="1078" t="s">
        <v>140</v>
      </c>
      <c r="C316" s="1079"/>
      <c r="D316" s="1079"/>
      <c r="E316" s="1080"/>
      <c r="F316" s="274"/>
      <c r="G316" s="165" t="str">
        <f>"Nog af te bouwen regulatoir saldo einde "&amp;F314-1</f>
        <v>Nog af te bouwen regulatoir saldo einde 2023</v>
      </c>
      <c r="H316" s="165" t="str">
        <f>"50% van het oorspronkelijk regulatoir saldo door te rekenen volgens de tariefmethodologie in het boekjaar "&amp;F314</f>
        <v>50% van het oorspronkelijk regulatoir saldo door te rekenen volgens de tariefmethodologie in het boekjaar 2024</v>
      </c>
      <c r="I316" s="165" t="str">
        <f>"Nog af te bouwen regulatoir saldo einde "&amp;F314</f>
        <v>Nog af te bouwen regulatoir saldo einde 2024</v>
      </c>
      <c r="J316" s="206"/>
      <c r="Q316" s="166"/>
    </row>
    <row r="317" spans="2:17" ht="13" x14ac:dyDescent="0.25">
      <c r="B317" s="1075">
        <v>2021</v>
      </c>
      <c r="C317" s="1076"/>
      <c r="D317" s="1076"/>
      <c r="E317" s="1077"/>
      <c r="F317" s="275"/>
      <c r="G317" s="176">
        <f>+I311</f>
        <v>0</v>
      </c>
      <c r="H317" s="521">
        <f>-G311*0.5</f>
        <v>0</v>
      </c>
      <c r="I317" s="176">
        <f t="shared" ref="I317:I318" si="45">+G317+H317</f>
        <v>0</v>
      </c>
      <c r="J317" s="206"/>
      <c r="Q317" s="166"/>
    </row>
    <row r="318" spans="2:17" ht="13" x14ac:dyDescent="0.25">
      <c r="B318" s="1075">
        <v>2022</v>
      </c>
      <c r="C318" s="1076"/>
      <c r="D318" s="1076"/>
      <c r="E318" s="1077"/>
      <c r="F318" s="275"/>
      <c r="G318" s="176">
        <f>N148</f>
        <v>0</v>
      </c>
      <c r="H318" s="521">
        <f t="shared" ref="H318" si="46">-G318*0.5</f>
        <v>0</v>
      </c>
      <c r="I318" s="176">
        <f t="shared" si="45"/>
        <v>0</v>
      </c>
      <c r="J318" s="206"/>
      <c r="Q318" s="166"/>
    </row>
    <row r="319" spans="2:17" s="273" customFormat="1" ht="13" x14ac:dyDescent="0.25">
      <c r="G319" s="276">
        <f>SUM(G317:G318)</f>
        <v>0</v>
      </c>
      <c r="H319" s="168">
        <f>SUM(H317:H318)</f>
        <v>0</v>
      </c>
      <c r="I319" s="276">
        <f>SUM(I317:I318)</f>
        <v>0</v>
      </c>
    </row>
    <row r="320" spans="2:17" ht="13" x14ac:dyDescent="0.25">
      <c r="B320" s="273" t="s">
        <v>201</v>
      </c>
      <c r="H320" s="214"/>
      <c r="Q320" s="166"/>
    </row>
    <row r="321" spans="2:18" ht="13" x14ac:dyDescent="0.25">
      <c r="B321" s="273" t="s">
        <v>141</v>
      </c>
      <c r="C321" s="216"/>
      <c r="D321" s="216"/>
      <c r="E321" s="216"/>
      <c r="H321" s="214"/>
      <c r="Q321" s="166"/>
    </row>
    <row r="322" spans="2:18" ht="13" x14ac:dyDescent="0.25">
      <c r="B322" s="273"/>
      <c r="C322" s="216"/>
      <c r="D322" s="216"/>
      <c r="E322" s="216"/>
      <c r="H322" s="214"/>
      <c r="Q322" s="166"/>
    </row>
    <row r="323" spans="2:18" ht="13" x14ac:dyDescent="0.25">
      <c r="B323" s="275">
        <f>F286</f>
        <v>2021</v>
      </c>
      <c r="C323" s="279">
        <f>+H294</f>
        <v>0</v>
      </c>
      <c r="D323" s="216"/>
      <c r="E323" s="216"/>
      <c r="H323" s="214"/>
      <c r="Q323" s="166"/>
    </row>
    <row r="324" spans="2:18" ht="13" x14ac:dyDescent="0.25">
      <c r="B324" s="275">
        <v>2022</v>
      </c>
      <c r="C324" s="279">
        <f>+H305</f>
        <v>0</v>
      </c>
      <c r="D324" s="216"/>
      <c r="E324" s="216"/>
      <c r="H324" s="214"/>
      <c r="Q324" s="166"/>
    </row>
    <row r="325" spans="2:18" ht="13" x14ac:dyDescent="0.25">
      <c r="B325" s="275">
        <v>2023</v>
      </c>
      <c r="C325" s="279">
        <f>+H312</f>
        <v>0</v>
      </c>
      <c r="D325" s="216"/>
      <c r="E325" s="216"/>
      <c r="H325" s="214"/>
      <c r="Q325" s="166"/>
    </row>
    <row r="326" spans="2:18" ht="13" x14ac:dyDescent="0.25">
      <c r="B326" s="275">
        <v>2024</v>
      </c>
      <c r="C326" s="279">
        <f>+H319</f>
        <v>0</v>
      </c>
      <c r="D326" s="216"/>
      <c r="E326" s="216"/>
      <c r="H326" s="214"/>
      <c r="Q326" s="166"/>
    </row>
    <row r="327" spans="2:18" x14ac:dyDescent="0.25">
      <c r="Q327" s="206"/>
    </row>
    <row r="328" spans="2:18" x14ac:dyDescent="0.25">
      <c r="Q328" s="206"/>
    </row>
    <row r="329" spans="2:18" ht="13" x14ac:dyDescent="0.25">
      <c r="B329" s="321" t="s">
        <v>347</v>
      </c>
      <c r="C329" s="322"/>
      <c r="D329" s="322"/>
      <c r="E329" s="322"/>
      <c r="F329" s="323"/>
      <c r="G329" s="323"/>
      <c r="H329" s="323"/>
      <c r="I329" s="323"/>
      <c r="J329" s="323"/>
      <c r="K329" s="323"/>
      <c r="L329" s="323"/>
      <c r="M329" s="323"/>
      <c r="N329" s="323"/>
      <c r="O329" s="323"/>
      <c r="P329" s="323"/>
      <c r="Q329" s="324"/>
      <c r="R329" s="323"/>
    </row>
    <row r="330" spans="2:18" x14ac:dyDescent="0.25">
      <c r="Q330" s="206"/>
    </row>
    <row r="331" spans="2:18" ht="13" x14ac:dyDescent="0.25">
      <c r="B331" s="273" t="s">
        <v>139</v>
      </c>
      <c r="F331" s="810">
        <v>2024</v>
      </c>
      <c r="Q331" s="166"/>
    </row>
    <row r="332" spans="2:18" x14ac:dyDescent="0.25">
      <c r="Q332" s="166"/>
    </row>
    <row r="333" spans="2:18" ht="78" customHeight="1" x14ac:dyDescent="0.25">
      <c r="B333" s="1078" t="s">
        <v>140</v>
      </c>
      <c r="C333" s="1079"/>
      <c r="D333" s="1079"/>
      <c r="E333" s="1080"/>
      <c r="F333" s="274"/>
      <c r="G333" s="165" t="str">
        <f>"Nog af te bouwen regulatoir saldo einde "&amp;F331-1</f>
        <v>Nog af te bouwen regulatoir saldo einde 2023</v>
      </c>
      <c r="H333" s="165" t="str">
        <f>"50% van het oorspronkelijk regulatoir saldo door te rekenen volgens de tariefmethodologie in het boekjaar "&amp;F331</f>
        <v>50% van het oorspronkelijk regulatoir saldo door te rekenen volgens de tariefmethodologie in het boekjaar 2024</v>
      </c>
      <c r="I333" s="165" t="str">
        <f>"Nog af te bouwen regulatoir saldo einde "&amp;F331</f>
        <v>Nog af te bouwen regulatoir saldo einde 2024</v>
      </c>
      <c r="J333" s="206"/>
      <c r="Q333" s="166"/>
    </row>
    <row r="334" spans="2:18" ht="13" x14ac:dyDescent="0.25">
      <c r="B334" s="1075">
        <v>2022</v>
      </c>
      <c r="C334" s="1076"/>
      <c r="D334" s="1076"/>
      <c r="E334" s="1077"/>
      <c r="F334" s="275"/>
      <c r="G334" s="176">
        <f>+N159</f>
        <v>0</v>
      </c>
      <c r="H334" s="176">
        <f t="shared" ref="H334" si="47">-G334*0.5</f>
        <v>0</v>
      </c>
      <c r="I334" s="176">
        <f t="shared" ref="I334" si="48">+G334+H334</f>
        <v>0</v>
      </c>
      <c r="J334" s="206"/>
      <c r="Q334" s="166"/>
    </row>
    <row r="335" spans="2:18" s="273" customFormat="1" ht="13" x14ac:dyDescent="0.25">
      <c r="G335" s="276">
        <f>SUM(G334:G334)</f>
        <v>0</v>
      </c>
      <c r="H335" s="276">
        <f>SUM(H334:H334)</f>
        <v>0</v>
      </c>
      <c r="I335" s="276">
        <f>SUM(I334:I334)</f>
        <v>0</v>
      </c>
    </row>
    <row r="336" spans="2:18" ht="13" x14ac:dyDescent="0.25">
      <c r="B336" s="273" t="s">
        <v>347</v>
      </c>
      <c r="C336" s="216"/>
      <c r="D336" s="216"/>
      <c r="E336" s="216"/>
      <c r="Q336" s="166"/>
    </row>
    <row r="337" spans="2:17" ht="13" x14ac:dyDescent="0.25">
      <c r="B337" s="273" t="s">
        <v>141</v>
      </c>
      <c r="C337" s="216"/>
      <c r="D337" s="216"/>
      <c r="E337" s="216"/>
      <c r="Q337" s="166"/>
    </row>
    <row r="338" spans="2:17" ht="13" x14ac:dyDescent="0.25">
      <c r="B338" s="273"/>
      <c r="C338" s="216"/>
      <c r="D338" s="216"/>
      <c r="E338" s="216"/>
      <c r="Q338" s="166"/>
    </row>
    <row r="339" spans="2:17" ht="13" x14ac:dyDescent="0.25">
      <c r="B339" s="336">
        <v>2021</v>
      </c>
      <c r="C339" s="337">
        <v>0</v>
      </c>
      <c r="D339" s="216"/>
      <c r="E339" s="216"/>
      <c r="Q339" s="166"/>
    </row>
    <row r="340" spans="2:17" ht="13" x14ac:dyDescent="0.25">
      <c r="B340" s="336">
        <v>2022</v>
      </c>
      <c r="C340" s="337">
        <v>0</v>
      </c>
      <c r="D340" s="216"/>
      <c r="E340" s="216"/>
      <c r="Q340" s="166"/>
    </row>
    <row r="341" spans="2:17" ht="13" x14ac:dyDescent="0.25">
      <c r="B341" s="336">
        <v>2023</v>
      </c>
      <c r="C341" s="337">
        <v>0</v>
      </c>
      <c r="D341" s="216"/>
      <c r="E341" s="216"/>
      <c r="Q341" s="166"/>
    </row>
    <row r="342" spans="2:17" ht="13" x14ac:dyDescent="0.25">
      <c r="B342" s="275">
        <v>2024</v>
      </c>
      <c r="C342" s="279">
        <f>+H335</f>
        <v>0</v>
      </c>
      <c r="D342" s="216"/>
      <c r="E342" s="216"/>
      <c r="Q342" s="166"/>
    </row>
    <row r="343" spans="2:17" x14ac:dyDescent="0.25">
      <c r="H343" s="214"/>
      <c r="Q343" s="166"/>
    </row>
    <row r="344" spans="2:17" x14ac:dyDescent="0.25">
      <c r="H344" s="214"/>
      <c r="Q344" s="166"/>
    </row>
    <row r="345" spans="2:17" ht="13" x14ac:dyDescent="0.25">
      <c r="B345" s="321" t="s">
        <v>66</v>
      </c>
      <c r="C345" s="322"/>
      <c r="D345" s="322"/>
      <c r="E345" s="322"/>
      <c r="F345" s="323"/>
      <c r="G345" s="323"/>
      <c r="H345" s="527"/>
      <c r="I345" s="323"/>
      <c r="J345" s="323"/>
      <c r="K345" s="323"/>
      <c r="L345" s="323"/>
      <c r="M345" s="323"/>
      <c r="Q345" s="166"/>
    </row>
    <row r="346" spans="2:17" x14ac:dyDescent="0.25">
      <c r="H346" s="214"/>
      <c r="Q346" s="166"/>
    </row>
    <row r="347" spans="2:17" ht="13" x14ac:dyDescent="0.25">
      <c r="B347" s="273" t="s">
        <v>139</v>
      </c>
      <c r="F347" s="810">
        <v>2017</v>
      </c>
      <c r="H347" s="214"/>
      <c r="Q347" s="166"/>
    </row>
    <row r="348" spans="2:17" x14ac:dyDescent="0.25">
      <c r="H348" s="214"/>
      <c r="L348" s="206"/>
      <c r="Q348" s="166"/>
    </row>
    <row r="349" spans="2:17" ht="71.25" customHeight="1" x14ac:dyDescent="0.25">
      <c r="B349" s="1078" t="s">
        <v>140</v>
      </c>
      <c r="C349" s="1079"/>
      <c r="D349" s="1079"/>
      <c r="E349" s="1080"/>
      <c r="F349" s="274"/>
      <c r="G349" s="165" t="str">
        <f>"Nog af te bouwen regulatoir saldo einde "&amp;F347-1</f>
        <v>Nog af te bouwen regulatoir saldo einde 2016</v>
      </c>
      <c r="H349" s="165" t="str">
        <f>"Afbouw oudste openstaande regulatoir saldo vanaf boekjaar "&amp;F347-3&amp;" en vroeger, door aanwending van compensatie met regulatoir saldo ontstaan over boekjaar "&amp;F347-2</f>
        <v>Afbouw oudste openstaande regulatoir saldo vanaf boekjaar 2014 en vroeger, door aanwending van compensatie met regulatoir saldo ontstaan over boekjaar 2015</v>
      </c>
      <c r="I349" s="165" t="str">
        <f>"Nog af te bouwen regulatoir saldo na compensatie einde "&amp;F347-1</f>
        <v>Nog af te bouwen regulatoir saldo na compensatie einde 2016</v>
      </c>
      <c r="J349" s="165" t="str">
        <f>"Aanwending van "&amp;IF($B$7="elektriciteit","75%",IF($B$7="gas","40%","FALSE"))&amp;" van het geaccumuleerd regulatoir saldo door te rekenen volgens de tariefmethodologie in het boekjaar "&amp;F347</f>
        <v>Aanwending van 75% van het geaccumuleerd regulatoir saldo door te rekenen volgens de tariefmethodologie in het boekjaar 2017</v>
      </c>
      <c r="K349" s="165" t="str">
        <f>"Nog af te bouwen regulatoir saldo einde "&amp;F347</f>
        <v>Nog af te bouwen regulatoir saldo einde 2017</v>
      </c>
      <c r="L349" s="206"/>
      <c r="Q349" s="166"/>
    </row>
    <row r="350" spans="2:17" ht="13" x14ac:dyDescent="0.25">
      <c r="B350" s="1075">
        <v>2015</v>
      </c>
      <c r="C350" s="1076"/>
      <c r="D350" s="1076"/>
      <c r="E350" s="1077"/>
      <c r="F350" s="275"/>
      <c r="G350" s="176">
        <f>G163</f>
        <v>0</v>
      </c>
      <c r="H350" s="521">
        <v>0</v>
      </c>
      <c r="I350" s="176">
        <f>+G350+H350</f>
        <v>0</v>
      </c>
      <c r="J350" s="819">
        <f>-I350*IF($B$7="elektriciteit",0.75,IF($B$7="gas",0.4,"FALSE"))</f>
        <v>0</v>
      </c>
      <c r="K350" s="811">
        <f>+J350+G350</f>
        <v>0</v>
      </c>
      <c r="L350" s="206"/>
      <c r="Q350" s="166"/>
    </row>
    <row r="351" spans="2:17" x14ac:dyDescent="0.25">
      <c r="H351" s="214"/>
      <c r="L351" s="206"/>
      <c r="Q351" s="166"/>
    </row>
    <row r="352" spans="2:17" ht="13" x14ac:dyDescent="0.25">
      <c r="B352" s="273" t="s">
        <v>139</v>
      </c>
      <c r="F352" s="810">
        <v>2018</v>
      </c>
      <c r="H352" s="214"/>
      <c r="Q352" s="166"/>
    </row>
    <row r="353" spans="2:17" x14ac:dyDescent="0.25">
      <c r="H353" s="214"/>
      <c r="Q353" s="166"/>
    </row>
    <row r="354" spans="2:17" ht="69.75" customHeight="1" x14ac:dyDescent="0.25">
      <c r="B354" s="1078" t="s">
        <v>140</v>
      </c>
      <c r="C354" s="1079"/>
      <c r="D354" s="1079"/>
      <c r="E354" s="1080"/>
      <c r="F354" s="274"/>
      <c r="G354" s="165" t="str">
        <f>"Nog af te bouwen regulatoir saldo einde "&amp;F352-1</f>
        <v>Nog af te bouwen regulatoir saldo einde 2017</v>
      </c>
      <c r="H354" s="165" t="str">
        <f>"Afbouw oudste openstaande regulatoir saldo vanaf boekjaar "&amp;F352-3&amp;" en vroeger, door aanwending van compensatie met regulatoir saldo ontstaan over boekjaar "&amp;F352-2</f>
        <v>Afbouw oudste openstaande regulatoir saldo vanaf boekjaar 2015 en vroeger, door aanwending van compensatie met regulatoir saldo ontstaan over boekjaar 2016</v>
      </c>
      <c r="I354" s="165" t="str">
        <f>"Nog af te bouwen regulatoir saldo na compensatie einde "&amp;F352-1</f>
        <v>Nog af te bouwen regulatoir saldo na compensatie einde 2017</v>
      </c>
      <c r="J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K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L354" s="165" t="str">
        <f>"Totale afbouw over "&amp;F352</f>
        <v>Totale afbouw over 2018</v>
      </c>
      <c r="M354" s="165" t="str">
        <f>"Nog af te bouwen regulatoir saldo einde "&amp;F352</f>
        <v>Nog af te bouwen regulatoir saldo einde 2018</v>
      </c>
      <c r="N354" s="206"/>
      <c r="Q354" s="166"/>
    </row>
    <row r="355" spans="2:17" ht="13" x14ac:dyDescent="0.25">
      <c r="B355" s="1075">
        <v>2015</v>
      </c>
      <c r="C355" s="1076"/>
      <c r="D355" s="1076"/>
      <c r="E355" s="1077"/>
      <c r="F355" s="275"/>
      <c r="G355" s="176">
        <f>K350</f>
        <v>0</v>
      </c>
      <c r="H355" s="521">
        <f>IF(SIGN(G356*K350)&lt;0,IF(G355&lt;&gt;0,-SIGN(G355)*MIN(ABS(G356),ABS(G355)),0),0)</f>
        <v>0</v>
      </c>
      <c r="I355" s="176">
        <f>+G355+H355</f>
        <v>0</v>
      </c>
      <c r="J355" s="820"/>
      <c r="K355" s="821">
        <f>-MIN(ABS(I355),ABS(J357))*SIGN(I355)</f>
        <v>0</v>
      </c>
      <c r="L355" s="813">
        <f>+K355+H355</f>
        <v>0</v>
      </c>
      <c r="M355" s="176">
        <f>+I355+K355</f>
        <v>0</v>
      </c>
      <c r="N355" s="206"/>
      <c r="Q355" s="166"/>
    </row>
    <row r="356" spans="2:17" ht="13" x14ac:dyDescent="0.25">
      <c r="B356" s="1075">
        <v>2016</v>
      </c>
      <c r="C356" s="1076"/>
      <c r="D356" s="1076"/>
      <c r="E356" s="1077"/>
      <c r="F356" s="275"/>
      <c r="G356" s="176">
        <f>H164</f>
        <v>0</v>
      </c>
      <c r="H356" s="813">
        <f>IF(SIGN(G356*K350)&lt;0,-H355,0)</f>
        <v>0</v>
      </c>
      <c r="I356" s="176">
        <f>+G356+H356</f>
        <v>0</v>
      </c>
      <c r="J356" s="820"/>
      <c r="K356" s="821">
        <f>-MIN(ABS(I356),ABS(J357-K355))*SIGN(I356)</f>
        <v>0</v>
      </c>
      <c r="L356" s="813">
        <f>+K356+H356</f>
        <v>0</v>
      </c>
      <c r="M356" s="176">
        <f>+I356+K356</f>
        <v>0</v>
      </c>
      <c r="N356" s="206"/>
      <c r="Q356" s="166"/>
    </row>
    <row r="357" spans="2:17" s="273" customFormat="1" ht="13" x14ac:dyDescent="0.3">
      <c r="G357" s="276">
        <f>SUM(G355:G356)</f>
        <v>0</v>
      </c>
      <c r="H357" s="168">
        <f>SUM(H355:H356)</f>
        <v>0</v>
      </c>
      <c r="I357" s="276">
        <f>SUM(I355:I356)</f>
        <v>0</v>
      </c>
      <c r="J357" s="208">
        <f>-I357*IF($B$7="elektriciteit",0.75,IF($B$7="gas",0.4,"FALSE"))</f>
        <v>0</v>
      </c>
      <c r="K357" s="286">
        <f>SUM(K355:K356)</f>
        <v>0</v>
      </c>
      <c r="L357" s="278"/>
      <c r="M357" s="276">
        <f>SUM(M355:M356)</f>
        <v>0</v>
      </c>
    </row>
    <row r="358" spans="2:17" x14ac:dyDescent="0.25">
      <c r="H358" s="214"/>
      <c r="J358" s="12"/>
      <c r="K358" s="12"/>
      <c r="Q358" s="166"/>
    </row>
    <row r="359" spans="2:17" ht="13" x14ac:dyDescent="0.25">
      <c r="B359" s="273" t="s">
        <v>139</v>
      </c>
      <c r="F359" s="810">
        <v>2019</v>
      </c>
      <c r="H359" s="214"/>
      <c r="J359" s="12"/>
      <c r="K359" s="12"/>
      <c r="Q359" s="166"/>
    </row>
    <row r="360" spans="2:17" x14ac:dyDescent="0.25">
      <c r="H360" s="214"/>
      <c r="J360" s="12"/>
      <c r="K360" s="12"/>
      <c r="Q360" s="166"/>
    </row>
    <row r="361" spans="2:17" ht="72" customHeight="1" x14ac:dyDescent="0.25">
      <c r="B361" s="1078" t="s">
        <v>140</v>
      </c>
      <c r="C361" s="1079"/>
      <c r="D361" s="1079"/>
      <c r="E361" s="1080"/>
      <c r="F361" s="274"/>
      <c r="G361" s="165" t="str">
        <f>"Nog af te bouwen regulatoir saldo einde "&amp;F359-1</f>
        <v>Nog af te bouwen regulatoir saldo einde 2018</v>
      </c>
      <c r="H361" s="165" t="str">
        <f>"Afbouw oudste openstaande regulatoir saldo vanaf boekjaar "&amp;F359-3&amp;" en vroeger, door aanwending van compensatie met regulatoir saldo ontstaan over boekjaar "&amp;F359-2</f>
        <v>Afbouw oudste openstaande regulatoir saldo vanaf boekjaar 2016 en vroeger, door aanwending van compensatie met regulatoir saldo ontstaan over boekjaar 2017</v>
      </c>
      <c r="I361" s="165" t="str">
        <f>"Nog af te bouwen regulatoir saldo na compensatie einde "&amp;F359-1</f>
        <v>Nog af te bouwen regulatoir saldo na compensatie einde 2018</v>
      </c>
      <c r="J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K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L361" s="165" t="str">
        <f>"Totale afbouw over "&amp;F359</f>
        <v>Totale afbouw over 2019</v>
      </c>
      <c r="M361" s="165" t="str">
        <f>"Nog af te bouwen regulatoir saldo einde "&amp;F359</f>
        <v>Nog af te bouwen regulatoir saldo einde 2019</v>
      </c>
      <c r="N361" s="206"/>
      <c r="Q361" s="166"/>
    </row>
    <row r="362" spans="2:17" ht="13" x14ac:dyDescent="0.25">
      <c r="B362" s="1075">
        <v>2015</v>
      </c>
      <c r="C362" s="1076"/>
      <c r="D362" s="1076"/>
      <c r="E362" s="1077"/>
      <c r="F362" s="275"/>
      <c r="G362" s="176">
        <f>+M355</f>
        <v>0</v>
      </c>
      <c r="H362" s="813">
        <f>IF(SIGN(G364*M357)&lt;0,IF(G362&lt;&gt;0,-SIGN(G362)*MIN(ABS(G364),ABS(G362)),0),0)</f>
        <v>0</v>
      </c>
      <c r="I362" s="176">
        <f>+G362+H362</f>
        <v>0</v>
      </c>
      <c r="J362" s="820"/>
      <c r="K362" s="821">
        <f>-MIN(ABS(I362),ABS(J365))*SIGN(I362)</f>
        <v>0</v>
      </c>
      <c r="L362" s="813">
        <f>+K362+H362</f>
        <v>0</v>
      </c>
      <c r="M362" s="176">
        <f>+I362+K362</f>
        <v>0</v>
      </c>
      <c r="N362" s="206"/>
      <c r="Q362" s="166"/>
    </row>
    <row r="363" spans="2:17" ht="13" x14ac:dyDescent="0.25">
      <c r="B363" s="1075">
        <v>2016</v>
      </c>
      <c r="C363" s="1076"/>
      <c r="D363" s="1076">
        <v>2016</v>
      </c>
      <c r="E363" s="1077"/>
      <c r="F363" s="275"/>
      <c r="G363" s="176">
        <f>+M356</f>
        <v>0</v>
      </c>
      <c r="H363" s="813">
        <f>IF(SIGN(G364*M357)&lt;0,IF(G363&lt;&gt;0,-SIGN(G363)*MIN(ABS(G364-H362),ABS(G363)),0),0)</f>
        <v>0</v>
      </c>
      <c r="I363" s="176">
        <f>+G363+H363</f>
        <v>0</v>
      </c>
      <c r="J363" s="820"/>
      <c r="K363" s="821">
        <f>-MIN(ABS(I363),ABS(J365-K362))*SIGN(I363)</f>
        <v>0</v>
      </c>
      <c r="L363" s="813">
        <f>+K363+H363</f>
        <v>0</v>
      </c>
      <c r="M363" s="176">
        <f>+I363+K363</f>
        <v>0</v>
      </c>
      <c r="N363" s="206"/>
      <c r="Q363" s="166"/>
    </row>
    <row r="364" spans="2:17" ht="13" x14ac:dyDescent="0.25">
      <c r="B364" s="1075">
        <v>2017</v>
      </c>
      <c r="C364" s="1076"/>
      <c r="D364" s="1076"/>
      <c r="E364" s="1077"/>
      <c r="F364" s="275"/>
      <c r="G364" s="176">
        <f>I165</f>
        <v>0</v>
      </c>
      <c r="H364" s="813">
        <f>IF(SIGN(G364*M357)&lt;0,-SUM(H362:H363),0)</f>
        <v>0</v>
      </c>
      <c r="I364" s="176">
        <f>+G364+H364</f>
        <v>0</v>
      </c>
      <c r="J364" s="820"/>
      <c r="K364" s="821">
        <f>-MIN(ABS(I364),ABS(J365-K362-K363))*SIGN(I364)</f>
        <v>0</v>
      </c>
      <c r="L364" s="813">
        <f>+K364+H364</f>
        <v>0</v>
      </c>
      <c r="M364" s="176">
        <f>+I364+K364</f>
        <v>0</v>
      </c>
      <c r="N364" s="206"/>
      <c r="Q364" s="166"/>
    </row>
    <row r="365" spans="2:17" s="273" customFormat="1" ht="13" x14ac:dyDescent="0.3">
      <c r="G365" s="276">
        <f>SUM(G362:G364)</f>
        <v>0</v>
      </c>
      <c r="H365" s="168">
        <f>SUM(H362:H364)</f>
        <v>0</v>
      </c>
      <c r="I365" s="276">
        <f>SUM(I362:I364)</f>
        <v>0</v>
      </c>
      <c r="J365" s="208">
        <f>-I365*IF($B$7="elektriciteit",0.75,IF($B$7="gas",0.4,"FALSE"))</f>
        <v>0</v>
      </c>
      <c r="K365" s="286">
        <f>SUM(K362:K364)</f>
        <v>0</v>
      </c>
      <c r="L365" s="528"/>
      <c r="M365" s="276">
        <f>SUM(M362:M364)</f>
        <v>0</v>
      </c>
    </row>
    <row r="366" spans="2:17" x14ac:dyDescent="0.25">
      <c r="H366" s="214"/>
      <c r="J366" s="12"/>
      <c r="K366" s="12"/>
      <c r="Q366" s="166"/>
    </row>
    <row r="367" spans="2:17" ht="13" x14ac:dyDescent="0.25">
      <c r="B367" s="273" t="s">
        <v>139</v>
      </c>
      <c r="F367" s="810">
        <v>2020</v>
      </c>
      <c r="H367" s="214"/>
      <c r="J367" s="12"/>
      <c r="K367" s="12"/>
      <c r="Q367" s="166"/>
    </row>
    <row r="368" spans="2:17" x14ac:dyDescent="0.25">
      <c r="H368" s="214"/>
      <c r="J368" s="12"/>
      <c r="K368" s="12"/>
      <c r="Q368" s="166"/>
    </row>
    <row r="369" spans="2:17" ht="72.75" customHeight="1" x14ac:dyDescent="0.25">
      <c r="B369" s="1078" t="s">
        <v>140</v>
      </c>
      <c r="C369" s="1079"/>
      <c r="D369" s="1079"/>
      <c r="E369" s="1080"/>
      <c r="F369" s="274"/>
      <c r="G369" s="165" t="str">
        <f>"Nog af te bouwen regulatoir saldo einde "&amp;F367-1</f>
        <v>Nog af te bouwen regulatoir saldo einde 2019</v>
      </c>
      <c r="H369" s="165" t="str">
        <f>"Afbouw oudste openstaande regulatoir saldo vanaf boekjaar "&amp;F367-3&amp;" en vroeger, door aanwending van compensatie met regulatoir saldo ontstaan over boekjaar "&amp;F367-2</f>
        <v>Afbouw oudste openstaande regulatoir saldo vanaf boekjaar 2017 en vroeger, door aanwending van compensatie met regulatoir saldo ontstaan over boekjaar 2018</v>
      </c>
      <c r="I369" s="165" t="str">
        <f>"Nog af te bouwen regulatoir saldo na compensatie einde "&amp;F367-1</f>
        <v>Nog af te bouwen regulatoir saldo na compensatie einde 2019</v>
      </c>
      <c r="J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K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L369" s="165" t="str">
        <f>"Totale afbouw over "&amp;F367</f>
        <v>Totale afbouw over 2020</v>
      </c>
      <c r="M369" s="165" t="str">
        <f>"Nog af te bouwen regulatoir saldo einde "&amp;F367</f>
        <v>Nog af te bouwen regulatoir saldo einde 2020</v>
      </c>
      <c r="N369" s="206"/>
      <c r="Q369" s="166"/>
    </row>
    <row r="370" spans="2:17" ht="13" x14ac:dyDescent="0.25">
      <c r="B370" s="1075">
        <v>2015</v>
      </c>
      <c r="C370" s="1076"/>
      <c r="D370" s="1076"/>
      <c r="E370" s="1077"/>
      <c r="F370" s="275"/>
      <c r="G370" s="176">
        <f>+M362</f>
        <v>0</v>
      </c>
      <c r="H370" s="813">
        <f>IF(SIGN(G373*M365)&lt;0,IF(G370&lt;&gt;0,-SIGN(G370)*MIN(ABS(G373),ABS(G370)),0),0)</f>
        <v>0</v>
      </c>
      <c r="I370" s="176">
        <f>+G370+H370</f>
        <v>0</v>
      </c>
      <c r="J370" s="820"/>
      <c r="K370" s="821">
        <f>-MIN(ABS(I370),ABS(J374))*SIGN(I370)</f>
        <v>0</v>
      </c>
      <c r="L370" s="813">
        <f>+K370+H370</f>
        <v>0</v>
      </c>
      <c r="M370" s="176">
        <f>+I370+K370</f>
        <v>0</v>
      </c>
      <c r="N370" s="206"/>
      <c r="Q370" s="166"/>
    </row>
    <row r="371" spans="2:17" ht="13" x14ac:dyDescent="0.25">
      <c r="B371" s="1075">
        <v>2016</v>
      </c>
      <c r="C371" s="1076"/>
      <c r="D371" s="1076"/>
      <c r="E371" s="1077"/>
      <c r="F371" s="275"/>
      <c r="G371" s="176">
        <f>+M363</f>
        <v>0</v>
      </c>
      <c r="H371" s="813">
        <f>IF(SIGN(G373*M365)&lt;0,IF(G371&lt;&gt;0,-SIGN(G371)*MIN(ABS(G373-H370),ABS(G371)),0),0)</f>
        <v>0</v>
      </c>
      <c r="I371" s="176">
        <f>+G371+H371</f>
        <v>0</v>
      </c>
      <c r="J371" s="820"/>
      <c r="K371" s="821">
        <f>-MIN(ABS(I371),ABS(J374-K370))*SIGN(I371)</f>
        <v>0</v>
      </c>
      <c r="L371" s="813">
        <f>+K371+H371</f>
        <v>0</v>
      </c>
      <c r="M371" s="176">
        <f>+I371+K371</f>
        <v>0</v>
      </c>
      <c r="N371" s="206"/>
      <c r="Q371" s="166"/>
    </row>
    <row r="372" spans="2:17" ht="13" x14ac:dyDescent="0.25">
      <c r="B372" s="1075">
        <v>2017</v>
      </c>
      <c r="C372" s="1076"/>
      <c r="D372" s="1076">
        <v>2016</v>
      </c>
      <c r="E372" s="1077"/>
      <c r="F372" s="275"/>
      <c r="G372" s="176">
        <f>+M364</f>
        <v>0</v>
      </c>
      <c r="H372" s="813">
        <f>IF(SIGN(G373*M365)&lt;0,IF(G372&lt;&gt;0,-SIGN(G372)*MIN(ABS(G373-H370-H371),ABS(G372)),0),0)</f>
        <v>0</v>
      </c>
      <c r="I372" s="176">
        <f>+G372+H372</f>
        <v>0</v>
      </c>
      <c r="J372" s="820"/>
      <c r="K372" s="821">
        <f>-MIN(ABS(I372),ABS(J374-K370-K371))*SIGN(I372)</f>
        <v>0</v>
      </c>
      <c r="L372" s="813">
        <f>+K372+H372</f>
        <v>0</v>
      </c>
      <c r="M372" s="176">
        <f>+I372+K372</f>
        <v>0</v>
      </c>
      <c r="N372" s="206"/>
      <c r="Q372" s="166"/>
    </row>
    <row r="373" spans="2:17" ht="13" x14ac:dyDescent="0.25">
      <c r="B373" s="1075">
        <v>2018</v>
      </c>
      <c r="C373" s="1076"/>
      <c r="D373" s="1076"/>
      <c r="E373" s="1077"/>
      <c r="F373" s="275"/>
      <c r="G373" s="176">
        <f>J166</f>
        <v>0</v>
      </c>
      <c r="H373" s="813">
        <f>IF(SIGN(G373*M365)&lt;0,-SUM(H370:H372),0)</f>
        <v>0</v>
      </c>
      <c r="I373" s="176">
        <f>+G373+H373</f>
        <v>0</v>
      </c>
      <c r="J373" s="820"/>
      <c r="K373" s="821">
        <f>-MIN(ABS(I373),ABS(J374-K370-K371-K372))*SIGN(I373)</f>
        <v>0</v>
      </c>
      <c r="L373" s="813">
        <f>+K373+H373</f>
        <v>0</v>
      </c>
      <c r="M373" s="176">
        <f>+I373+K373</f>
        <v>0</v>
      </c>
      <c r="N373" s="206"/>
      <c r="Q373" s="166"/>
    </row>
    <row r="374" spans="2:17" s="273" customFormat="1" ht="13" x14ac:dyDescent="0.3">
      <c r="G374" s="276">
        <f>SUM(G370:G373)</f>
        <v>0</v>
      </c>
      <c r="H374" s="168">
        <f>SUM(H370:H373)</f>
        <v>0</v>
      </c>
      <c r="I374" s="276">
        <f>SUM(I370:I373)</f>
        <v>0</v>
      </c>
      <c r="J374" s="208">
        <f>-I374*IF($B$7="elektriciteit",0.75,IF($B$7="gas",0.4,"FALSE"))</f>
        <v>0</v>
      </c>
      <c r="K374" s="286">
        <f>SUM(K370:K373)</f>
        <v>0</v>
      </c>
      <c r="L374" s="168"/>
      <c r="M374" s="276">
        <f>SUM(M370:M373)</f>
        <v>0</v>
      </c>
    </row>
    <row r="375" spans="2:17" x14ac:dyDescent="0.25">
      <c r="H375" s="214"/>
      <c r="Q375" s="166"/>
    </row>
    <row r="376" spans="2:17" ht="13" x14ac:dyDescent="0.25">
      <c r="B376" s="273" t="s">
        <v>139</v>
      </c>
      <c r="F376" s="810">
        <v>2021</v>
      </c>
      <c r="H376" s="214"/>
      <c r="Q376" s="166"/>
    </row>
    <row r="377" spans="2:17" x14ac:dyDescent="0.25">
      <c r="H377" s="214"/>
      <c r="Q377" s="166"/>
    </row>
    <row r="378" spans="2:17" ht="78" customHeight="1" x14ac:dyDescent="0.25">
      <c r="B378" s="1078" t="s">
        <v>140</v>
      </c>
      <c r="C378" s="1079"/>
      <c r="D378" s="1079"/>
      <c r="E378" s="1080"/>
      <c r="F378" s="274"/>
      <c r="G378" s="165" t="str">
        <f>"Nog af te bouwen regulatoir saldo einde "&amp;F376-1</f>
        <v>Nog af te bouwen regulatoir saldo einde 2020</v>
      </c>
      <c r="H378" s="165" t="str">
        <f>"50% van het oorspronkelijk regulatoir saldo door te rekenen volgens de tariefmethodologie in het boekjaar "&amp;F376</f>
        <v>50% van het oorspronkelijk regulatoir saldo door te rekenen volgens de tariefmethodologie in het boekjaar 2021</v>
      </c>
      <c r="I378" s="165" t="str">
        <f>"Nog af te bouwen regulatoir saldo einde "&amp;F376</f>
        <v>Nog af te bouwen regulatoir saldo einde 2021</v>
      </c>
      <c r="J378" s="206"/>
      <c r="Q378" s="166"/>
    </row>
    <row r="379" spans="2:17" ht="13" x14ac:dyDescent="0.25">
      <c r="B379" s="1075">
        <v>2015</v>
      </c>
      <c r="C379" s="1076"/>
      <c r="D379" s="1076"/>
      <c r="E379" s="1077"/>
      <c r="F379" s="275"/>
      <c r="G379" s="176">
        <f>M370</f>
        <v>0</v>
      </c>
      <c r="H379" s="521">
        <f>-G379*0.5</f>
        <v>0</v>
      </c>
      <c r="I379" s="176">
        <f>+G379+H379</f>
        <v>0</v>
      </c>
      <c r="J379" s="206"/>
      <c r="Q379" s="166"/>
    </row>
    <row r="380" spans="2:17" ht="13" x14ac:dyDescent="0.25">
      <c r="B380" s="1075">
        <v>2016</v>
      </c>
      <c r="C380" s="1076"/>
      <c r="D380" s="1076"/>
      <c r="E380" s="1077"/>
      <c r="F380" s="275"/>
      <c r="G380" s="176">
        <f t="shared" ref="G380:G382" si="49">M371</f>
        <v>0</v>
      </c>
      <c r="H380" s="521">
        <f t="shared" ref="H380:H383" si="50">-G380*0.5</f>
        <v>0</v>
      </c>
      <c r="I380" s="176">
        <f t="shared" ref="I380:I383" si="51">+G380+H380</f>
        <v>0</v>
      </c>
      <c r="J380" s="206"/>
      <c r="Q380" s="166"/>
    </row>
    <row r="381" spans="2:17" ht="13" x14ac:dyDescent="0.25">
      <c r="B381" s="1075">
        <v>2017</v>
      </c>
      <c r="C381" s="1076"/>
      <c r="D381" s="1076">
        <v>2016</v>
      </c>
      <c r="E381" s="1077"/>
      <c r="F381" s="275"/>
      <c r="G381" s="176">
        <f t="shared" si="49"/>
        <v>0</v>
      </c>
      <c r="H381" s="521">
        <f t="shared" si="50"/>
        <v>0</v>
      </c>
      <c r="I381" s="176">
        <f t="shared" si="51"/>
        <v>0</v>
      </c>
      <c r="J381" s="206"/>
      <c r="Q381" s="166"/>
    </row>
    <row r="382" spans="2:17" ht="13" x14ac:dyDescent="0.25">
      <c r="B382" s="1075">
        <v>2018</v>
      </c>
      <c r="C382" s="1076"/>
      <c r="D382" s="1076"/>
      <c r="E382" s="1077"/>
      <c r="F382" s="275"/>
      <c r="G382" s="176">
        <f t="shared" si="49"/>
        <v>0</v>
      </c>
      <c r="H382" s="521">
        <f t="shared" si="50"/>
        <v>0</v>
      </c>
      <c r="I382" s="176">
        <f t="shared" si="51"/>
        <v>0</v>
      </c>
      <c r="J382" s="206"/>
      <c r="Q382" s="166"/>
    </row>
    <row r="383" spans="2:17" ht="13" x14ac:dyDescent="0.25">
      <c r="B383" s="1075">
        <v>2019</v>
      </c>
      <c r="C383" s="1076"/>
      <c r="D383" s="1076"/>
      <c r="E383" s="1077"/>
      <c r="F383" s="275"/>
      <c r="G383" s="176">
        <f>K167</f>
        <v>0</v>
      </c>
      <c r="H383" s="521">
        <f t="shared" si="50"/>
        <v>0</v>
      </c>
      <c r="I383" s="176">
        <f t="shared" si="51"/>
        <v>0</v>
      </c>
      <c r="J383" s="206"/>
      <c r="Q383" s="166"/>
    </row>
    <row r="384" spans="2:17" s="273" customFormat="1" ht="13" x14ac:dyDescent="0.25">
      <c r="G384" s="276">
        <f>SUM(G379:G383)</f>
        <v>0</v>
      </c>
      <c r="H384" s="168">
        <f>SUM(H379:H383)</f>
        <v>0</v>
      </c>
      <c r="I384" s="276">
        <f>SUM(I379:I383)</f>
        <v>0</v>
      </c>
    </row>
    <row r="385" spans="2:17" x14ac:dyDescent="0.25">
      <c r="H385" s="214"/>
      <c r="Q385" s="166"/>
    </row>
    <row r="386" spans="2:17" ht="13" x14ac:dyDescent="0.25">
      <c r="B386" s="273" t="s">
        <v>139</v>
      </c>
      <c r="F386" s="810">
        <v>2022</v>
      </c>
      <c r="H386" s="214"/>
      <c r="Q386" s="166"/>
    </row>
    <row r="387" spans="2:17" x14ac:dyDescent="0.25">
      <c r="H387" s="214"/>
      <c r="Q387" s="166"/>
    </row>
    <row r="388" spans="2:17" ht="78" customHeight="1" x14ac:dyDescent="0.25">
      <c r="B388" s="1078" t="s">
        <v>140</v>
      </c>
      <c r="C388" s="1079"/>
      <c r="D388" s="1079"/>
      <c r="E388" s="1080"/>
      <c r="F388" s="274"/>
      <c r="G388" s="165" t="str">
        <f>"Nog af te bouwen regulatoir saldo einde "&amp;F386-1</f>
        <v>Nog af te bouwen regulatoir saldo einde 2021</v>
      </c>
      <c r="H388" s="165" t="str">
        <f>"50% van het oorspronkelijk regulatoir saldo door te rekenen volgens de tariefmethodologie in het boekjaar "&amp;F386</f>
        <v>50% van het oorspronkelijk regulatoir saldo door te rekenen volgens de tariefmethodologie in het boekjaar 2022</v>
      </c>
      <c r="I388" s="165" t="str">
        <f>"Nog af te bouwen regulatoir saldo einde "&amp;F386</f>
        <v>Nog af te bouwen regulatoir saldo einde 2022</v>
      </c>
      <c r="J388" s="206"/>
      <c r="Q388" s="166"/>
    </row>
    <row r="389" spans="2:17" ht="13" x14ac:dyDescent="0.25">
      <c r="B389" s="1075">
        <v>2015</v>
      </c>
      <c r="C389" s="1076"/>
      <c r="D389" s="1076"/>
      <c r="E389" s="1077"/>
      <c r="F389" s="275"/>
      <c r="G389" s="176">
        <f>+I379</f>
        <v>0</v>
      </c>
      <c r="H389" s="521">
        <f>-G379*0.5</f>
        <v>0</v>
      </c>
      <c r="I389" s="176">
        <f>+G389+H389</f>
        <v>0</v>
      </c>
      <c r="J389" s="206"/>
      <c r="Q389" s="166"/>
    </row>
    <row r="390" spans="2:17" ht="13" x14ac:dyDescent="0.25">
      <c r="B390" s="1075">
        <v>2016</v>
      </c>
      <c r="C390" s="1076"/>
      <c r="D390" s="1076"/>
      <c r="E390" s="1077"/>
      <c r="F390" s="275"/>
      <c r="G390" s="176">
        <f t="shared" ref="G390:G393" si="52">+I380</f>
        <v>0</v>
      </c>
      <c r="H390" s="521">
        <f t="shared" ref="H390:H393" si="53">-G380*0.5</f>
        <v>0</v>
      </c>
      <c r="I390" s="176">
        <f t="shared" ref="I390:I394" si="54">+G390+H390</f>
        <v>0</v>
      </c>
      <c r="J390" s="206"/>
      <c r="Q390" s="166"/>
    </row>
    <row r="391" spans="2:17" ht="13" x14ac:dyDescent="0.25">
      <c r="B391" s="1075">
        <v>2017</v>
      </c>
      <c r="C391" s="1076"/>
      <c r="D391" s="1076">
        <v>2016</v>
      </c>
      <c r="E391" s="1077"/>
      <c r="F391" s="275"/>
      <c r="G391" s="176">
        <f t="shared" si="52"/>
        <v>0</v>
      </c>
      <c r="H391" s="521">
        <f t="shared" si="53"/>
        <v>0</v>
      </c>
      <c r="I391" s="176">
        <f t="shared" si="54"/>
        <v>0</v>
      </c>
      <c r="J391" s="206"/>
      <c r="Q391" s="166"/>
    </row>
    <row r="392" spans="2:17" ht="13" x14ac:dyDescent="0.25">
      <c r="B392" s="1075">
        <v>2018</v>
      </c>
      <c r="C392" s="1076"/>
      <c r="D392" s="1076"/>
      <c r="E392" s="1077"/>
      <c r="F392" s="275"/>
      <c r="G392" s="176">
        <f t="shared" si="52"/>
        <v>0</v>
      </c>
      <c r="H392" s="521">
        <f t="shared" si="53"/>
        <v>0</v>
      </c>
      <c r="I392" s="176">
        <f t="shared" si="54"/>
        <v>0</v>
      </c>
      <c r="J392" s="206"/>
      <c r="Q392" s="166"/>
    </row>
    <row r="393" spans="2:17" ht="13" x14ac:dyDescent="0.25">
      <c r="B393" s="1075">
        <v>2019</v>
      </c>
      <c r="C393" s="1076"/>
      <c r="D393" s="1076"/>
      <c r="E393" s="1077"/>
      <c r="F393" s="275"/>
      <c r="G393" s="176">
        <f t="shared" si="52"/>
        <v>0</v>
      </c>
      <c r="H393" s="521">
        <f t="shared" si="53"/>
        <v>0</v>
      </c>
      <c r="I393" s="176">
        <f t="shared" si="54"/>
        <v>0</v>
      </c>
      <c r="J393" s="206"/>
      <c r="Q393" s="166"/>
    </row>
    <row r="394" spans="2:17" ht="13" x14ac:dyDescent="0.25">
      <c r="B394" s="1075">
        <v>2020</v>
      </c>
      <c r="C394" s="1076"/>
      <c r="D394" s="1076"/>
      <c r="E394" s="1077"/>
      <c r="F394" s="275"/>
      <c r="G394" s="176">
        <f>L168</f>
        <v>0</v>
      </c>
      <c r="H394" s="521">
        <f t="shared" ref="H394" si="55">-G394*0.5</f>
        <v>0</v>
      </c>
      <c r="I394" s="176">
        <f t="shared" si="54"/>
        <v>0</v>
      </c>
      <c r="J394" s="206"/>
      <c r="Q394" s="166"/>
    </row>
    <row r="395" spans="2:17" s="273" customFormat="1" ht="13" x14ac:dyDescent="0.25">
      <c r="G395" s="276">
        <f>SUM(G389:G394)</f>
        <v>0</v>
      </c>
      <c r="H395" s="168">
        <f t="shared" ref="H395:I395" si="56">SUM(H389:H394)</f>
        <v>0</v>
      </c>
      <c r="I395" s="276">
        <f t="shared" si="56"/>
        <v>0</v>
      </c>
    </row>
    <row r="396" spans="2:17" x14ac:dyDescent="0.25">
      <c r="H396" s="214"/>
      <c r="Q396" s="166"/>
    </row>
    <row r="397" spans="2:17" ht="13" x14ac:dyDescent="0.25">
      <c r="B397" s="273" t="s">
        <v>139</v>
      </c>
      <c r="F397" s="810">
        <v>2023</v>
      </c>
      <c r="H397" s="214"/>
      <c r="Q397" s="166"/>
    </row>
    <row r="398" spans="2:17" x14ac:dyDescent="0.25">
      <c r="H398" s="214"/>
      <c r="Q398" s="166"/>
    </row>
    <row r="399" spans="2:17" ht="78" customHeight="1" x14ac:dyDescent="0.25">
      <c r="B399" s="1078" t="s">
        <v>140</v>
      </c>
      <c r="C399" s="1079"/>
      <c r="D399" s="1079"/>
      <c r="E399" s="1080"/>
      <c r="F399" s="274"/>
      <c r="G399" s="165" t="str">
        <f>"Nog af te bouwen regulatoir saldo einde "&amp;F397-1</f>
        <v>Nog af te bouwen regulatoir saldo einde 2022</v>
      </c>
      <c r="H399" s="165" t="str">
        <f>"50% van het oorspronkelijk regulatoir saldo door te rekenen volgens de tariefmethodologie in het boekjaar "&amp;F397</f>
        <v>50% van het oorspronkelijk regulatoir saldo door te rekenen volgens de tariefmethodologie in het boekjaar 2023</v>
      </c>
      <c r="I399" s="165" t="str">
        <f>"Nog af te bouwen regulatoir saldo einde "&amp;F397</f>
        <v>Nog af te bouwen regulatoir saldo einde 2023</v>
      </c>
      <c r="J399" s="206"/>
      <c r="Q399" s="166"/>
    </row>
    <row r="400" spans="2:17" ht="13" x14ac:dyDescent="0.25">
      <c r="B400" s="1075">
        <v>2020</v>
      </c>
      <c r="C400" s="1076"/>
      <c r="D400" s="1076"/>
      <c r="E400" s="1077"/>
      <c r="F400" s="275"/>
      <c r="G400" s="176">
        <f>+I394</f>
        <v>0</v>
      </c>
      <c r="H400" s="521">
        <f>-G394*0.5</f>
        <v>0</v>
      </c>
      <c r="I400" s="176">
        <f t="shared" ref="I400:I401" si="57">+G400+H400</f>
        <v>0</v>
      </c>
      <c r="J400" s="206"/>
      <c r="Q400" s="166"/>
    </row>
    <row r="401" spans="2:17" ht="13" x14ac:dyDescent="0.25">
      <c r="B401" s="1075">
        <v>2021</v>
      </c>
      <c r="C401" s="1076"/>
      <c r="D401" s="1076"/>
      <c r="E401" s="1077"/>
      <c r="F401" s="275"/>
      <c r="G401" s="176">
        <f>M169</f>
        <v>0</v>
      </c>
      <c r="H401" s="521">
        <f t="shared" ref="H401" si="58">-G401*0.5</f>
        <v>0</v>
      </c>
      <c r="I401" s="176">
        <f t="shared" si="57"/>
        <v>0</v>
      </c>
      <c r="J401" s="206"/>
      <c r="Q401" s="166"/>
    </row>
    <row r="402" spans="2:17" s="273" customFormat="1" ht="13" x14ac:dyDescent="0.25">
      <c r="G402" s="276">
        <f>SUM(G400:G401)</f>
        <v>0</v>
      </c>
      <c r="H402" s="168">
        <f>SUM(H400:H401)</f>
        <v>0</v>
      </c>
      <c r="I402" s="276">
        <f>SUM(I400:I401)</f>
        <v>0</v>
      </c>
    </row>
    <row r="403" spans="2:17" x14ac:dyDescent="0.25">
      <c r="H403" s="214"/>
      <c r="Q403" s="166"/>
    </row>
    <row r="404" spans="2:17" ht="13" x14ac:dyDescent="0.25">
      <c r="B404" s="273" t="s">
        <v>139</v>
      </c>
      <c r="F404" s="810">
        <v>2024</v>
      </c>
      <c r="H404" s="214"/>
      <c r="Q404" s="166"/>
    </row>
    <row r="405" spans="2:17" x14ac:dyDescent="0.25">
      <c r="H405" s="214"/>
      <c r="Q405" s="166"/>
    </row>
    <row r="406" spans="2:17" ht="78" customHeight="1" x14ac:dyDescent="0.25">
      <c r="B406" s="1078" t="s">
        <v>140</v>
      </c>
      <c r="C406" s="1079"/>
      <c r="D406" s="1079"/>
      <c r="E406" s="1080"/>
      <c r="F406" s="274"/>
      <c r="G406" s="165" t="str">
        <f>"Nog af te bouwen regulatoir saldo einde "&amp;F404-1</f>
        <v>Nog af te bouwen regulatoir saldo einde 2023</v>
      </c>
      <c r="H406" s="165" t="str">
        <f>"50% van het oorspronkelijk regulatoir saldo door te rekenen volgens de tariefmethodologie in het boekjaar "&amp;F404</f>
        <v>50% van het oorspronkelijk regulatoir saldo door te rekenen volgens de tariefmethodologie in het boekjaar 2024</v>
      </c>
      <c r="I406" s="165" t="str">
        <f>"Nog af te bouwen regulatoir saldo einde "&amp;F404</f>
        <v>Nog af te bouwen regulatoir saldo einde 2024</v>
      </c>
      <c r="J406" s="206"/>
      <c r="Q406" s="166"/>
    </row>
    <row r="407" spans="2:17" ht="13" x14ac:dyDescent="0.25">
      <c r="B407" s="1075">
        <v>2021</v>
      </c>
      <c r="C407" s="1076"/>
      <c r="D407" s="1076"/>
      <c r="E407" s="1077"/>
      <c r="F407" s="275"/>
      <c r="G407" s="176">
        <f>+I401</f>
        <v>0</v>
      </c>
      <c r="H407" s="521">
        <f>-G401*0.5</f>
        <v>0</v>
      </c>
      <c r="I407" s="176">
        <f t="shared" ref="I407:I408" si="59">+G407+H407</f>
        <v>0</v>
      </c>
      <c r="J407" s="206"/>
      <c r="Q407" s="166"/>
    </row>
    <row r="408" spans="2:17" ht="13" x14ac:dyDescent="0.25">
      <c r="B408" s="1075">
        <v>2022</v>
      </c>
      <c r="C408" s="1076"/>
      <c r="D408" s="1076"/>
      <c r="E408" s="1077"/>
      <c r="F408" s="275"/>
      <c r="G408" s="176">
        <f>N170</f>
        <v>0</v>
      </c>
      <c r="H408" s="521">
        <f t="shared" ref="H408" si="60">-G408*0.5</f>
        <v>0</v>
      </c>
      <c r="I408" s="176">
        <f t="shared" si="59"/>
        <v>0</v>
      </c>
      <c r="J408" s="206"/>
      <c r="Q408" s="166"/>
    </row>
    <row r="409" spans="2:17" s="273" customFormat="1" ht="13" x14ac:dyDescent="0.25">
      <c r="G409" s="276">
        <f>SUM(G407:G408)</f>
        <v>0</v>
      </c>
      <c r="H409" s="168">
        <f>SUM(H407:H408)</f>
        <v>0</v>
      </c>
      <c r="I409" s="276">
        <f>SUM(I407:I408)</f>
        <v>0</v>
      </c>
    </row>
    <row r="410" spans="2:17" x14ac:dyDescent="0.25">
      <c r="H410" s="214"/>
      <c r="Q410" s="166"/>
    </row>
    <row r="411" spans="2:17" ht="13" x14ac:dyDescent="0.25">
      <c r="B411" s="273" t="s">
        <v>66</v>
      </c>
      <c r="H411" s="214"/>
      <c r="Q411" s="166"/>
    </row>
    <row r="412" spans="2:17" ht="13" x14ac:dyDescent="0.25">
      <c r="B412" s="273" t="s">
        <v>141</v>
      </c>
      <c r="C412" s="216"/>
      <c r="D412" s="216"/>
      <c r="E412" s="216"/>
      <c r="H412" s="214"/>
      <c r="Q412" s="166"/>
    </row>
    <row r="413" spans="2:17" ht="13" x14ac:dyDescent="0.25">
      <c r="B413" s="273"/>
      <c r="C413" s="216"/>
      <c r="D413" s="216"/>
      <c r="E413" s="216"/>
      <c r="H413" s="214"/>
      <c r="Q413" s="166"/>
    </row>
    <row r="414" spans="2:17" ht="13" x14ac:dyDescent="0.25">
      <c r="B414" s="275">
        <v>2021</v>
      </c>
      <c r="C414" s="279">
        <f>+H384</f>
        <v>0</v>
      </c>
      <c r="D414" s="216"/>
      <c r="E414" s="216"/>
      <c r="H414" s="214"/>
      <c r="Q414" s="166"/>
    </row>
    <row r="415" spans="2:17" ht="13" x14ac:dyDescent="0.25">
      <c r="B415" s="275">
        <v>2022</v>
      </c>
      <c r="C415" s="279">
        <f>+H395</f>
        <v>0</v>
      </c>
      <c r="D415" s="216"/>
      <c r="E415" s="216"/>
      <c r="H415" s="214"/>
      <c r="Q415" s="166"/>
    </row>
    <row r="416" spans="2:17" ht="13" x14ac:dyDescent="0.25">
      <c r="B416" s="275">
        <v>2023</v>
      </c>
      <c r="C416" s="279">
        <f>+H402</f>
        <v>0</v>
      </c>
      <c r="D416" s="216"/>
      <c r="E416" s="216"/>
      <c r="H416" s="214"/>
      <c r="Q416" s="166"/>
    </row>
    <row r="417" spans="2:17" ht="13" x14ac:dyDescent="0.25">
      <c r="B417" s="275">
        <v>2024</v>
      </c>
      <c r="C417" s="279">
        <f>+H409</f>
        <v>0</v>
      </c>
      <c r="D417" s="216"/>
      <c r="E417" s="216"/>
      <c r="H417" s="214"/>
      <c r="Q417" s="166"/>
    </row>
    <row r="418" spans="2:17" x14ac:dyDescent="0.25">
      <c r="H418" s="214"/>
      <c r="Q418" s="166"/>
    </row>
    <row r="419" spans="2:17" x14ac:dyDescent="0.25">
      <c r="H419" s="214"/>
      <c r="Q419" s="166"/>
    </row>
    <row r="420" spans="2:17" ht="13" x14ac:dyDescent="0.25">
      <c r="B420" s="321" t="s">
        <v>350</v>
      </c>
      <c r="C420" s="322"/>
      <c r="D420" s="322"/>
      <c r="E420" s="322"/>
      <c r="F420" s="323"/>
      <c r="G420" s="323"/>
      <c r="H420" s="527"/>
      <c r="I420" s="323"/>
      <c r="J420" s="323"/>
      <c r="K420" s="323"/>
      <c r="L420" s="323"/>
      <c r="M420" s="323"/>
      <c r="Q420" s="166"/>
    </row>
    <row r="421" spans="2:17" x14ac:dyDescent="0.25">
      <c r="H421" s="214"/>
      <c r="Q421" s="166"/>
    </row>
    <row r="422" spans="2:17" ht="13" x14ac:dyDescent="0.25">
      <c r="B422" s="273" t="s">
        <v>139</v>
      </c>
      <c r="F422" s="810">
        <v>2017</v>
      </c>
      <c r="H422" s="214"/>
      <c r="Q422" s="166"/>
    </row>
    <row r="423" spans="2:17" x14ac:dyDescent="0.25">
      <c r="H423" s="214"/>
      <c r="L423" s="206"/>
      <c r="Q423" s="166"/>
    </row>
    <row r="424" spans="2:17" ht="82.5" customHeight="1" x14ac:dyDescent="0.25">
      <c r="B424" s="1078" t="s">
        <v>140</v>
      </c>
      <c r="C424" s="1079"/>
      <c r="D424" s="1079"/>
      <c r="E424" s="1080"/>
      <c r="F424" s="274"/>
      <c r="G424" s="165" t="str">
        <f>"Nog af te bouwen regulatoir saldo einde "&amp;F422-1</f>
        <v>Nog af te bouwen regulatoir saldo einde 2016</v>
      </c>
      <c r="H424" s="165" t="str">
        <f>"Afbouw oudste openstaande regulatoir saldo vanaf boekjaar "&amp;F422-3&amp;" en vroeger, door aanwending van compensatie met regulatoir saldo ontstaan over boekjaar "&amp;F422-2</f>
        <v>Afbouw oudste openstaande regulatoir saldo vanaf boekjaar 2014 en vroeger, door aanwending van compensatie met regulatoir saldo ontstaan over boekjaar 2015</v>
      </c>
      <c r="I424" s="165" t="str">
        <f>"Nog af te bouwen regulatoir saldo na compensatie einde "&amp;F422-1</f>
        <v>Nog af te bouwen regulatoir saldo na compensatie einde 2016</v>
      </c>
      <c r="J424" s="165" t="str">
        <f>"Aanwending van "&amp;IF($B$7="elektriciteit","75%",IF($B$7="gas","40%","FALSE"))&amp;" van het geaccumuleerd regulatoir saldo door te rekenen volgens de tariefmethodologie in het boekjaar "&amp;F422</f>
        <v>Aanwending van 75% van het geaccumuleerd regulatoir saldo door te rekenen volgens de tariefmethodologie in het boekjaar 2017</v>
      </c>
      <c r="K424" s="165" t="str">
        <f>"Nog af te bouwen regulatoir saldo einde "&amp;F422</f>
        <v>Nog af te bouwen regulatoir saldo einde 2017</v>
      </c>
      <c r="L424" s="206"/>
      <c r="Q424" s="166"/>
    </row>
    <row r="425" spans="2:17" ht="13" x14ac:dyDescent="0.25">
      <c r="B425" s="1075">
        <v>2015</v>
      </c>
      <c r="C425" s="1076"/>
      <c r="D425" s="1076"/>
      <c r="E425" s="1077"/>
      <c r="F425" s="275"/>
      <c r="G425" s="176">
        <f>+G174</f>
        <v>0</v>
      </c>
      <c r="H425" s="521">
        <v>0</v>
      </c>
      <c r="I425" s="176">
        <f>+G425+H425</f>
        <v>0</v>
      </c>
      <c r="J425" s="819">
        <f>-I425*IF($B$7="elektriciteit",0.75,IF($B$7="gas",0.4,"FALSE"))</f>
        <v>0</v>
      </c>
      <c r="K425" s="811">
        <f>+J425+G425</f>
        <v>0</v>
      </c>
      <c r="L425" s="206"/>
      <c r="Q425" s="166"/>
    </row>
    <row r="426" spans="2:17" x14ac:dyDescent="0.25">
      <c r="H426" s="214"/>
      <c r="L426" s="206"/>
      <c r="Q426" s="166"/>
    </row>
    <row r="427" spans="2:17" ht="13" x14ac:dyDescent="0.25">
      <c r="B427" s="273" t="s">
        <v>139</v>
      </c>
      <c r="F427" s="810">
        <v>2018</v>
      </c>
      <c r="H427" s="214"/>
      <c r="Q427" s="166"/>
    </row>
    <row r="428" spans="2:17" x14ac:dyDescent="0.25">
      <c r="H428" s="214"/>
      <c r="Q428" s="166"/>
    </row>
    <row r="429" spans="2:17" ht="69.75" customHeight="1" x14ac:dyDescent="0.25">
      <c r="B429" s="1078" t="s">
        <v>140</v>
      </c>
      <c r="C429" s="1079"/>
      <c r="D429" s="1079"/>
      <c r="E429" s="1080"/>
      <c r="F429" s="274"/>
      <c r="G429" s="165" t="str">
        <f>"Nog af te bouwen regulatoir saldo einde "&amp;F427-1</f>
        <v>Nog af te bouwen regulatoir saldo einde 2017</v>
      </c>
      <c r="H429" s="165" t="str">
        <f>"Afbouw oudste openstaande regulatoir saldo vanaf boekjaar "&amp;F427-3&amp;" en vroeger, door aanwending van compensatie met regulatoir saldo ontstaan over boekjaar "&amp;F427-2</f>
        <v>Afbouw oudste openstaande regulatoir saldo vanaf boekjaar 2015 en vroeger, door aanwending van compensatie met regulatoir saldo ontstaan over boekjaar 2016</v>
      </c>
      <c r="I429" s="165" t="str">
        <f>"Nog af te bouwen regulatoir saldo na compensatie einde "&amp;F427-1</f>
        <v>Nog af te bouwen regulatoir saldo na compensatie einde 2017</v>
      </c>
      <c r="J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K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L429" s="165" t="str">
        <f>"Totale afbouw over "&amp;F427</f>
        <v>Totale afbouw over 2018</v>
      </c>
      <c r="M429" s="165" t="str">
        <f>"Nog af te bouwen regulatoir saldo einde "&amp;F427</f>
        <v>Nog af te bouwen regulatoir saldo einde 2018</v>
      </c>
      <c r="N429" s="206"/>
      <c r="Q429" s="166"/>
    </row>
    <row r="430" spans="2:17" ht="13" x14ac:dyDescent="0.25">
      <c r="B430" s="1075">
        <v>2015</v>
      </c>
      <c r="C430" s="1076"/>
      <c r="D430" s="1076"/>
      <c r="E430" s="1077"/>
      <c r="F430" s="275"/>
      <c r="G430" s="176">
        <f>K425</f>
        <v>0</v>
      </c>
      <c r="H430" s="521">
        <f>IF(SIGN(G431*K425)&lt;0,IF(G430&lt;&gt;0,-SIGN(G430)*MIN(ABS(G431),ABS(G430)),0),0)</f>
        <v>0</v>
      </c>
      <c r="I430" s="176">
        <f>+G430+H430</f>
        <v>0</v>
      </c>
      <c r="J430" s="820"/>
      <c r="K430" s="821">
        <f>-MIN(ABS(I430),ABS(J432))*SIGN(I430)</f>
        <v>0</v>
      </c>
      <c r="L430" s="813">
        <f>+K430+H430</f>
        <v>0</v>
      </c>
      <c r="M430" s="176">
        <f>+I430+K430</f>
        <v>0</v>
      </c>
      <c r="N430" s="206"/>
      <c r="Q430" s="166"/>
    </row>
    <row r="431" spans="2:17" ht="13" x14ac:dyDescent="0.25">
      <c r="B431" s="1075">
        <v>2016</v>
      </c>
      <c r="C431" s="1076"/>
      <c r="D431" s="1076"/>
      <c r="E431" s="1077"/>
      <c r="F431" s="275"/>
      <c r="G431" s="176">
        <f>+H175</f>
        <v>0</v>
      </c>
      <c r="H431" s="813">
        <f>IF(SIGN(G431*K425)&lt;0,-H430,0)</f>
        <v>0</v>
      </c>
      <c r="I431" s="176">
        <f>+G431+H431</f>
        <v>0</v>
      </c>
      <c r="J431" s="820"/>
      <c r="K431" s="821">
        <f>-MIN(ABS(I431),ABS(J432-K430))*SIGN(I431)</f>
        <v>0</v>
      </c>
      <c r="L431" s="813">
        <f>+K431+H431</f>
        <v>0</v>
      </c>
      <c r="M431" s="176">
        <f>+I431+K431</f>
        <v>0</v>
      </c>
      <c r="N431" s="206"/>
      <c r="Q431" s="166"/>
    </row>
    <row r="432" spans="2:17" s="273" customFormat="1" ht="13" x14ac:dyDescent="0.3">
      <c r="G432" s="276">
        <f>SUM(G430:G431)</f>
        <v>0</v>
      </c>
      <c r="H432" s="168">
        <f>SUM(H430:H431)</f>
        <v>0</v>
      </c>
      <c r="I432" s="276">
        <f>SUM(I430:I431)</f>
        <v>0</v>
      </c>
      <c r="J432" s="208">
        <f>-I432*IF($B$7="elektriciteit",0.75,IF($B$7="gas",0.4,"FALSE"))</f>
        <v>0</v>
      </c>
      <c r="K432" s="286">
        <f>SUM(K430:K431)</f>
        <v>0</v>
      </c>
      <c r="L432" s="528"/>
      <c r="M432" s="276">
        <f>SUM(M430:M431)</f>
        <v>0</v>
      </c>
    </row>
    <row r="433" spans="2:17" x14ac:dyDescent="0.25">
      <c r="H433" s="214"/>
      <c r="J433" s="12"/>
      <c r="K433" s="12"/>
      <c r="Q433" s="166"/>
    </row>
    <row r="434" spans="2:17" ht="13" x14ac:dyDescent="0.25">
      <c r="B434" s="273" t="s">
        <v>139</v>
      </c>
      <c r="F434" s="810">
        <v>2019</v>
      </c>
      <c r="H434" s="214"/>
      <c r="J434" s="12"/>
      <c r="K434" s="12"/>
      <c r="Q434" s="166"/>
    </row>
    <row r="435" spans="2:17" x14ac:dyDescent="0.25">
      <c r="H435" s="214"/>
      <c r="J435" s="12"/>
      <c r="K435" s="12"/>
      <c r="Q435" s="166"/>
    </row>
    <row r="436" spans="2:17" ht="75.75" customHeight="1" x14ac:dyDescent="0.25">
      <c r="B436" s="1078" t="s">
        <v>140</v>
      </c>
      <c r="C436" s="1079"/>
      <c r="D436" s="1079"/>
      <c r="E436" s="1080"/>
      <c r="F436" s="274"/>
      <c r="G436" s="165" t="str">
        <f>"Nog af te bouwen regulatoir saldo einde "&amp;F434-1</f>
        <v>Nog af te bouwen regulatoir saldo einde 2018</v>
      </c>
      <c r="H436" s="165" t="str">
        <f>"Afbouw oudste openstaande regulatoir saldo vanaf boekjaar "&amp;F434-3&amp;" en vroeger, door aanwending van compensatie met regulatoir saldo ontstaan over boekjaar "&amp;F434-2</f>
        <v>Afbouw oudste openstaande regulatoir saldo vanaf boekjaar 2016 en vroeger, door aanwending van compensatie met regulatoir saldo ontstaan over boekjaar 2017</v>
      </c>
      <c r="I436" s="165" t="str">
        <f>"Nog af te bouwen regulatoir saldo na compensatie einde "&amp;F434-1</f>
        <v>Nog af te bouwen regulatoir saldo na compensatie einde 2018</v>
      </c>
      <c r="J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K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L436" s="165" t="str">
        <f>"Totale afbouw over "&amp;F434</f>
        <v>Totale afbouw over 2019</v>
      </c>
      <c r="M436" s="165" t="str">
        <f>"Nog af te bouwen regulatoir saldo einde "&amp;F434</f>
        <v>Nog af te bouwen regulatoir saldo einde 2019</v>
      </c>
      <c r="N436" s="206"/>
      <c r="Q436" s="166"/>
    </row>
    <row r="437" spans="2:17" ht="13" x14ac:dyDescent="0.25">
      <c r="B437" s="1075">
        <v>2015</v>
      </c>
      <c r="C437" s="1076"/>
      <c r="D437" s="1076"/>
      <c r="E437" s="1077"/>
      <c r="F437" s="275"/>
      <c r="G437" s="176">
        <f>+M430</f>
        <v>0</v>
      </c>
      <c r="H437" s="813">
        <f>IF(SIGN(G439*M432)&lt;0,IF(G437&lt;&gt;0,-SIGN(G437)*MIN(ABS(G439),ABS(G437)),0),0)</f>
        <v>0</v>
      </c>
      <c r="I437" s="176">
        <f>+G437+H437</f>
        <v>0</v>
      </c>
      <c r="J437" s="820"/>
      <c r="K437" s="821">
        <f>-MIN(ABS(I437),ABS(J440))*SIGN(I437)</f>
        <v>0</v>
      </c>
      <c r="L437" s="813">
        <f>+K437+H437</f>
        <v>0</v>
      </c>
      <c r="M437" s="176">
        <f>+I437+K437</f>
        <v>0</v>
      </c>
      <c r="N437" s="206"/>
      <c r="Q437" s="166"/>
    </row>
    <row r="438" spans="2:17" ht="13" x14ac:dyDescent="0.25">
      <c r="B438" s="1075">
        <v>2016</v>
      </c>
      <c r="C438" s="1076"/>
      <c r="D438" s="1076">
        <v>2016</v>
      </c>
      <c r="E438" s="1077"/>
      <c r="F438" s="275"/>
      <c r="G438" s="176">
        <f>+M431</f>
        <v>0</v>
      </c>
      <c r="H438" s="813">
        <f>IF(SIGN(G439*M432)&lt;0,IF(G438&lt;&gt;0,-SIGN(G438)*MIN(ABS(G439-H437),ABS(G438)),0),0)</f>
        <v>0</v>
      </c>
      <c r="I438" s="176">
        <f>+G438+H438</f>
        <v>0</v>
      </c>
      <c r="J438" s="820"/>
      <c r="K438" s="821">
        <f>-MIN(ABS(I438),ABS(J440-K437))*SIGN(I438)</f>
        <v>0</v>
      </c>
      <c r="L438" s="813">
        <f>+K438+H438</f>
        <v>0</v>
      </c>
      <c r="M438" s="176">
        <f>+I438+K438</f>
        <v>0</v>
      </c>
      <c r="N438" s="206"/>
      <c r="Q438" s="166"/>
    </row>
    <row r="439" spans="2:17" ht="13" x14ac:dyDescent="0.25">
      <c r="B439" s="1075">
        <v>2017</v>
      </c>
      <c r="C439" s="1076"/>
      <c r="D439" s="1076"/>
      <c r="E439" s="1077"/>
      <c r="F439" s="275"/>
      <c r="G439" s="176">
        <f>+I176</f>
        <v>0</v>
      </c>
      <c r="H439" s="813">
        <f>IF(SIGN(G439*M432)&lt;0,-SUM(H437:H438),0)</f>
        <v>0</v>
      </c>
      <c r="I439" s="176">
        <f>+G439+H439</f>
        <v>0</v>
      </c>
      <c r="J439" s="820"/>
      <c r="K439" s="821">
        <f>-MIN(ABS(I439),ABS(J440-K437-K438))*SIGN(I439)</f>
        <v>0</v>
      </c>
      <c r="L439" s="813">
        <f>+K439+H439</f>
        <v>0</v>
      </c>
      <c r="M439" s="176">
        <f>+I439+K439</f>
        <v>0</v>
      </c>
      <c r="N439" s="206"/>
      <c r="Q439" s="166"/>
    </row>
    <row r="440" spans="2:17" s="273" customFormat="1" ht="13" x14ac:dyDescent="0.3">
      <c r="G440" s="276">
        <f>SUM(G437:G439)</f>
        <v>0</v>
      </c>
      <c r="H440" s="168">
        <f>SUM(H437:H439)</f>
        <v>0</v>
      </c>
      <c r="I440" s="276">
        <f>SUM(I437:I439)</f>
        <v>0</v>
      </c>
      <c r="J440" s="208">
        <f>-I440*IF($B$7="elektriciteit",0.75,IF($B$7="gas",0.4,"FALSE"))</f>
        <v>0</v>
      </c>
      <c r="K440" s="286">
        <f>SUM(K437:K439)</f>
        <v>0</v>
      </c>
      <c r="L440" s="528"/>
      <c r="M440" s="276">
        <f>SUM(M437:M439)</f>
        <v>0</v>
      </c>
    </row>
    <row r="441" spans="2:17" x14ac:dyDescent="0.25">
      <c r="H441" s="214"/>
      <c r="J441" s="12"/>
      <c r="K441" s="12"/>
      <c r="Q441" s="166"/>
    </row>
    <row r="442" spans="2:17" ht="13" x14ac:dyDescent="0.25">
      <c r="B442" s="273" t="s">
        <v>139</v>
      </c>
      <c r="F442" s="810">
        <v>2020</v>
      </c>
      <c r="H442" s="214"/>
      <c r="J442" s="12"/>
      <c r="K442" s="12"/>
      <c r="Q442" s="166"/>
    </row>
    <row r="443" spans="2:17" x14ac:dyDescent="0.25">
      <c r="H443" s="214"/>
      <c r="J443" s="12"/>
      <c r="K443" s="12"/>
      <c r="Q443" s="166"/>
    </row>
    <row r="444" spans="2:17" ht="78" customHeight="1" x14ac:dyDescent="0.25">
      <c r="B444" s="1078" t="s">
        <v>140</v>
      </c>
      <c r="C444" s="1079"/>
      <c r="D444" s="1079"/>
      <c r="E444" s="1080"/>
      <c r="F444" s="274"/>
      <c r="G444" s="165" t="str">
        <f>"Nog af te bouwen regulatoir saldo einde "&amp;F442-1</f>
        <v>Nog af te bouwen regulatoir saldo einde 2019</v>
      </c>
      <c r="H444" s="165" t="str">
        <f>"Afbouw oudste openstaande regulatoir saldo vanaf boekjaar "&amp;F442-3&amp;" en vroeger, door aanwending van compensatie met regulatoir saldo ontstaan over boekjaar "&amp;F442-2</f>
        <v>Afbouw oudste openstaande regulatoir saldo vanaf boekjaar 2017 en vroeger, door aanwending van compensatie met regulatoir saldo ontstaan over boekjaar 2018</v>
      </c>
      <c r="I444" s="165" t="str">
        <f>"Nog af te bouwen regulatoir saldo na compensatie einde "&amp;F442-1</f>
        <v>Nog af te bouwen regulatoir saldo na compensatie einde 2019</v>
      </c>
      <c r="J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K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L444" s="165" t="str">
        <f>"Totale afbouw over "&amp;F442</f>
        <v>Totale afbouw over 2020</v>
      </c>
      <c r="M444" s="165" t="str">
        <f>"Nog af te bouwen regulatoir saldo einde "&amp;F442</f>
        <v>Nog af te bouwen regulatoir saldo einde 2020</v>
      </c>
      <c r="N444" s="206"/>
      <c r="Q444" s="166"/>
    </row>
    <row r="445" spans="2:17" ht="13" x14ac:dyDescent="0.25">
      <c r="B445" s="1075">
        <v>2015</v>
      </c>
      <c r="C445" s="1076"/>
      <c r="D445" s="1076"/>
      <c r="E445" s="1077"/>
      <c r="F445" s="275"/>
      <c r="G445" s="176">
        <f>+M437</f>
        <v>0</v>
      </c>
      <c r="H445" s="813">
        <f>IF(SIGN(G448*M440)&lt;0,IF(G445&lt;&gt;0,-SIGN(G445)*MIN(ABS(G448),ABS(G445)),0),0)</f>
        <v>0</v>
      </c>
      <c r="I445" s="176">
        <f>+G445+H445</f>
        <v>0</v>
      </c>
      <c r="J445" s="820"/>
      <c r="K445" s="821">
        <f>-MIN(ABS(I445),ABS(J449))*SIGN(I445)</f>
        <v>0</v>
      </c>
      <c r="L445" s="813">
        <f>+K445+H445</f>
        <v>0</v>
      </c>
      <c r="M445" s="176">
        <f>+I445+K445</f>
        <v>0</v>
      </c>
      <c r="N445" s="206"/>
      <c r="Q445" s="166"/>
    </row>
    <row r="446" spans="2:17" ht="13" x14ac:dyDescent="0.25">
      <c r="B446" s="1075">
        <v>2016</v>
      </c>
      <c r="C446" s="1076"/>
      <c r="D446" s="1076"/>
      <c r="E446" s="1077"/>
      <c r="F446" s="275"/>
      <c r="G446" s="176">
        <f>+M438</f>
        <v>0</v>
      </c>
      <c r="H446" s="813">
        <f>IF(SIGN(G448*M440)&lt;0,IF(G446&lt;&gt;0,-SIGN(G446)*MIN(ABS(G448-H445),ABS(G446)),0),0)</f>
        <v>0</v>
      </c>
      <c r="I446" s="176">
        <f>+G446+H446</f>
        <v>0</v>
      </c>
      <c r="J446" s="820"/>
      <c r="K446" s="821">
        <f>-MIN(ABS(I446),ABS(J449-K445))*SIGN(I446)</f>
        <v>0</v>
      </c>
      <c r="L446" s="813">
        <f>+K446+H446</f>
        <v>0</v>
      </c>
      <c r="M446" s="176">
        <f>+I446+K446</f>
        <v>0</v>
      </c>
      <c r="N446" s="206"/>
      <c r="Q446" s="166"/>
    </row>
    <row r="447" spans="2:17" ht="13" x14ac:dyDescent="0.25">
      <c r="B447" s="1075">
        <v>2017</v>
      </c>
      <c r="C447" s="1076"/>
      <c r="D447" s="1076">
        <v>2016</v>
      </c>
      <c r="E447" s="1077"/>
      <c r="F447" s="275"/>
      <c r="G447" s="176">
        <f>+M439</f>
        <v>0</v>
      </c>
      <c r="H447" s="813">
        <f>IF(SIGN(G448*M440)&lt;0,IF(G447&lt;&gt;0,-SIGN(G447)*MIN(ABS(G448-H445-H446),ABS(G447)),0),0)</f>
        <v>0</v>
      </c>
      <c r="I447" s="176">
        <f>+G447+H447</f>
        <v>0</v>
      </c>
      <c r="J447" s="820"/>
      <c r="K447" s="821">
        <f>-MIN(ABS(I447),ABS(J449-K445-K446))*SIGN(I447)</f>
        <v>0</v>
      </c>
      <c r="L447" s="813">
        <f>+K447+H447</f>
        <v>0</v>
      </c>
      <c r="M447" s="176">
        <f>+I447+K447</f>
        <v>0</v>
      </c>
      <c r="N447" s="206"/>
      <c r="Q447" s="166"/>
    </row>
    <row r="448" spans="2:17" ht="13" x14ac:dyDescent="0.25">
      <c r="B448" s="1075">
        <v>2018</v>
      </c>
      <c r="C448" s="1076"/>
      <c r="D448" s="1076"/>
      <c r="E448" s="1077"/>
      <c r="F448" s="275"/>
      <c r="G448" s="176">
        <f>+J177</f>
        <v>0</v>
      </c>
      <c r="H448" s="813">
        <f>IF(SIGN(G448*M440)&lt;0,-SUM(H445:H447),0)</f>
        <v>0</v>
      </c>
      <c r="I448" s="176">
        <f>+G448+H448</f>
        <v>0</v>
      </c>
      <c r="J448" s="820"/>
      <c r="K448" s="821">
        <f>-MIN(ABS(I448),ABS(J449-K445-K446-K447))*SIGN(I448)</f>
        <v>0</v>
      </c>
      <c r="L448" s="813">
        <f>+K448+H448</f>
        <v>0</v>
      </c>
      <c r="M448" s="176">
        <f>+I448+K448</f>
        <v>0</v>
      </c>
      <c r="N448" s="206"/>
      <c r="Q448" s="166"/>
    </row>
    <row r="449" spans="2:17" s="273" customFormat="1" ht="13" x14ac:dyDescent="0.3">
      <c r="G449" s="276">
        <f>SUM(G445:G448)</f>
        <v>0</v>
      </c>
      <c r="H449" s="168">
        <f>SUM(H445:H448)</f>
        <v>0</v>
      </c>
      <c r="I449" s="276">
        <f>SUM(I445:I448)</f>
        <v>0</v>
      </c>
      <c r="J449" s="208">
        <f>-I449*IF($B$7="elektriciteit",0.75,IF($B$7="gas",0.4,"FALSE"))</f>
        <v>0</v>
      </c>
      <c r="K449" s="286">
        <f>SUM(K445:K448)</f>
        <v>0</v>
      </c>
      <c r="L449" s="168"/>
      <c r="M449" s="276">
        <f>SUM(M445:M448)</f>
        <v>0</v>
      </c>
    </row>
    <row r="450" spans="2:17" x14ac:dyDescent="0.25">
      <c r="H450" s="214"/>
      <c r="Q450" s="166"/>
    </row>
    <row r="451" spans="2:17" ht="13" x14ac:dyDescent="0.25">
      <c r="B451" s="273" t="s">
        <v>139</v>
      </c>
      <c r="F451" s="810">
        <v>2021</v>
      </c>
      <c r="H451" s="214"/>
      <c r="Q451" s="166"/>
    </row>
    <row r="452" spans="2:17" x14ac:dyDescent="0.25">
      <c r="H452" s="214"/>
      <c r="Q452" s="166"/>
    </row>
    <row r="453" spans="2:17" ht="78" customHeight="1" x14ac:dyDescent="0.25">
      <c r="B453" s="1078" t="s">
        <v>140</v>
      </c>
      <c r="C453" s="1079"/>
      <c r="D453" s="1079"/>
      <c r="E453" s="1080"/>
      <c r="F453" s="274"/>
      <c r="G453" s="165" t="str">
        <f>"Nog af te bouwen regulatoir saldo einde "&amp;F451-1</f>
        <v>Nog af te bouwen regulatoir saldo einde 2020</v>
      </c>
      <c r="H453" s="165" t="str">
        <f>"50% van het oorspronkelijk regulatoir saldo door te rekenen volgens de tariefmethodologie in het boekjaar "&amp;F451</f>
        <v>50% van het oorspronkelijk regulatoir saldo door te rekenen volgens de tariefmethodologie in het boekjaar 2021</v>
      </c>
      <c r="I453" s="165" t="str">
        <f>"Nog af te bouwen regulatoir saldo einde "&amp;F451</f>
        <v>Nog af te bouwen regulatoir saldo einde 2021</v>
      </c>
      <c r="J453" s="206"/>
      <c r="Q453" s="166"/>
    </row>
    <row r="454" spans="2:17" ht="13" x14ac:dyDescent="0.25">
      <c r="B454" s="1075">
        <v>2015</v>
      </c>
      <c r="C454" s="1076"/>
      <c r="D454" s="1076"/>
      <c r="E454" s="1077"/>
      <c r="F454" s="275"/>
      <c r="G454" s="176">
        <f>M445</f>
        <v>0</v>
      </c>
      <c r="H454" s="521">
        <f>-G454*0.5</f>
        <v>0</v>
      </c>
      <c r="I454" s="176">
        <f>+G454+H454</f>
        <v>0</v>
      </c>
      <c r="J454" s="206"/>
      <c r="Q454" s="166"/>
    </row>
    <row r="455" spans="2:17" ht="13" x14ac:dyDescent="0.25">
      <c r="B455" s="1075">
        <v>2016</v>
      </c>
      <c r="C455" s="1076"/>
      <c r="D455" s="1076"/>
      <c r="E455" s="1077"/>
      <c r="F455" s="275"/>
      <c r="G455" s="176">
        <f t="shared" ref="G455:G457" si="61">M446</f>
        <v>0</v>
      </c>
      <c r="H455" s="521">
        <f t="shared" ref="H455:H458" si="62">-G455*0.5</f>
        <v>0</v>
      </c>
      <c r="I455" s="176">
        <f t="shared" ref="I455:I458" si="63">+G455+H455</f>
        <v>0</v>
      </c>
      <c r="J455" s="206"/>
      <c r="Q455" s="166"/>
    </row>
    <row r="456" spans="2:17" ht="13" x14ac:dyDescent="0.25">
      <c r="B456" s="1075">
        <v>2017</v>
      </c>
      <c r="C456" s="1076"/>
      <c r="D456" s="1076">
        <v>2016</v>
      </c>
      <c r="E456" s="1077"/>
      <c r="F456" s="275"/>
      <c r="G456" s="176">
        <f t="shared" si="61"/>
        <v>0</v>
      </c>
      <c r="H456" s="521">
        <f t="shared" si="62"/>
        <v>0</v>
      </c>
      <c r="I456" s="176">
        <f t="shared" si="63"/>
        <v>0</v>
      </c>
      <c r="J456" s="206"/>
      <c r="Q456" s="166"/>
    </row>
    <row r="457" spans="2:17" ht="13" x14ac:dyDescent="0.25">
      <c r="B457" s="1075">
        <v>2018</v>
      </c>
      <c r="C457" s="1076"/>
      <c r="D457" s="1076"/>
      <c r="E457" s="1077"/>
      <c r="F457" s="275"/>
      <c r="G457" s="176">
        <f t="shared" si="61"/>
        <v>0</v>
      </c>
      <c r="H457" s="521">
        <f t="shared" si="62"/>
        <v>0</v>
      </c>
      <c r="I457" s="176">
        <f t="shared" si="63"/>
        <v>0</v>
      </c>
      <c r="J457" s="206"/>
      <c r="Q457" s="166"/>
    </row>
    <row r="458" spans="2:17" ht="13" x14ac:dyDescent="0.25">
      <c r="B458" s="1075">
        <v>2019</v>
      </c>
      <c r="C458" s="1076"/>
      <c r="D458" s="1076"/>
      <c r="E458" s="1077"/>
      <c r="F458" s="275"/>
      <c r="G458" s="176">
        <f>+K178</f>
        <v>0</v>
      </c>
      <c r="H458" s="521">
        <f t="shared" si="62"/>
        <v>0</v>
      </c>
      <c r="I458" s="176">
        <f t="shared" si="63"/>
        <v>0</v>
      </c>
      <c r="J458" s="206"/>
      <c r="Q458" s="166"/>
    </row>
    <row r="459" spans="2:17" s="273" customFormat="1" ht="13" x14ac:dyDescent="0.25">
      <c r="G459" s="276">
        <f>SUM(G454:G458)</f>
        <v>0</v>
      </c>
      <c r="H459" s="168">
        <f>SUM(H454:H458)</f>
        <v>0</v>
      </c>
      <c r="I459" s="276">
        <f>SUM(I454:I458)</f>
        <v>0</v>
      </c>
    </row>
    <row r="460" spans="2:17" x14ac:dyDescent="0.25">
      <c r="H460" s="214"/>
      <c r="Q460" s="166"/>
    </row>
    <row r="461" spans="2:17" ht="13" x14ac:dyDescent="0.25">
      <c r="B461" s="273" t="s">
        <v>139</v>
      </c>
      <c r="F461" s="810">
        <v>2022</v>
      </c>
      <c r="H461" s="214"/>
      <c r="Q461" s="166"/>
    </row>
    <row r="462" spans="2:17" x14ac:dyDescent="0.25">
      <c r="H462" s="214"/>
      <c r="Q462" s="166"/>
    </row>
    <row r="463" spans="2:17" ht="78" customHeight="1" x14ac:dyDescent="0.25">
      <c r="B463" s="1078" t="s">
        <v>140</v>
      </c>
      <c r="C463" s="1079"/>
      <c r="D463" s="1079"/>
      <c r="E463" s="1080"/>
      <c r="F463" s="274"/>
      <c r="G463" s="165" t="str">
        <f>"Nog af te bouwen regulatoir saldo einde "&amp;F461-1</f>
        <v>Nog af te bouwen regulatoir saldo einde 2021</v>
      </c>
      <c r="H463" s="165" t="str">
        <f>"50% van het oorspronkelijk regulatoir saldo door te rekenen volgens de tariefmethodologie in het boekjaar "&amp;F461</f>
        <v>50% van het oorspronkelijk regulatoir saldo door te rekenen volgens de tariefmethodologie in het boekjaar 2022</v>
      </c>
      <c r="I463" s="165" t="str">
        <f>"Nog af te bouwen regulatoir saldo einde "&amp;F461</f>
        <v>Nog af te bouwen regulatoir saldo einde 2022</v>
      </c>
      <c r="J463" s="206"/>
      <c r="Q463" s="166"/>
    </row>
    <row r="464" spans="2:17" ht="13" x14ac:dyDescent="0.25">
      <c r="B464" s="1075">
        <v>2015</v>
      </c>
      <c r="C464" s="1076"/>
      <c r="D464" s="1076"/>
      <c r="E464" s="1077"/>
      <c r="F464" s="275"/>
      <c r="G464" s="176">
        <f>+I454</f>
        <v>0</v>
      </c>
      <c r="H464" s="521">
        <f>-G454*0.5</f>
        <v>0</v>
      </c>
      <c r="I464" s="176">
        <f>+G464+H464</f>
        <v>0</v>
      </c>
      <c r="J464" s="206"/>
      <c r="Q464" s="166"/>
    </row>
    <row r="465" spans="2:17" ht="13" x14ac:dyDescent="0.25">
      <c r="B465" s="1075">
        <v>2016</v>
      </c>
      <c r="C465" s="1076"/>
      <c r="D465" s="1076"/>
      <c r="E465" s="1077"/>
      <c r="F465" s="275"/>
      <c r="G465" s="176">
        <f t="shared" ref="G465:G468" si="64">+I455</f>
        <v>0</v>
      </c>
      <c r="H465" s="521">
        <f t="shared" ref="H465:H468" si="65">-G455*0.5</f>
        <v>0</v>
      </c>
      <c r="I465" s="176">
        <f t="shared" ref="I465:I469" si="66">+G465+H465</f>
        <v>0</v>
      </c>
      <c r="J465" s="206"/>
      <c r="Q465" s="166"/>
    </row>
    <row r="466" spans="2:17" ht="13" x14ac:dyDescent="0.25">
      <c r="B466" s="1075">
        <v>2017</v>
      </c>
      <c r="C466" s="1076"/>
      <c r="D466" s="1076">
        <v>2016</v>
      </c>
      <c r="E466" s="1077"/>
      <c r="F466" s="275"/>
      <c r="G466" s="176">
        <f t="shared" si="64"/>
        <v>0</v>
      </c>
      <c r="H466" s="521">
        <f t="shared" si="65"/>
        <v>0</v>
      </c>
      <c r="I466" s="176">
        <f t="shared" si="66"/>
        <v>0</v>
      </c>
      <c r="J466" s="206"/>
      <c r="Q466" s="166"/>
    </row>
    <row r="467" spans="2:17" ht="13" x14ac:dyDescent="0.25">
      <c r="B467" s="1075">
        <v>2018</v>
      </c>
      <c r="C467" s="1076"/>
      <c r="D467" s="1076"/>
      <c r="E467" s="1077"/>
      <c r="F467" s="275"/>
      <c r="G467" s="176">
        <f t="shared" si="64"/>
        <v>0</v>
      </c>
      <c r="H467" s="521">
        <f t="shared" si="65"/>
        <v>0</v>
      </c>
      <c r="I467" s="176">
        <f t="shared" si="66"/>
        <v>0</v>
      </c>
      <c r="J467" s="206"/>
      <c r="Q467" s="166"/>
    </row>
    <row r="468" spans="2:17" ht="13" x14ac:dyDescent="0.25">
      <c r="B468" s="1075">
        <v>2019</v>
      </c>
      <c r="C468" s="1076"/>
      <c r="D468" s="1076"/>
      <c r="E468" s="1077"/>
      <c r="F468" s="275"/>
      <c r="G468" s="176">
        <f t="shared" si="64"/>
        <v>0</v>
      </c>
      <c r="H468" s="521">
        <f t="shared" si="65"/>
        <v>0</v>
      </c>
      <c r="I468" s="176">
        <f t="shared" si="66"/>
        <v>0</v>
      </c>
      <c r="J468" s="206"/>
      <c r="Q468" s="166"/>
    </row>
    <row r="469" spans="2:17" ht="13" x14ac:dyDescent="0.25">
      <c r="B469" s="1075">
        <v>2020</v>
      </c>
      <c r="C469" s="1076"/>
      <c r="D469" s="1076"/>
      <c r="E469" s="1077"/>
      <c r="F469" s="275"/>
      <c r="G469" s="176">
        <f>+L179</f>
        <v>0</v>
      </c>
      <c r="H469" s="521">
        <f t="shared" ref="H469" si="67">-G469*0.5</f>
        <v>0</v>
      </c>
      <c r="I469" s="176">
        <f t="shared" si="66"/>
        <v>0</v>
      </c>
      <c r="J469" s="206"/>
      <c r="Q469" s="166"/>
    </row>
    <row r="470" spans="2:17" s="273" customFormat="1" ht="13" x14ac:dyDescent="0.25">
      <c r="G470" s="276">
        <f>SUM(G464:G469)</f>
        <v>0</v>
      </c>
      <c r="H470" s="168">
        <f t="shared" ref="H470:I470" si="68">SUM(H464:H469)</f>
        <v>0</v>
      </c>
      <c r="I470" s="276">
        <f t="shared" si="68"/>
        <v>0</v>
      </c>
    </row>
    <row r="471" spans="2:17" x14ac:dyDescent="0.25">
      <c r="H471" s="214"/>
      <c r="Q471" s="166"/>
    </row>
    <row r="472" spans="2:17" ht="13" x14ac:dyDescent="0.25">
      <c r="B472" s="273" t="s">
        <v>139</v>
      </c>
      <c r="F472" s="810">
        <v>2023</v>
      </c>
      <c r="H472" s="214"/>
      <c r="Q472" s="166"/>
    </row>
    <row r="473" spans="2:17" x14ac:dyDescent="0.25">
      <c r="H473" s="214"/>
      <c r="Q473" s="166"/>
    </row>
    <row r="474" spans="2:17" ht="78" customHeight="1" x14ac:dyDescent="0.25">
      <c r="B474" s="1078" t="s">
        <v>140</v>
      </c>
      <c r="C474" s="1079"/>
      <c r="D474" s="1079"/>
      <c r="E474" s="1080"/>
      <c r="F474" s="274"/>
      <c r="G474" s="165" t="str">
        <f>"Nog af te bouwen regulatoir saldo einde "&amp;F472-1</f>
        <v>Nog af te bouwen regulatoir saldo einde 2022</v>
      </c>
      <c r="H474" s="165" t="str">
        <f>"50% van het oorspronkelijk regulatoir saldo door te rekenen volgens de tariefmethodologie in het boekjaar "&amp;F472</f>
        <v>50% van het oorspronkelijk regulatoir saldo door te rekenen volgens de tariefmethodologie in het boekjaar 2023</v>
      </c>
      <c r="I474" s="165" t="str">
        <f>"Nog af te bouwen regulatoir saldo einde "&amp;F472</f>
        <v>Nog af te bouwen regulatoir saldo einde 2023</v>
      </c>
      <c r="J474" s="206"/>
      <c r="Q474" s="166"/>
    </row>
    <row r="475" spans="2:17" ht="13" x14ac:dyDescent="0.25">
      <c r="B475" s="1075">
        <v>2020</v>
      </c>
      <c r="C475" s="1076"/>
      <c r="D475" s="1076"/>
      <c r="E475" s="1077"/>
      <c r="F475" s="275"/>
      <c r="G475" s="176">
        <f>+I469</f>
        <v>0</v>
      </c>
      <c r="H475" s="521">
        <f>-G469*0.5</f>
        <v>0</v>
      </c>
      <c r="I475" s="176">
        <f t="shared" ref="I475" si="69">+G475+H475</f>
        <v>0</v>
      </c>
      <c r="J475" s="206"/>
      <c r="Q475" s="166"/>
    </row>
    <row r="476" spans="2:17" s="273" customFormat="1" ht="13" x14ac:dyDescent="0.25">
      <c r="G476" s="276">
        <f>SUM(G475:G475)</f>
        <v>0</v>
      </c>
      <c r="H476" s="168">
        <f>SUM(H475:H475)</f>
        <v>0</v>
      </c>
      <c r="I476" s="276">
        <f>SUM(I475:I475)</f>
        <v>0</v>
      </c>
    </row>
    <row r="477" spans="2:17" ht="13" x14ac:dyDescent="0.25">
      <c r="B477" s="273" t="s">
        <v>350</v>
      </c>
      <c r="C477" s="216"/>
      <c r="D477" s="216"/>
      <c r="E477" s="216"/>
      <c r="H477" s="214"/>
      <c r="Q477" s="166"/>
    </row>
    <row r="478" spans="2:17" ht="13" x14ac:dyDescent="0.25">
      <c r="B478" s="273" t="s">
        <v>141</v>
      </c>
      <c r="C478" s="216"/>
      <c r="D478" s="216"/>
      <c r="E478" s="216"/>
      <c r="H478" s="214"/>
      <c r="Q478" s="166"/>
    </row>
    <row r="479" spans="2:17" ht="13" x14ac:dyDescent="0.25">
      <c r="B479" s="273"/>
      <c r="C479" s="216"/>
      <c r="D479" s="216"/>
      <c r="E479" s="216"/>
      <c r="H479" s="214"/>
      <c r="Q479" s="166"/>
    </row>
    <row r="480" spans="2:17" ht="13" x14ac:dyDescent="0.25">
      <c r="B480" s="275">
        <v>2021</v>
      </c>
      <c r="C480" s="279">
        <f>+H459</f>
        <v>0</v>
      </c>
      <c r="D480" s="216"/>
      <c r="E480" s="216"/>
      <c r="H480" s="214"/>
      <c r="Q480" s="166"/>
    </row>
    <row r="481" spans="2:17" ht="13" x14ac:dyDescent="0.25">
      <c r="B481" s="275">
        <v>2022</v>
      </c>
      <c r="C481" s="279">
        <f>+H470</f>
        <v>0</v>
      </c>
      <c r="D481" s="216"/>
      <c r="E481" s="216"/>
      <c r="H481" s="214"/>
      <c r="Q481" s="166"/>
    </row>
    <row r="482" spans="2:17" ht="13" x14ac:dyDescent="0.25">
      <c r="B482" s="275">
        <v>2023</v>
      </c>
      <c r="C482" s="279">
        <f>+H476</f>
        <v>0</v>
      </c>
      <c r="D482" s="216"/>
      <c r="E482" s="216"/>
      <c r="H482" s="214"/>
      <c r="Q482" s="166"/>
    </row>
    <row r="483" spans="2:17" ht="13" x14ac:dyDescent="0.25">
      <c r="B483" s="336">
        <v>2024</v>
      </c>
      <c r="C483" s="337">
        <v>0</v>
      </c>
      <c r="D483" s="216"/>
      <c r="E483" s="216"/>
      <c r="H483" s="214"/>
      <c r="Q483" s="166"/>
    </row>
    <row r="484" spans="2:17" x14ac:dyDescent="0.25">
      <c r="H484" s="214"/>
      <c r="Q484" s="166"/>
    </row>
    <row r="485" spans="2:17" x14ac:dyDescent="0.25">
      <c r="H485" s="214"/>
      <c r="Q485" s="166"/>
    </row>
    <row r="486" spans="2:17" ht="13" x14ac:dyDescent="0.25">
      <c r="B486" s="321" t="s">
        <v>169</v>
      </c>
      <c r="C486" s="322"/>
      <c r="D486" s="322"/>
      <c r="E486" s="322"/>
      <c r="F486" s="323"/>
      <c r="G486" s="323"/>
      <c r="H486" s="527"/>
      <c r="I486" s="323"/>
      <c r="J486" s="323"/>
      <c r="K486" s="323"/>
      <c r="L486" s="323"/>
      <c r="M486" s="323"/>
      <c r="Q486" s="166"/>
    </row>
    <row r="487" spans="2:17" x14ac:dyDescent="0.25">
      <c r="H487" s="214"/>
      <c r="Q487" s="166"/>
    </row>
    <row r="488" spans="2:17" ht="13" x14ac:dyDescent="0.25">
      <c r="B488" s="273" t="s">
        <v>169</v>
      </c>
      <c r="H488" s="214"/>
      <c r="Q488" s="166"/>
    </row>
    <row r="489" spans="2:17" ht="13" x14ac:dyDescent="0.25">
      <c r="B489" s="273" t="s">
        <v>141</v>
      </c>
      <c r="C489" s="216"/>
      <c r="D489" s="216"/>
      <c r="E489" s="216"/>
      <c r="H489" s="214"/>
      <c r="Q489" s="166"/>
    </row>
    <row r="490" spans="2:17" ht="13" x14ac:dyDescent="0.25">
      <c r="B490" s="273"/>
      <c r="C490" s="216"/>
      <c r="D490" s="216"/>
      <c r="E490" s="216"/>
      <c r="H490" s="214"/>
      <c r="Q490" s="166"/>
    </row>
    <row r="491" spans="2:17" ht="13" x14ac:dyDescent="0.25">
      <c r="B491" s="336">
        <v>2021</v>
      </c>
      <c r="C491" s="337">
        <v>0</v>
      </c>
      <c r="D491" s="216"/>
      <c r="E491" s="216"/>
      <c r="H491" s="214"/>
      <c r="Q491" s="166"/>
    </row>
    <row r="492" spans="2:17" ht="13" x14ac:dyDescent="0.25">
      <c r="B492" s="336">
        <v>2022</v>
      </c>
      <c r="C492" s="337">
        <v>0</v>
      </c>
      <c r="D492" s="216"/>
      <c r="E492" s="216"/>
      <c r="H492" s="214"/>
      <c r="Q492" s="166"/>
    </row>
    <row r="493" spans="2:17" ht="13" x14ac:dyDescent="0.25">
      <c r="B493" s="336">
        <v>2023</v>
      </c>
      <c r="C493" s="337">
        <v>0</v>
      </c>
      <c r="D493" s="216"/>
      <c r="E493" s="216"/>
      <c r="H493" s="214"/>
      <c r="Q493" s="166"/>
    </row>
    <row r="494" spans="2:17" ht="13" x14ac:dyDescent="0.25">
      <c r="B494" s="336">
        <v>2024</v>
      </c>
      <c r="C494" s="337">
        <v>0</v>
      </c>
      <c r="D494" s="216"/>
      <c r="E494" s="216"/>
      <c r="H494" s="214"/>
      <c r="Q494" s="166"/>
    </row>
    <row r="495" spans="2:17" x14ac:dyDescent="0.25">
      <c r="H495" s="214"/>
      <c r="Q495" s="166"/>
    </row>
    <row r="496" spans="2:17" x14ac:dyDescent="0.25">
      <c r="H496" s="214"/>
      <c r="Q496" s="166"/>
    </row>
    <row r="497" spans="2:17" ht="13" x14ac:dyDescent="0.25">
      <c r="B497" s="321" t="s">
        <v>67</v>
      </c>
      <c r="C497" s="322"/>
      <c r="D497" s="322"/>
      <c r="E497" s="322"/>
      <c r="F497" s="323"/>
      <c r="G497" s="323"/>
      <c r="H497" s="527"/>
      <c r="I497" s="323"/>
      <c r="J497" s="323"/>
      <c r="K497" s="323"/>
      <c r="L497" s="323"/>
      <c r="M497" s="323"/>
      <c r="Q497" s="166"/>
    </row>
    <row r="498" spans="2:17" x14ac:dyDescent="0.25">
      <c r="H498" s="214"/>
      <c r="Q498" s="166"/>
    </row>
    <row r="499" spans="2:17" ht="13" x14ac:dyDescent="0.25">
      <c r="B499" s="273" t="s">
        <v>139</v>
      </c>
      <c r="F499" s="810">
        <v>2017</v>
      </c>
      <c r="H499" s="214"/>
      <c r="Q499" s="166"/>
    </row>
    <row r="500" spans="2:17" x14ac:dyDescent="0.25">
      <c r="H500" s="214"/>
      <c r="L500" s="206"/>
      <c r="Q500" s="166"/>
    </row>
    <row r="501" spans="2:17" ht="82.5" customHeight="1" x14ac:dyDescent="0.25">
      <c r="B501" s="1078" t="s">
        <v>140</v>
      </c>
      <c r="C501" s="1079"/>
      <c r="D501" s="1079"/>
      <c r="E501" s="1080"/>
      <c r="F501" s="274"/>
      <c r="G501" s="165" t="str">
        <f>"Nog af te bouwen regulatoir saldo einde "&amp;F499-1</f>
        <v>Nog af te bouwen regulatoir saldo einde 2016</v>
      </c>
      <c r="H501" s="165" t="str">
        <f>"Afbouw oudste openstaande regulatoir saldo vanaf boekjaar "&amp;F499-3&amp;" en vroeger, door aanwending van compensatie met regulatoir saldo ontstaan over boekjaar "&amp;F499-2</f>
        <v>Afbouw oudste openstaande regulatoir saldo vanaf boekjaar 2014 en vroeger, door aanwending van compensatie met regulatoir saldo ontstaan over boekjaar 2015</v>
      </c>
      <c r="I501" s="165" t="str">
        <f>"Nog af te bouwen regulatoir saldo na compensatie einde "&amp;F499-1</f>
        <v>Nog af te bouwen regulatoir saldo na compensatie einde 2016</v>
      </c>
      <c r="J501" s="165" t="str">
        <f>"Aanwending van "&amp;IF($B$7="elektriciteit","75%",IF($B$7="gas","40%","FALSE"))&amp;" van het geaccumuleerd regulatoir saldo door te rekenen volgens de tariefmethodologie in het boekjaar "&amp;F499</f>
        <v>Aanwending van 75% van het geaccumuleerd regulatoir saldo door te rekenen volgens de tariefmethodologie in het boekjaar 2017</v>
      </c>
      <c r="K501" s="165" t="str">
        <f>"Nog af te bouwen regulatoir saldo einde "&amp;F499</f>
        <v>Nog af te bouwen regulatoir saldo einde 2017</v>
      </c>
      <c r="L501" s="206"/>
      <c r="Q501" s="166"/>
    </row>
    <row r="502" spans="2:17" ht="13" x14ac:dyDescent="0.25">
      <c r="B502" s="1075">
        <v>2015</v>
      </c>
      <c r="C502" s="1076"/>
      <c r="D502" s="1076"/>
      <c r="E502" s="1077"/>
      <c r="F502" s="275"/>
      <c r="G502" s="176">
        <f>G196</f>
        <v>0</v>
      </c>
      <c r="H502" s="521">
        <v>0</v>
      </c>
      <c r="I502" s="176">
        <f>+G502+H502</f>
        <v>0</v>
      </c>
      <c r="J502" s="819">
        <f>-I502*IF($B$7="elektriciteit",0.75,IF($B$7="gas",0.4,"FALSE"))</f>
        <v>0</v>
      </c>
      <c r="K502" s="811">
        <f>+J502+G502</f>
        <v>0</v>
      </c>
      <c r="L502" s="206"/>
      <c r="Q502" s="166"/>
    </row>
    <row r="503" spans="2:17" x14ac:dyDescent="0.25">
      <c r="H503" s="214"/>
      <c r="L503" s="206"/>
      <c r="Q503" s="166"/>
    </row>
    <row r="504" spans="2:17" ht="13" x14ac:dyDescent="0.25">
      <c r="B504" s="273" t="s">
        <v>139</v>
      </c>
      <c r="F504" s="810">
        <v>2018</v>
      </c>
      <c r="H504" s="214"/>
      <c r="Q504" s="166"/>
    </row>
    <row r="505" spans="2:17" x14ac:dyDescent="0.25">
      <c r="H505" s="214"/>
      <c r="Q505" s="166"/>
    </row>
    <row r="506" spans="2:17" ht="69.75" customHeight="1" x14ac:dyDescent="0.25">
      <c r="B506" s="1078" t="s">
        <v>140</v>
      </c>
      <c r="C506" s="1079"/>
      <c r="D506" s="1079"/>
      <c r="E506" s="1080"/>
      <c r="F506" s="274"/>
      <c r="G506" s="165" t="str">
        <f>"Nog af te bouwen regulatoir saldo einde "&amp;F504-1</f>
        <v>Nog af te bouwen regulatoir saldo einde 2017</v>
      </c>
      <c r="H506" s="165" t="str">
        <f>"Afbouw oudste openstaande regulatoir saldo vanaf boekjaar "&amp;F504-3&amp;" en vroeger, door aanwending van compensatie met regulatoir saldo ontstaan over boekjaar "&amp;F504-2</f>
        <v>Afbouw oudste openstaande regulatoir saldo vanaf boekjaar 2015 en vroeger, door aanwending van compensatie met regulatoir saldo ontstaan over boekjaar 2016</v>
      </c>
      <c r="I506" s="165" t="str">
        <f>"Nog af te bouwen regulatoir saldo na compensatie einde "&amp;F504-1</f>
        <v>Nog af te bouwen regulatoir saldo na compensatie einde 2017</v>
      </c>
      <c r="J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K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L506" s="165" t="str">
        <f>"Totale afbouw over "&amp;F504</f>
        <v>Totale afbouw over 2018</v>
      </c>
      <c r="M506" s="165" t="str">
        <f>"Nog af te bouwen regulatoir saldo einde "&amp;F504</f>
        <v>Nog af te bouwen regulatoir saldo einde 2018</v>
      </c>
      <c r="N506" s="206"/>
      <c r="Q506" s="166"/>
    </row>
    <row r="507" spans="2:17" ht="13" x14ac:dyDescent="0.25">
      <c r="B507" s="1075">
        <v>2015</v>
      </c>
      <c r="C507" s="1076"/>
      <c r="D507" s="1076"/>
      <c r="E507" s="1077"/>
      <c r="F507" s="275"/>
      <c r="G507" s="176">
        <f>K502</f>
        <v>0</v>
      </c>
      <c r="H507" s="521">
        <f>IF(SIGN(G508*K502)&lt;0,IF(G507&lt;&gt;0,-SIGN(G507)*MIN(ABS(G508),ABS(G507)),0),0)</f>
        <v>0</v>
      </c>
      <c r="I507" s="176">
        <f>+G507+H507</f>
        <v>0</v>
      </c>
      <c r="J507" s="820"/>
      <c r="K507" s="821">
        <f>-MIN(ABS(I507),ABS(J509))*SIGN(I507)</f>
        <v>0</v>
      </c>
      <c r="L507" s="813">
        <f>+K507+H507</f>
        <v>0</v>
      </c>
      <c r="M507" s="176">
        <f>+I507+K507</f>
        <v>0</v>
      </c>
      <c r="N507" s="206"/>
      <c r="Q507" s="166"/>
    </row>
    <row r="508" spans="2:17" ht="13" x14ac:dyDescent="0.25">
      <c r="B508" s="1075">
        <v>2016</v>
      </c>
      <c r="C508" s="1076"/>
      <c r="D508" s="1076"/>
      <c r="E508" s="1077"/>
      <c r="F508" s="275"/>
      <c r="G508" s="176">
        <f>H197</f>
        <v>0</v>
      </c>
      <c r="H508" s="813">
        <f>IF(SIGN(G508*K502)&lt;0,-H507,0)</f>
        <v>0</v>
      </c>
      <c r="I508" s="176">
        <f>+G508+H508</f>
        <v>0</v>
      </c>
      <c r="J508" s="820"/>
      <c r="K508" s="821">
        <f>-MIN(ABS(I508),ABS(J509-K507))*SIGN(I508)</f>
        <v>0</v>
      </c>
      <c r="L508" s="813">
        <f>+K508+H508</f>
        <v>0</v>
      </c>
      <c r="M508" s="176">
        <f>+I508+K508</f>
        <v>0</v>
      </c>
      <c r="N508" s="206"/>
      <c r="Q508" s="166"/>
    </row>
    <row r="509" spans="2:17" s="273" customFormat="1" ht="13" x14ac:dyDescent="0.3">
      <c r="G509" s="276">
        <f>SUM(G507:G508)</f>
        <v>0</v>
      </c>
      <c r="H509" s="168">
        <f>SUM(H507:H508)</f>
        <v>0</v>
      </c>
      <c r="I509" s="276">
        <f>SUM(I507:I508)</f>
        <v>0</v>
      </c>
      <c r="J509" s="208">
        <f>-I509*IF($B$7="elektriciteit",0.75,IF($B$7="gas",0.4,"FALSE"))</f>
        <v>0</v>
      </c>
      <c r="K509" s="286">
        <f>SUM(K507:K508)</f>
        <v>0</v>
      </c>
      <c r="L509" s="528"/>
      <c r="M509" s="276">
        <f>SUM(M507:M508)</f>
        <v>0</v>
      </c>
    </row>
    <row r="510" spans="2:17" x14ac:dyDescent="0.25">
      <c r="H510" s="214"/>
      <c r="J510" s="12"/>
      <c r="K510" s="12"/>
      <c r="Q510" s="166"/>
    </row>
    <row r="511" spans="2:17" ht="13" x14ac:dyDescent="0.25">
      <c r="B511" s="273" t="s">
        <v>139</v>
      </c>
      <c r="F511" s="810">
        <v>2019</v>
      </c>
      <c r="H511" s="214"/>
      <c r="J511" s="12"/>
      <c r="K511" s="12"/>
      <c r="Q511" s="166"/>
    </row>
    <row r="512" spans="2:17" x14ac:dyDescent="0.25">
      <c r="H512" s="214"/>
      <c r="J512" s="12"/>
      <c r="K512" s="12"/>
      <c r="Q512" s="166"/>
    </row>
    <row r="513" spans="2:17" ht="75.75" customHeight="1" x14ac:dyDescent="0.25">
      <c r="B513" s="1078" t="s">
        <v>140</v>
      </c>
      <c r="C513" s="1079"/>
      <c r="D513" s="1079"/>
      <c r="E513" s="1080"/>
      <c r="F513" s="274"/>
      <c r="G513" s="165" t="str">
        <f>"Nog af te bouwen regulatoir saldo einde "&amp;F511-1</f>
        <v>Nog af te bouwen regulatoir saldo einde 2018</v>
      </c>
      <c r="H513" s="165" t="str">
        <f>"Afbouw oudste openstaande regulatoir saldo vanaf boekjaar "&amp;F511-3&amp;" en vroeger, door aanwending van compensatie met regulatoir saldo ontstaan over boekjaar "&amp;F511-2</f>
        <v>Afbouw oudste openstaande regulatoir saldo vanaf boekjaar 2016 en vroeger, door aanwending van compensatie met regulatoir saldo ontstaan over boekjaar 2017</v>
      </c>
      <c r="I513" s="165" t="str">
        <f>"Nog af te bouwen regulatoir saldo na compensatie einde "&amp;F511-1</f>
        <v>Nog af te bouwen regulatoir saldo na compensatie einde 2018</v>
      </c>
      <c r="J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K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L513" s="165" t="str">
        <f>"Totale afbouw over "&amp;F511</f>
        <v>Totale afbouw over 2019</v>
      </c>
      <c r="M513" s="165" t="str">
        <f>"Nog af te bouwen regulatoir saldo einde "&amp;F511</f>
        <v>Nog af te bouwen regulatoir saldo einde 2019</v>
      </c>
      <c r="N513" s="206"/>
      <c r="Q513" s="166"/>
    </row>
    <row r="514" spans="2:17" ht="13" x14ac:dyDescent="0.25">
      <c r="B514" s="1075">
        <v>2015</v>
      </c>
      <c r="C514" s="1076"/>
      <c r="D514" s="1076"/>
      <c r="E514" s="1077"/>
      <c r="F514" s="275"/>
      <c r="G514" s="176">
        <f>+M507</f>
        <v>0</v>
      </c>
      <c r="H514" s="813">
        <f>IF(SIGN(G516*M509)&lt;0,IF(G514&lt;&gt;0,-SIGN(G514)*MIN(ABS(G516),ABS(G514)),0),0)</f>
        <v>0</v>
      </c>
      <c r="I514" s="176">
        <f>+G514+H514</f>
        <v>0</v>
      </c>
      <c r="J514" s="820"/>
      <c r="K514" s="821">
        <f>-MIN(ABS(I514),ABS(J517))*SIGN(I514)</f>
        <v>0</v>
      </c>
      <c r="L514" s="813">
        <f>+K514+H514</f>
        <v>0</v>
      </c>
      <c r="M514" s="176">
        <f>+I514+K514</f>
        <v>0</v>
      </c>
      <c r="N514" s="206"/>
      <c r="Q514" s="166"/>
    </row>
    <row r="515" spans="2:17" ht="13" x14ac:dyDescent="0.25">
      <c r="B515" s="1075">
        <v>2016</v>
      </c>
      <c r="C515" s="1076"/>
      <c r="D515" s="1076">
        <v>2016</v>
      </c>
      <c r="E515" s="1077"/>
      <c r="F515" s="275"/>
      <c r="G515" s="176">
        <f>+M508</f>
        <v>0</v>
      </c>
      <c r="H515" s="813">
        <f>IF(SIGN(G516*M509)&lt;0,IF(G515&lt;&gt;0,-SIGN(G515)*MIN(ABS(G516-H514),ABS(G515)),0),0)</f>
        <v>0</v>
      </c>
      <c r="I515" s="176">
        <f>+G515+H515</f>
        <v>0</v>
      </c>
      <c r="J515" s="820"/>
      <c r="K515" s="821">
        <f>-MIN(ABS(I515),ABS(J517-K514))*SIGN(I515)</f>
        <v>0</v>
      </c>
      <c r="L515" s="813">
        <f>+K515+H515</f>
        <v>0</v>
      </c>
      <c r="M515" s="176">
        <f>+I515+K515</f>
        <v>0</v>
      </c>
      <c r="N515" s="206"/>
      <c r="Q515" s="166"/>
    </row>
    <row r="516" spans="2:17" ht="13" x14ac:dyDescent="0.25">
      <c r="B516" s="1075">
        <v>2017</v>
      </c>
      <c r="C516" s="1076"/>
      <c r="D516" s="1076"/>
      <c r="E516" s="1077"/>
      <c r="F516" s="275"/>
      <c r="G516" s="176">
        <f>I198</f>
        <v>0</v>
      </c>
      <c r="H516" s="813">
        <f>IF(SIGN(G516*M509)&lt;0,-SUM(H514:H515),0)</f>
        <v>0</v>
      </c>
      <c r="I516" s="176">
        <f>+G516+H516</f>
        <v>0</v>
      </c>
      <c r="J516" s="820"/>
      <c r="K516" s="821">
        <f>-MIN(ABS(I516),ABS(J517-K514-K515))*SIGN(I516)</f>
        <v>0</v>
      </c>
      <c r="L516" s="813">
        <f>+K516+H516</f>
        <v>0</v>
      </c>
      <c r="M516" s="176">
        <f>+I516+K516</f>
        <v>0</v>
      </c>
      <c r="N516" s="206"/>
      <c r="Q516" s="166"/>
    </row>
    <row r="517" spans="2:17" s="273" customFormat="1" ht="13" x14ac:dyDescent="0.3">
      <c r="G517" s="276">
        <f>SUM(G514:G516)</f>
        <v>0</v>
      </c>
      <c r="H517" s="168">
        <f>SUM(H514:H516)</f>
        <v>0</v>
      </c>
      <c r="I517" s="276">
        <f>SUM(I514:I516)</f>
        <v>0</v>
      </c>
      <c r="J517" s="208">
        <f>-I517*IF($B$7="elektriciteit",0.75,IF($B$7="gas",0.4,"FALSE"))</f>
        <v>0</v>
      </c>
      <c r="K517" s="286">
        <f>SUM(K514:K516)</f>
        <v>0</v>
      </c>
      <c r="L517" s="528"/>
      <c r="M517" s="276">
        <f>SUM(M514:M516)</f>
        <v>0</v>
      </c>
    </row>
    <row r="518" spans="2:17" x14ac:dyDescent="0.25">
      <c r="H518" s="214"/>
      <c r="J518" s="12"/>
      <c r="K518" s="12"/>
      <c r="Q518" s="166"/>
    </row>
    <row r="519" spans="2:17" ht="13" x14ac:dyDescent="0.25">
      <c r="B519" s="273" t="s">
        <v>139</v>
      </c>
      <c r="F519" s="810">
        <v>2020</v>
      </c>
      <c r="H519" s="214"/>
      <c r="J519" s="12"/>
      <c r="K519" s="12"/>
      <c r="Q519" s="166"/>
    </row>
    <row r="520" spans="2:17" x14ac:dyDescent="0.25">
      <c r="H520" s="214"/>
      <c r="J520" s="12"/>
      <c r="K520" s="12"/>
      <c r="Q520" s="166"/>
    </row>
    <row r="521" spans="2:17" ht="78" customHeight="1" x14ac:dyDescent="0.25">
      <c r="B521" s="1078" t="s">
        <v>140</v>
      </c>
      <c r="C521" s="1079"/>
      <c r="D521" s="1079"/>
      <c r="E521" s="1080"/>
      <c r="F521" s="274"/>
      <c r="G521" s="165" t="str">
        <f>"Nog af te bouwen regulatoir saldo einde "&amp;F519-1</f>
        <v>Nog af te bouwen regulatoir saldo einde 2019</v>
      </c>
      <c r="H521" s="165" t="str">
        <f>"Afbouw oudste openstaande regulatoir saldo vanaf boekjaar "&amp;F519-3&amp;" en vroeger, door aanwending van compensatie met regulatoir saldo ontstaan over boekjaar "&amp;F519-2</f>
        <v>Afbouw oudste openstaande regulatoir saldo vanaf boekjaar 2017 en vroeger, door aanwending van compensatie met regulatoir saldo ontstaan over boekjaar 2018</v>
      </c>
      <c r="I521" s="165" t="str">
        <f>"Nog af te bouwen regulatoir saldo na compensatie einde "&amp;F519-1</f>
        <v>Nog af te bouwen regulatoir saldo na compensatie einde 2019</v>
      </c>
      <c r="J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K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L521" s="165" t="str">
        <f>"Totale afbouw over "&amp;F519</f>
        <v>Totale afbouw over 2020</v>
      </c>
      <c r="M521" s="165" t="str">
        <f>"Nog af te bouwen regulatoir saldo einde "&amp;F519</f>
        <v>Nog af te bouwen regulatoir saldo einde 2020</v>
      </c>
      <c r="N521" s="206"/>
      <c r="Q521" s="166"/>
    </row>
    <row r="522" spans="2:17" ht="13" x14ac:dyDescent="0.25">
      <c r="B522" s="1075">
        <v>2015</v>
      </c>
      <c r="C522" s="1076"/>
      <c r="D522" s="1076"/>
      <c r="E522" s="1077"/>
      <c r="F522" s="275"/>
      <c r="G522" s="176">
        <f>+M514</f>
        <v>0</v>
      </c>
      <c r="H522" s="813">
        <f>IF(SIGN(G525*M517)&lt;0,IF(G522&lt;&gt;0,-SIGN(G522)*MIN(ABS(G525),ABS(G522)),0),0)</f>
        <v>0</v>
      </c>
      <c r="I522" s="176">
        <f>+G522+H522</f>
        <v>0</v>
      </c>
      <c r="J522" s="820"/>
      <c r="K522" s="821">
        <f>-MIN(ABS(I522),ABS(J526))*SIGN(I522)</f>
        <v>0</v>
      </c>
      <c r="L522" s="813">
        <f>+K522+H522</f>
        <v>0</v>
      </c>
      <c r="M522" s="176">
        <f>+I522+K522</f>
        <v>0</v>
      </c>
      <c r="N522" s="206"/>
      <c r="Q522" s="166"/>
    </row>
    <row r="523" spans="2:17" ht="13" x14ac:dyDescent="0.25">
      <c r="B523" s="1075">
        <v>2016</v>
      </c>
      <c r="C523" s="1076"/>
      <c r="D523" s="1076"/>
      <c r="E523" s="1077"/>
      <c r="F523" s="275"/>
      <c r="G523" s="176">
        <f>+M515</f>
        <v>0</v>
      </c>
      <c r="H523" s="813">
        <f>IF(SIGN(G525*M517)&lt;0,IF(G523&lt;&gt;0,-SIGN(G523)*MIN(ABS(G525-H522),ABS(G523)),0),0)</f>
        <v>0</v>
      </c>
      <c r="I523" s="176">
        <f>+G523+H523</f>
        <v>0</v>
      </c>
      <c r="J523" s="820"/>
      <c r="K523" s="821">
        <f>-MIN(ABS(I523),ABS(J526-K522))*SIGN(I523)</f>
        <v>0</v>
      </c>
      <c r="L523" s="813">
        <f>+K523+H523</f>
        <v>0</v>
      </c>
      <c r="M523" s="176">
        <f>+I523+K523</f>
        <v>0</v>
      </c>
      <c r="N523" s="206"/>
      <c r="Q523" s="166"/>
    </row>
    <row r="524" spans="2:17" ht="13" x14ac:dyDescent="0.25">
      <c r="B524" s="1075">
        <v>2017</v>
      </c>
      <c r="C524" s="1076"/>
      <c r="D524" s="1076">
        <v>2016</v>
      </c>
      <c r="E524" s="1077"/>
      <c r="F524" s="275"/>
      <c r="G524" s="176">
        <f>+M516</f>
        <v>0</v>
      </c>
      <c r="H524" s="813">
        <f>IF(SIGN(G525*M517)&lt;0,IF(G524&lt;&gt;0,-SIGN(G524)*MIN(ABS(G525-H522-H523),ABS(G524)),0),0)</f>
        <v>0</v>
      </c>
      <c r="I524" s="176">
        <f>+G524+H524</f>
        <v>0</v>
      </c>
      <c r="J524" s="820"/>
      <c r="K524" s="821">
        <f>-MIN(ABS(I524),ABS(J526-K522-K523))*SIGN(I524)</f>
        <v>0</v>
      </c>
      <c r="L524" s="813">
        <f>+K524+H524</f>
        <v>0</v>
      </c>
      <c r="M524" s="176">
        <f>+I524+K524</f>
        <v>0</v>
      </c>
      <c r="N524" s="206"/>
      <c r="Q524" s="166"/>
    </row>
    <row r="525" spans="2:17" ht="13" x14ac:dyDescent="0.25">
      <c r="B525" s="1075">
        <v>2018</v>
      </c>
      <c r="C525" s="1076"/>
      <c r="D525" s="1076"/>
      <c r="E525" s="1077"/>
      <c r="F525" s="275"/>
      <c r="G525" s="176">
        <f>J199</f>
        <v>0</v>
      </c>
      <c r="H525" s="813">
        <f>IF(SIGN(G525*M517)&lt;0,-SUM(H522:H524),0)</f>
        <v>0</v>
      </c>
      <c r="I525" s="176">
        <f>+G525+H525</f>
        <v>0</v>
      </c>
      <c r="J525" s="820"/>
      <c r="K525" s="821">
        <f>-MIN(ABS(I525),ABS(J526-K522-K523-K524))*SIGN(I525)</f>
        <v>0</v>
      </c>
      <c r="L525" s="813">
        <f>+K525+H525</f>
        <v>0</v>
      </c>
      <c r="M525" s="176">
        <f>+I525+K525</f>
        <v>0</v>
      </c>
      <c r="N525" s="206"/>
      <c r="Q525" s="166"/>
    </row>
    <row r="526" spans="2:17" s="273" customFormat="1" ht="13" x14ac:dyDescent="0.3">
      <c r="G526" s="276">
        <f>SUM(G522:G525)</f>
        <v>0</v>
      </c>
      <c r="H526" s="168">
        <f>SUM(H522:H525)</f>
        <v>0</v>
      </c>
      <c r="I526" s="276">
        <f>SUM(I522:I525)</f>
        <v>0</v>
      </c>
      <c r="J526" s="208">
        <f>-I526*IF($B$7="elektriciteit",0.75,IF($B$7="gas",0.4,"FALSE"))</f>
        <v>0</v>
      </c>
      <c r="K526" s="286">
        <f>SUM(K522:K525)</f>
        <v>0</v>
      </c>
      <c r="L526" s="168"/>
      <c r="M526" s="276">
        <f>SUM(M522:M525)</f>
        <v>0</v>
      </c>
    </row>
    <row r="527" spans="2:17" x14ac:dyDescent="0.25">
      <c r="H527" s="214"/>
      <c r="K527" s="214"/>
      <c r="L527" s="214"/>
      <c r="Q527" s="166"/>
    </row>
    <row r="528" spans="2:17" ht="13" x14ac:dyDescent="0.25">
      <c r="B528" s="273" t="s">
        <v>139</v>
      </c>
      <c r="F528" s="810">
        <v>2021</v>
      </c>
      <c r="H528" s="214"/>
      <c r="Q528" s="166"/>
    </row>
    <row r="529" spans="2:17" x14ac:dyDescent="0.25">
      <c r="H529" s="214"/>
      <c r="Q529" s="166"/>
    </row>
    <row r="530" spans="2:17" ht="78" customHeight="1" x14ac:dyDescent="0.25">
      <c r="B530" s="1078" t="s">
        <v>140</v>
      </c>
      <c r="C530" s="1079"/>
      <c r="D530" s="1079"/>
      <c r="E530" s="1080"/>
      <c r="F530" s="274"/>
      <c r="G530" s="165" t="str">
        <f>"Nog af te bouwen regulatoir saldo einde "&amp;F528-1</f>
        <v>Nog af te bouwen regulatoir saldo einde 2020</v>
      </c>
      <c r="H530" s="165" t="str">
        <f>"50% van het oorspronkelijk regulatoir saldo door te rekenen volgens de tariefmethodologie in het boekjaar "&amp;F528</f>
        <v>50% van het oorspronkelijk regulatoir saldo door te rekenen volgens de tariefmethodologie in het boekjaar 2021</v>
      </c>
      <c r="I530" s="165" t="str">
        <f>"Nog af te bouwen regulatoir saldo einde "&amp;F528</f>
        <v>Nog af te bouwen regulatoir saldo einde 2021</v>
      </c>
      <c r="J530" s="206"/>
      <c r="Q530" s="166"/>
    </row>
    <row r="531" spans="2:17" ht="13" x14ac:dyDescent="0.25">
      <c r="B531" s="1075">
        <v>2015</v>
      </c>
      <c r="C531" s="1076"/>
      <c r="D531" s="1076"/>
      <c r="E531" s="1077"/>
      <c r="F531" s="275"/>
      <c r="G531" s="176">
        <f>M522</f>
        <v>0</v>
      </c>
      <c r="H531" s="521">
        <f>-G531*0.5</f>
        <v>0</v>
      </c>
      <c r="I531" s="176">
        <f>+G531+H531</f>
        <v>0</v>
      </c>
      <c r="J531" s="206"/>
      <c r="Q531" s="166"/>
    </row>
    <row r="532" spans="2:17" ht="13" x14ac:dyDescent="0.25">
      <c r="B532" s="1075">
        <v>2016</v>
      </c>
      <c r="C532" s="1076"/>
      <c r="D532" s="1076"/>
      <c r="E532" s="1077"/>
      <c r="F532" s="275"/>
      <c r="G532" s="176">
        <f t="shared" ref="G532:G534" si="70">M523</f>
        <v>0</v>
      </c>
      <c r="H532" s="521">
        <f t="shared" ref="H532:H535" si="71">-G532*0.5</f>
        <v>0</v>
      </c>
      <c r="I532" s="176">
        <f t="shared" ref="I532:I535" si="72">+G532+H532</f>
        <v>0</v>
      </c>
      <c r="J532" s="206"/>
      <c r="Q532" s="166"/>
    </row>
    <row r="533" spans="2:17" ht="13" x14ac:dyDescent="0.25">
      <c r="B533" s="1075">
        <v>2017</v>
      </c>
      <c r="C533" s="1076"/>
      <c r="D533" s="1076">
        <v>2016</v>
      </c>
      <c r="E533" s="1077"/>
      <c r="F533" s="275"/>
      <c r="G533" s="176">
        <f t="shared" si="70"/>
        <v>0</v>
      </c>
      <c r="H533" s="521">
        <f t="shared" si="71"/>
        <v>0</v>
      </c>
      <c r="I533" s="176">
        <f t="shared" si="72"/>
        <v>0</v>
      </c>
      <c r="J533" s="206"/>
      <c r="Q533" s="166"/>
    </row>
    <row r="534" spans="2:17" ht="13" x14ac:dyDescent="0.25">
      <c r="B534" s="1075">
        <v>2018</v>
      </c>
      <c r="C534" s="1076"/>
      <c r="D534" s="1076"/>
      <c r="E534" s="1077"/>
      <c r="F534" s="275"/>
      <c r="G534" s="176">
        <f t="shared" si="70"/>
        <v>0</v>
      </c>
      <c r="H534" s="521">
        <f t="shared" si="71"/>
        <v>0</v>
      </c>
      <c r="I534" s="176">
        <f t="shared" si="72"/>
        <v>0</v>
      </c>
      <c r="J534" s="206"/>
      <c r="Q534" s="166"/>
    </row>
    <row r="535" spans="2:17" ht="13" x14ac:dyDescent="0.25">
      <c r="B535" s="1075">
        <v>2019</v>
      </c>
      <c r="C535" s="1076"/>
      <c r="D535" s="1076"/>
      <c r="E535" s="1077"/>
      <c r="F535" s="275"/>
      <c r="G535" s="176">
        <f>K200</f>
        <v>0</v>
      </c>
      <c r="H535" s="521">
        <f t="shared" si="71"/>
        <v>0</v>
      </c>
      <c r="I535" s="176">
        <f t="shared" si="72"/>
        <v>0</v>
      </c>
      <c r="J535" s="206"/>
      <c r="Q535" s="166"/>
    </row>
    <row r="536" spans="2:17" s="273" customFormat="1" ht="13" x14ac:dyDescent="0.25">
      <c r="G536" s="276">
        <f>SUM(G531:G535)</f>
        <v>0</v>
      </c>
      <c r="H536" s="168">
        <f>SUM(H531:H535)</f>
        <v>0</v>
      </c>
      <c r="I536" s="276">
        <f>SUM(I531:I535)</f>
        <v>0</v>
      </c>
    </row>
    <row r="537" spans="2:17" x14ac:dyDescent="0.25">
      <c r="H537" s="214"/>
      <c r="Q537" s="166"/>
    </row>
    <row r="538" spans="2:17" ht="13" x14ac:dyDescent="0.25">
      <c r="B538" s="273" t="s">
        <v>139</v>
      </c>
      <c r="F538" s="810">
        <v>2022</v>
      </c>
      <c r="H538" s="214"/>
      <c r="Q538" s="166"/>
    </row>
    <row r="539" spans="2:17" x14ac:dyDescent="0.25">
      <c r="H539" s="214"/>
      <c r="Q539" s="166"/>
    </row>
    <row r="540" spans="2:17" ht="78" customHeight="1" x14ac:dyDescent="0.25">
      <c r="B540" s="1078" t="s">
        <v>140</v>
      </c>
      <c r="C540" s="1079"/>
      <c r="D540" s="1079"/>
      <c r="E540" s="1080"/>
      <c r="F540" s="274"/>
      <c r="G540" s="165" t="str">
        <f>"Nog af te bouwen regulatoir saldo einde "&amp;F538-1</f>
        <v>Nog af te bouwen regulatoir saldo einde 2021</v>
      </c>
      <c r="H540" s="165" t="str">
        <f>"50% van het oorspronkelijk regulatoir saldo door te rekenen volgens de tariefmethodologie in het boekjaar "&amp;F538</f>
        <v>50% van het oorspronkelijk regulatoir saldo door te rekenen volgens de tariefmethodologie in het boekjaar 2022</v>
      </c>
      <c r="I540" s="165" t="str">
        <f>"Nog af te bouwen regulatoir saldo einde "&amp;F538</f>
        <v>Nog af te bouwen regulatoir saldo einde 2022</v>
      </c>
      <c r="J540" s="206"/>
      <c r="Q540" s="166"/>
    </row>
    <row r="541" spans="2:17" ht="13" x14ac:dyDescent="0.25">
      <c r="B541" s="1075">
        <v>2015</v>
      </c>
      <c r="C541" s="1076"/>
      <c r="D541" s="1076"/>
      <c r="E541" s="1077"/>
      <c r="F541" s="275"/>
      <c r="G541" s="176">
        <f>+I531</f>
        <v>0</v>
      </c>
      <c r="H541" s="521">
        <f>-G531*0.5</f>
        <v>0</v>
      </c>
      <c r="I541" s="176">
        <f>+G541+H541</f>
        <v>0</v>
      </c>
      <c r="J541" s="206"/>
      <c r="Q541" s="166"/>
    </row>
    <row r="542" spans="2:17" ht="13" x14ac:dyDescent="0.25">
      <c r="B542" s="1075">
        <v>2016</v>
      </c>
      <c r="C542" s="1076"/>
      <c r="D542" s="1076"/>
      <c r="E542" s="1077"/>
      <c r="F542" s="275"/>
      <c r="G542" s="176">
        <f t="shared" ref="G542:G545" si="73">+I532</f>
        <v>0</v>
      </c>
      <c r="H542" s="521">
        <f t="shared" ref="H542:H545" si="74">-G532*0.5</f>
        <v>0</v>
      </c>
      <c r="I542" s="176">
        <f t="shared" ref="I542:I546" si="75">+G542+H542</f>
        <v>0</v>
      </c>
      <c r="J542" s="206"/>
      <c r="Q542" s="166"/>
    </row>
    <row r="543" spans="2:17" ht="13" x14ac:dyDescent="0.25">
      <c r="B543" s="1075">
        <v>2017</v>
      </c>
      <c r="C543" s="1076"/>
      <c r="D543" s="1076">
        <v>2016</v>
      </c>
      <c r="E543" s="1077"/>
      <c r="F543" s="275"/>
      <c r="G543" s="176">
        <f t="shared" si="73"/>
        <v>0</v>
      </c>
      <c r="H543" s="521">
        <f t="shared" si="74"/>
        <v>0</v>
      </c>
      <c r="I543" s="176">
        <f t="shared" si="75"/>
        <v>0</v>
      </c>
      <c r="J543" s="206"/>
      <c r="Q543" s="166"/>
    </row>
    <row r="544" spans="2:17" ht="13" x14ac:dyDescent="0.25">
      <c r="B544" s="1075">
        <v>2018</v>
      </c>
      <c r="C544" s="1076"/>
      <c r="D544" s="1076"/>
      <c r="E544" s="1077"/>
      <c r="F544" s="275"/>
      <c r="G544" s="176">
        <f t="shared" si="73"/>
        <v>0</v>
      </c>
      <c r="H544" s="521">
        <f t="shared" si="74"/>
        <v>0</v>
      </c>
      <c r="I544" s="176">
        <f t="shared" si="75"/>
        <v>0</v>
      </c>
      <c r="J544" s="206"/>
      <c r="Q544" s="166"/>
    </row>
    <row r="545" spans="2:17" ht="13" x14ac:dyDescent="0.25">
      <c r="B545" s="1075">
        <v>2019</v>
      </c>
      <c r="C545" s="1076"/>
      <c r="D545" s="1076"/>
      <c r="E545" s="1077"/>
      <c r="F545" s="275"/>
      <c r="G545" s="176">
        <f t="shared" si="73"/>
        <v>0</v>
      </c>
      <c r="H545" s="521">
        <f t="shared" si="74"/>
        <v>0</v>
      </c>
      <c r="I545" s="176">
        <f t="shared" si="75"/>
        <v>0</v>
      </c>
      <c r="J545" s="206"/>
      <c r="Q545" s="166"/>
    </row>
    <row r="546" spans="2:17" ht="13" x14ac:dyDescent="0.25">
      <c r="B546" s="1075">
        <v>2020</v>
      </c>
      <c r="C546" s="1076"/>
      <c r="D546" s="1076"/>
      <c r="E546" s="1077"/>
      <c r="F546" s="275"/>
      <c r="G546" s="176">
        <f>L201</f>
        <v>0</v>
      </c>
      <c r="H546" s="521">
        <f t="shared" ref="H546" si="76">-G546*0.5</f>
        <v>0</v>
      </c>
      <c r="I546" s="176">
        <f t="shared" si="75"/>
        <v>0</v>
      </c>
      <c r="J546" s="206"/>
      <c r="Q546" s="166"/>
    </row>
    <row r="547" spans="2:17" s="273" customFormat="1" ht="13" x14ac:dyDescent="0.25">
      <c r="G547" s="276">
        <f>SUM(G541:G546)</f>
        <v>0</v>
      </c>
      <c r="H547" s="168">
        <f t="shared" ref="H547:I547" si="77">SUM(H541:H546)</f>
        <v>0</v>
      </c>
      <c r="I547" s="276">
        <f t="shared" si="77"/>
        <v>0</v>
      </c>
    </row>
    <row r="548" spans="2:17" x14ac:dyDescent="0.25">
      <c r="H548" s="214"/>
      <c r="Q548" s="166"/>
    </row>
    <row r="549" spans="2:17" ht="13" x14ac:dyDescent="0.25">
      <c r="B549" s="273" t="s">
        <v>139</v>
      </c>
      <c r="F549" s="810">
        <v>2023</v>
      </c>
      <c r="H549" s="214"/>
      <c r="Q549" s="166"/>
    </row>
    <row r="550" spans="2:17" x14ac:dyDescent="0.25">
      <c r="H550" s="214"/>
      <c r="Q550" s="166"/>
    </row>
    <row r="551" spans="2:17" ht="78" customHeight="1" x14ac:dyDescent="0.25">
      <c r="B551" s="1078" t="s">
        <v>140</v>
      </c>
      <c r="C551" s="1079"/>
      <c r="D551" s="1079"/>
      <c r="E551" s="1080"/>
      <c r="F551" s="274"/>
      <c r="G551" s="165" t="str">
        <f>"Nog af te bouwen regulatoir saldo einde "&amp;F549-1</f>
        <v>Nog af te bouwen regulatoir saldo einde 2022</v>
      </c>
      <c r="H551" s="165" t="str">
        <f>"50% van het oorspronkelijk regulatoir saldo door te rekenen volgens de tariefmethodologie in het boekjaar "&amp;F549</f>
        <v>50% van het oorspronkelijk regulatoir saldo door te rekenen volgens de tariefmethodologie in het boekjaar 2023</v>
      </c>
      <c r="I551" s="165" t="str">
        <f>"Nog af te bouwen regulatoir saldo einde "&amp;F549</f>
        <v>Nog af te bouwen regulatoir saldo einde 2023</v>
      </c>
      <c r="J551" s="206"/>
      <c r="Q551" s="166"/>
    </row>
    <row r="552" spans="2:17" ht="13" x14ac:dyDescent="0.25">
      <c r="B552" s="1075">
        <v>2020</v>
      </c>
      <c r="C552" s="1076"/>
      <c r="D552" s="1076"/>
      <c r="E552" s="1077"/>
      <c r="F552" s="275"/>
      <c r="G552" s="176">
        <f>+I546</f>
        <v>0</v>
      </c>
      <c r="H552" s="521">
        <f>-G546*0.5</f>
        <v>0</v>
      </c>
      <c r="I552" s="176">
        <f t="shared" ref="I552:I553" si="78">+G552+H552</f>
        <v>0</v>
      </c>
      <c r="J552" s="206"/>
      <c r="Q552" s="166"/>
    </row>
    <row r="553" spans="2:17" ht="13" x14ac:dyDescent="0.25">
      <c r="B553" s="1075">
        <v>2021</v>
      </c>
      <c r="C553" s="1076"/>
      <c r="D553" s="1076"/>
      <c r="E553" s="1077"/>
      <c r="F553" s="275"/>
      <c r="G553" s="176">
        <f>M202</f>
        <v>0</v>
      </c>
      <c r="H553" s="521">
        <f t="shared" ref="H553" si="79">-G553*0.5</f>
        <v>0</v>
      </c>
      <c r="I553" s="176">
        <f t="shared" si="78"/>
        <v>0</v>
      </c>
      <c r="J553" s="206"/>
      <c r="Q553" s="166"/>
    </row>
    <row r="554" spans="2:17" s="273" customFormat="1" ht="13" x14ac:dyDescent="0.25">
      <c r="G554" s="276">
        <f>SUM(G552:G553)</f>
        <v>0</v>
      </c>
      <c r="H554" s="168">
        <f>SUM(H552:H553)</f>
        <v>0</v>
      </c>
      <c r="I554" s="276">
        <f>SUM(I552:I553)</f>
        <v>0</v>
      </c>
    </row>
    <row r="555" spans="2:17" x14ac:dyDescent="0.25">
      <c r="H555" s="214"/>
      <c r="Q555" s="166"/>
    </row>
    <row r="556" spans="2:17" ht="13" x14ac:dyDescent="0.25">
      <c r="B556" s="273" t="s">
        <v>139</v>
      </c>
      <c r="F556" s="810">
        <v>2024</v>
      </c>
      <c r="H556" s="214"/>
      <c r="Q556" s="166"/>
    </row>
    <row r="557" spans="2:17" x14ac:dyDescent="0.25">
      <c r="H557" s="214"/>
      <c r="Q557" s="166"/>
    </row>
    <row r="558" spans="2:17" ht="78" customHeight="1" x14ac:dyDescent="0.25">
      <c r="B558" s="1078" t="s">
        <v>140</v>
      </c>
      <c r="C558" s="1079"/>
      <c r="D558" s="1079"/>
      <c r="E558" s="1080"/>
      <c r="F558" s="274"/>
      <c r="G558" s="165" t="str">
        <f>"Nog af te bouwen regulatoir saldo einde "&amp;F556-1</f>
        <v>Nog af te bouwen regulatoir saldo einde 2023</v>
      </c>
      <c r="H558" s="165" t="str">
        <f>"50% van het oorspronkelijk regulatoir saldo door te rekenen volgens de tariefmethodologie in het boekjaar "&amp;F556</f>
        <v>50% van het oorspronkelijk regulatoir saldo door te rekenen volgens de tariefmethodologie in het boekjaar 2024</v>
      </c>
      <c r="I558" s="165" t="str">
        <f>"Nog af te bouwen regulatoir saldo einde "&amp;F556</f>
        <v>Nog af te bouwen regulatoir saldo einde 2024</v>
      </c>
      <c r="J558" s="206"/>
      <c r="Q558" s="166"/>
    </row>
    <row r="559" spans="2:17" ht="13" x14ac:dyDescent="0.25">
      <c r="B559" s="1075">
        <v>2021</v>
      </c>
      <c r="C559" s="1076"/>
      <c r="D559" s="1076"/>
      <c r="E559" s="1077"/>
      <c r="F559" s="275"/>
      <c r="G559" s="176">
        <f>+I553</f>
        <v>0</v>
      </c>
      <c r="H559" s="521">
        <f>-G553*0.5</f>
        <v>0</v>
      </c>
      <c r="I559" s="176">
        <f t="shared" ref="I559:I560" si="80">+G559+H559</f>
        <v>0</v>
      </c>
      <c r="J559" s="206"/>
      <c r="Q559" s="166"/>
    </row>
    <row r="560" spans="2:17" ht="13" x14ac:dyDescent="0.25">
      <c r="B560" s="1075">
        <v>2022</v>
      </c>
      <c r="C560" s="1076"/>
      <c r="D560" s="1076"/>
      <c r="E560" s="1077"/>
      <c r="F560" s="275"/>
      <c r="G560" s="176">
        <f>N203</f>
        <v>0</v>
      </c>
      <c r="H560" s="521">
        <f t="shared" ref="H560" si="81">-G560*0.5</f>
        <v>0</v>
      </c>
      <c r="I560" s="176">
        <f t="shared" si="80"/>
        <v>0</v>
      </c>
      <c r="J560" s="206"/>
      <c r="Q560" s="166"/>
    </row>
    <row r="561" spans="2:17" s="273" customFormat="1" ht="13" x14ac:dyDescent="0.25">
      <c r="G561" s="276">
        <f>SUM(G559:G560)</f>
        <v>0</v>
      </c>
      <c r="H561" s="168">
        <f>SUM(H559:H560)</f>
        <v>0</v>
      </c>
      <c r="I561" s="276">
        <f>SUM(I559:I560)</f>
        <v>0</v>
      </c>
    </row>
    <row r="562" spans="2:17" x14ac:dyDescent="0.25">
      <c r="H562" s="214"/>
      <c r="Q562" s="166"/>
    </row>
    <row r="563" spans="2:17" ht="13" x14ac:dyDescent="0.25">
      <c r="B563" s="273" t="s">
        <v>67</v>
      </c>
      <c r="H563" s="214"/>
      <c r="Q563" s="166"/>
    </row>
    <row r="564" spans="2:17" ht="13" x14ac:dyDescent="0.25">
      <c r="B564" s="273" t="s">
        <v>141</v>
      </c>
      <c r="C564" s="216"/>
      <c r="D564" s="216"/>
      <c r="E564" s="216"/>
      <c r="H564" s="214"/>
      <c r="Q564" s="166"/>
    </row>
    <row r="565" spans="2:17" ht="13" x14ac:dyDescent="0.25">
      <c r="B565" s="273"/>
      <c r="C565" s="216"/>
      <c r="D565" s="216"/>
      <c r="E565" s="216"/>
      <c r="H565" s="214"/>
      <c r="Q565" s="166"/>
    </row>
    <row r="566" spans="2:17" ht="13" x14ac:dyDescent="0.25">
      <c r="B566" s="275">
        <v>2021</v>
      </c>
      <c r="C566" s="279">
        <f>+H536</f>
        <v>0</v>
      </c>
      <c r="D566" s="216"/>
      <c r="E566" s="216"/>
      <c r="H566" s="214"/>
      <c r="Q566" s="166"/>
    </row>
    <row r="567" spans="2:17" ht="13" x14ac:dyDescent="0.25">
      <c r="B567" s="275">
        <v>2022</v>
      </c>
      <c r="C567" s="279">
        <f>+H547</f>
        <v>0</v>
      </c>
      <c r="D567" s="216"/>
      <c r="E567" s="216"/>
      <c r="H567" s="214"/>
      <c r="Q567" s="166"/>
    </row>
    <row r="568" spans="2:17" ht="13" x14ac:dyDescent="0.25">
      <c r="B568" s="275">
        <v>2023</v>
      </c>
      <c r="C568" s="279">
        <f>+H554</f>
        <v>0</v>
      </c>
      <c r="D568" s="216"/>
      <c r="E568" s="216"/>
      <c r="H568" s="214"/>
      <c r="Q568" s="166"/>
    </row>
    <row r="569" spans="2:17" ht="13" x14ac:dyDescent="0.25">
      <c r="B569" s="275">
        <v>2024</v>
      </c>
      <c r="C569" s="279">
        <f>+H561</f>
        <v>0</v>
      </c>
      <c r="D569" s="216"/>
      <c r="E569" s="216"/>
      <c r="H569" s="214"/>
      <c r="Q569" s="166"/>
    </row>
    <row r="570" spans="2:17" x14ac:dyDescent="0.25">
      <c r="H570" s="214"/>
      <c r="Q570" s="166"/>
    </row>
    <row r="571" spans="2:17" x14ac:dyDescent="0.25">
      <c r="H571" s="214"/>
      <c r="Q571" s="166"/>
    </row>
    <row r="572" spans="2:17" ht="13" x14ac:dyDescent="0.25">
      <c r="B572" s="321" t="s">
        <v>96</v>
      </c>
      <c r="C572" s="322"/>
      <c r="D572" s="322"/>
      <c r="E572" s="322"/>
      <c r="F572" s="323"/>
      <c r="G572" s="323"/>
      <c r="H572" s="527"/>
      <c r="I572" s="323"/>
      <c r="J572" s="323"/>
      <c r="K572" s="323"/>
      <c r="L572" s="323"/>
      <c r="M572" s="323"/>
      <c r="Q572" s="166"/>
    </row>
    <row r="573" spans="2:17" x14ac:dyDescent="0.25">
      <c r="H573" s="214"/>
      <c r="Q573" s="166"/>
    </row>
    <row r="574" spans="2:17" ht="13" x14ac:dyDescent="0.25">
      <c r="B574" s="273" t="s">
        <v>139</v>
      </c>
      <c r="F574" s="810">
        <v>2017</v>
      </c>
      <c r="H574" s="214"/>
      <c r="Q574" s="166"/>
    </row>
    <row r="575" spans="2:17" x14ac:dyDescent="0.25">
      <c r="H575" s="214"/>
      <c r="L575" s="206"/>
      <c r="Q575" s="166"/>
    </row>
    <row r="576" spans="2:17" ht="82.5" customHeight="1" x14ac:dyDescent="0.25">
      <c r="B576" s="1078" t="s">
        <v>140</v>
      </c>
      <c r="C576" s="1079"/>
      <c r="D576" s="1079"/>
      <c r="E576" s="1080"/>
      <c r="F576" s="274"/>
      <c r="G576" s="165" t="str">
        <f>"Nog af te bouwen regulatoir saldo einde "&amp;F574-1</f>
        <v>Nog af te bouwen regulatoir saldo einde 2016</v>
      </c>
      <c r="H576" s="165" t="str">
        <f>"Afbouw oudste openstaande regulatoir saldo vanaf boekjaar "&amp;F574-3&amp;" en vroeger, door aanwending van compensatie met regulatoir saldo ontstaan over boekjaar "&amp;F574-2</f>
        <v>Afbouw oudste openstaande regulatoir saldo vanaf boekjaar 2014 en vroeger, door aanwending van compensatie met regulatoir saldo ontstaan over boekjaar 2015</v>
      </c>
      <c r="I576" s="165" t="str">
        <f>"Nog af te bouwen regulatoir saldo na compensatie einde "&amp;F574-1</f>
        <v>Nog af te bouwen regulatoir saldo na compensatie einde 2016</v>
      </c>
      <c r="J576" s="165" t="str">
        <f>"Aanwending van "&amp;IF($B$7="elektriciteit","75%",IF($B$7="gas","40%","FALSE"))&amp;" van het geaccumuleerd regulatoir saldo door te rekenen volgens de tariefmethodologie in het boekjaar "&amp;F574</f>
        <v>Aanwending van 75% van het geaccumuleerd regulatoir saldo door te rekenen volgens de tariefmethodologie in het boekjaar 2017</v>
      </c>
      <c r="K576" s="165" t="str">
        <f>"Nog af te bouwen regulatoir saldo einde "&amp;F574</f>
        <v>Nog af te bouwen regulatoir saldo einde 2017</v>
      </c>
      <c r="L576" s="206"/>
      <c r="Q576" s="166"/>
    </row>
    <row r="577" spans="2:17" ht="13" x14ac:dyDescent="0.25">
      <c r="B577" s="1075">
        <v>2015</v>
      </c>
      <c r="C577" s="1076"/>
      <c r="D577" s="1076"/>
      <c r="E577" s="1077"/>
      <c r="F577" s="275"/>
      <c r="G577" s="176">
        <f>G207</f>
        <v>0</v>
      </c>
      <c r="H577" s="521">
        <v>0</v>
      </c>
      <c r="I577" s="176">
        <f>+G577+H577</f>
        <v>0</v>
      </c>
      <c r="J577" s="819">
        <f>-I577*IF($B$7="elektriciteit",0.75,IF($B$7="gas",0.4,"FALSE"))</f>
        <v>0</v>
      </c>
      <c r="K577" s="811">
        <f>+J577+G577</f>
        <v>0</v>
      </c>
      <c r="L577" s="206"/>
      <c r="Q577" s="166"/>
    </row>
    <row r="578" spans="2:17" x14ac:dyDescent="0.25">
      <c r="H578" s="214"/>
      <c r="L578" s="206"/>
      <c r="Q578" s="166"/>
    </row>
    <row r="579" spans="2:17" ht="13" x14ac:dyDescent="0.25">
      <c r="B579" s="273" t="s">
        <v>139</v>
      </c>
      <c r="F579" s="810">
        <v>2018</v>
      </c>
      <c r="H579" s="214"/>
      <c r="Q579" s="166"/>
    </row>
    <row r="580" spans="2:17" x14ac:dyDescent="0.25">
      <c r="H580" s="214"/>
      <c r="Q580" s="166"/>
    </row>
    <row r="581" spans="2:17" ht="69.75" customHeight="1" x14ac:dyDescent="0.25">
      <c r="B581" s="1078" t="s">
        <v>140</v>
      </c>
      <c r="C581" s="1079"/>
      <c r="D581" s="1079"/>
      <c r="E581" s="1080"/>
      <c r="F581" s="274"/>
      <c r="G581" s="165" t="str">
        <f>"Nog af te bouwen regulatoir saldo einde "&amp;F579-1</f>
        <v>Nog af te bouwen regulatoir saldo einde 2017</v>
      </c>
      <c r="H581" s="165" t="str">
        <f>"Afbouw oudste openstaande regulatoir saldo vanaf boekjaar "&amp;F579-3&amp;" en vroeger, door aanwending van compensatie met regulatoir saldo ontstaan over boekjaar "&amp;F579-2</f>
        <v>Afbouw oudste openstaande regulatoir saldo vanaf boekjaar 2015 en vroeger, door aanwending van compensatie met regulatoir saldo ontstaan over boekjaar 2016</v>
      </c>
      <c r="I581" s="165" t="str">
        <f>"Nog af te bouwen regulatoir saldo na compensatie einde "&amp;F579-1</f>
        <v>Nog af te bouwen regulatoir saldo na compensatie einde 2017</v>
      </c>
      <c r="J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K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L581" s="165" t="str">
        <f>"Totale afbouw over "&amp;F579</f>
        <v>Totale afbouw over 2018</v>
      </c>
      <c r="M581" s="165" t="str">
        <f>"Nog af te bouwen regulatoir saldo einde "&amp;F579</f>
        <v>Nog af te bouwen regulatoir saldo einde 2018</v>
      </c>
      <c r="N581" s="206"/>
      <c r="Q581" s="166"/>
    </row>
    <row r="582" spans="2:17" ht="13" x14ac:dyDescent="0.25">
      <c r="B582" s="1075">
        <v>2015</v>
      </c>
      <c r="C582" s="1076"/>
      <c r="D582" s="1076"/>
      <c r="E582" s="1077"/>
      <c r="F582" s="275"/>
      <c r="G582" s="176">
        <f>K577</f>
        <v>0</v>
      </c>
      <c r="H582" s="521">
        <f>IF(SIGN(G583*K577)&lt;0,IF(G582&lt;&gt;0,-SIGN(G582)*MIN(ABS(G583),ABS(G582)),0),0)</f>
        <v>0</v>
      </c>
      <c r="I582" s="176">
        <f>+G582+H582</f>
        <v>0</v>
      </c>
      <c r="J582" s="820"/>
      <c r="K582" s="821">
        <f>-MIN(ABS(I582),ABS(J584))*SIGN(I582)</f>
        <v>0</v>
      </c>
      <c r="L582" s="813">
        <f>+K582+H582</f>
        <v>0</v>
      </c>
      <c r="M582" s="176">
        <f>+I582+K582</f>
        <v>0</v>
      </c>
      <c r="N582" s="206"/>
      <c r="Q582" s="166"/>
    </row>
    <row r="583" spans="2:17" ht="13" x14ac:dyDescent="0.25">
      <c r="B583" s="1075">
        <v>2016</v>
      </c>
      <c r="C583" s="1076"/>
      <c r="D583" s="1076"/>
      <c r="E583" s="1077"/>
      <c r="F583" s="275"/>
      <c r="G583" s="176">
        <f>H208</f>
        <v>0</v>
      </c>
      <c r="H583" s="813">
        <f>IF(SIGN(G583*K577)&lt;0,-H582,0)</f>
        <v>0</v>
      </c>
      <c r="I583" s="176">
        <f>+G583+H583</f>
        <v>0</v>
      </c>
      <c r="J583" s="820"/>
      <c r="K583" s="821">
        <f>-MIN(ABS(I583),ABS(J584-K582))*SIGN(I583)</f>
        <v>0</v>
      </c>
      <c r="L583" s="813">
        <f>+K583+H583</f>
        <v>0</v>
      </c>
      <c r="M583" s="176">
        <f>+I583+K583</f>
        <v>0</v>
      </c>
      <c r="N583" s="206"/>
      <c r="Q583" s="166"/>
    </row>
    <row r="584" spans="2:17" s="273" customFormat="1" ht="13" x14ac:dyDescent="0.3">
      <c r="G584" s="276">
        <f>SUM(G582:G583)</f>
        <v>0</v>
      </c>
      <c r="H584" s="168">
        <f>SUM(H582:H583)</f>
        <v>0</v>
      </c>
      <c r="I584" s="276">
        <f>SUM(I582:I583)</f>
        <v>0</v>
      </c>
      <c r="J584" s="208">
        <f>-I584*IF($B$7="elektriciteit",0.75,IF($B$7="gas",0.4,"FALSE"))</f>
        <v>0</v>
      </c>
      <c r="K584" s="286">
        <f>SUM(K582:K583)</f>
        <v>0</v>
      </c>
      <c r="L584" s="528"/>
      <c r="M584" s="276">
        <f>SUM(M582:M583)</f>
        <v>0</v>
      </c>
    </row>
    <row r="585" spans="2:17" x14ac:dyDescent="0.25">
      <c r="H585" s="214"/>
      <c r="J585" s="12"/>
      <c r="K585" s="12"/>
      <c r="Q585" s="166"/>
    </row>
    <row r="586" spans="2:17" ht="13" x14ac:dyDescent="0.25">
      <c r="B586" s="273" t="s">
        <v>139</v>
      </c>
      <c r="F586" s="810">
        <v>2019</v>
      </c>
      <c r="H586" s="214"/>
      <c r="J586" s="12"/>
      <c r="K586" s="12"/>
      <c r="Q586" s="166"/>
    </row>
    <row r="587" spans="2:17" x14ac:dyDescent="0.25">
      <c r="H587" s="214"/>
      <c r="J587" s="12"/>
      <c r="K587" s="12"/>
      <c r="Q587" s="166"/>
    </row>
    <row r="588" spans="2:17" ht="75.75" customHeight="1" x14ac:dyDescent="0.25">
      <c r="B588" s="1078" t="s">
        <v>140</v>
      </c>
      <c r="C588" s="1079"/>
      <c r="D588" s="1079"/>
      <c r="E588" s="1080"/>
      <c r="F588" s="274"/>
      <c r="G588" s="165" t="str">
        <f>"Nog af te bouwen regulatoir saldo einde "&amp;F586-1</f>
        <v>Nog af te bouwen regulatoir saldo einde 2018</v>
      </c>
      <c r="H588" s="165" t="str">
        <f>"Afbouw oudste openstaande regulatoir saldo vanaf boekjaar "&amp;F586-3&amp;" en vroeger, door aanwending van compensatie met regulatoir saldo ontstaan over boekjaar "&amp;F586-2</f>
        <v>Afbouw oudste openstaande regulatoir saldo vanaf boekjaar 2016 en vroeger, door aanwending van compensatie met regulatoir saldo ontstaan over boekjaar 2017</v>
      </c>
      <c r="I588" s="165" t="str">
        <f>"Nog af te bouwen regulatoir saldo na compensatie einde "&amp;F586-1</f>
        <v>Nog af te bouwen regulatoir saldo na compensatie einde 2018</v>
      </c>
      <c r="J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K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L588" s="165" t="str">
        <f>"Totale afbouw over "&amp;F586</f>
        <v>Totale afbouw over 2019</v>
      </c>
      <c r="M588" s="165" t="str">
        <f>"Nog af te bouwen regulatoir saldo einde "&amp;F586</f>
        <v>Nog af te bouwen regulatoir saldo einde 2019</v>
      </c>
      <c r="N588" s="206"/>
      <c r="Q588" s="166"/>
    </row>
    <row r="589" spans="2:17" ht="13" x14ac:dyDescent="0.25">
      <c r="B589" s="1075">
        <v>2015</v>
      </c>
      <c r="C589" s="1076"/>
      <c r="D589" s="1076"/>
      <c r="E589" s="1077"/>
      <c r="F589" s="275"/>
      <c r="G589" s="176">
        <f>+M582</f>
        <v>0</v>
      </c>
      <c r="H589" s="813">
        <f>IF(SIGN(G591*M584)&lt;0,IF(G589&lt;&gt;0,-SIGN(G589)*MIN(ABS(G591),ABS(G589)),0),0)</f>
        <v>0</v>
      </c>
      <c r="I589" s="176">
        <f>+G589+H589</f>
        <v>0</v>
      </c>
      <c r="J589" s="820"/>
      <c r="K589" s="821">
        <f>-MIN(ABS(I589),ABS(J592))*SIGN(I589)</f>
        <v>0</v>
      </c>
      <c r="L589" s="813">
        <f>+K589+H589</f>
        <v>0</v>
      </c>
      <c r="M589" s="176">
        <f>+I589+K589</f>
        <v>0</v>
      </c>
      <c r="N589" s="206"/>
      <c r="Q589" s="166"/>
    </row>
    <row r="590" spans="2:17" ht="13" x14ac:dyDescent="0.25">
      <c r="B590" s="1075">
        <v>2016</v>
      </c>
      <c r="C590" s="1076"/>
      <c r="D590" s="1076">
        <v>2016</v>
      </c>
      <c r="E590" s="1077"/>
      <c r="F590" s="275"/>
      <c r="G590" s="176">
        <f>+M583</f>
        <v>0</v>
      </c>
      <c r="H590" s="813">
        <f>IF(SIGN(G591*M584)&lt;0,IF(G590&lt;&gt;0,-SIGN(G590)*MIN(ABS(G591-H589),ABS(G590)),0),0)</f>
        <v>0</v>
      </c>
      <c r="I590" s="176">
        <f>+G590+H590</f>
        <v>0</v>
      </c>
      <c r="J590" s="820"/>
      <c r="K590" s="821">
        <f>-MIN(ABS(I590),ABS(J592-K589))*SIGN(I590)</f>
        <v>0</v>
      </c>
      <c r="L590" s="813">
        <f>+K590+H590</f>
        <v>0</v>
      </c>
      <c r="M590" s="176">
        <f>+I590+K590</f>
        <v>0</v>
      </c>
      <c r="N590" s="206"/>
      <c r="Q590" s="166"/>
    </row>
    <row r="591" spans="2:17" ht="13" x14ac:dyDescent="0.25">
      <c r="B591" s="1075">
        <v>2017</v>
      </c>
      <c r="C591" s="1076"/>
      <c r="D591" s="1076"/>
      <c r="E591" s="1077"/>
      <c r="F591" s="275"/>
      <c r="G591" s="176">
        <f>I209</f>
        <v>0</v>
      </c>
      <c r="H591" s="813">
        <f>IF(SIGN(G591*M584)&lt;0,-SUM(H589:H590),0)</f>
        <v>0</v>
      </c>
      <c r="I591" s="176">
        <f>+G591+H591</f>
        <v>0</v>
      </c>
      <c r="J591" s="820"/>
      <c r="K591" s="821">
        <f>-MIN(ABS(I591),ABS(J592-K589-K590))*SIGN(I591)</f>
        <v>0</v>
      </c>
      <c r="L591" s="813">
        <f>+K591+H591</f>
        <v>0</v>
      </c>
      <c r="M591" s="176">
        <f>+I591+K591</f>
        <v>0</v>
      </c>
      <c r="N591" s="206"/>
      <c r="Q591" s="166"/>
    </row>
    <row r="592" spans="2:17" s="273" customFormat="1" ht="13" x14ac:dyDescent="0.3">
      <c r="G592" s="276">
        <f>SUM(G589:G591)</f>
        <v>0</v>
      </c>
      <c r="H592" s="168">
        <f>SUM(H589:H591)</f>
        <v>0</v>
      </c>
      <c r="I592" s="276">
        <f>SUM(I589:I591)</f>
        <v>0</v>
      </c>
      <c r="J592" s="208">
        <f>-I592*IF($B$7="elektriciteit",0.75,IF($B$7="gas",0.4,"FALSE"))</f>
        <v>0</v>
      </c>
      <c r="K592" s="286">
        <f>SUM(K589:K591)</f>
        <v>0</v>
      </c>
      <c r="L592" s="528"/>
      <c r="M592" s="276">
        <f>SUM(M589:M591)</f>
        <v>0</v>
      </c>
    </row>
    <row r="593" spans="2:17" x14ac:dyDescent="0.25">
      <c r="H593" s="214"/>
      <c r="J593" s="12"/>
      <c r="K593" s="12"/>
      <c r="Q593" s="166"/>
    </row>
    <row r="594" spans="2:17" ht="13" x14ac:dyDescent="0.25">
      <c r="B594" s="273" t="s">
        <v>139</v>
      </c>
      <c r="F594" s="810">
        <v>2020</v>
      </c>
      <c r="H594" s="214"/>
      <c r="J594" s="12"/>
      <c r="K594" s="12"/>
      <c r="Q594" s="166"/>
    </row>
    <row r="595" spans="2:17" x14ac:dyDescent="0.25">
      <c r="H595" s="214"/>
      <c r="J595" s="12"/>
      <c r="K595" s="12"/>
      <c r="Q595" s="166"/>
    </row>
    <row r="596" spans="2:17" ht="78" customHeight="1" x14ac:dyDescent="0.25">
      <c r="B596" s="1078" t="s">
        <v>140</v>
      </c>
      <c r="C596" s="1079"/>
      <c r="D596" s="1079"/>
      <c r="E596" s="1080"/>
      <c r="F596" s="274"/>
      <c r="G596" s="165" t="str">
        <f>"Nog af te bouwen regulatoir saldo einde "&amp;F594-1</f>
        <v>Nog af te bouwen regulatoir saldo einde 2019</v>
      </c>
      <c r="H596" s="165" t="str">
        <f>"Afbouw oudste openstaande regulatoir saldo vanaf boekjaar "&amp;F594-3&amp;" en vroeger, door aanwending van compensatie met regulatoir saldo ontstaan over boekjaar "&amp;F594-2</f>
        <v>Afbouw oudste openstaande regulatoir saldo vanaf boekjaar 2017 en vroeger, door aanwending van compensatie met regulatoir saldo ontstaan over boekjaar 2018</v>
      </c>
      <c r="I596" s="165" t="str">
        <f>"Nog af te bouwen regulatoir saldo na compensatie einde "&amp;F594-1</f>
        <v>Nog af te bouwen regulatoir saldo na compensatie einde 2019</v>
      </c>
      <c r="J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K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L596" s="165" t="str">
        <f>"Totale afbouw over "&amp;F594</f>
        <v>Totale afbouw over 2020</v>
      </c>
      <c r="M596" s="165" t="str">
        <f>"Nog af te bouwen regulatoir saldo einde "&amp;F594</f>
        <v>Nog af te bouwen regulatoir saldo einde 2020</v>
      </c>
      <c r="N596" s="206"/>
      <c r="Q596" s="166"/>
    </row>
    <row r="597" spans="2:17" ht="13" x14ac:dyDescent="0.25">
      <c r="B597" s="1075">
        <v>2015</v>
      </c>
      <c r="C597" s="1076"/>
      <c r="D597" s="1076"/>
      <c r="E597" s="1077"/>
      <c r="F597" s="275"/>
      <c r="G597" s="176">
        <f>+M589</f>
        <v>0</v>
      </c>
      <c r="H597" s="813">
        <f>IF(SIGN(G600*M592)&lt;0,IF(G597&lt;&gt;0,-SIGN(G597)*MIN(ABS(G600),ABS(G597)),0),0)</f>
        <v>0</v>
      </c>
      <c r="I597" s="176">
        <f>+G597+H597</f>
        <v>0</v>
      </c>
      <c r="J597" s="820"/>
      <c r="K597" s="821">
        <f>-MIN(ABS(I597),ABS(J601))*SIGN(I597)</f>
        <v>0</v>
      </c>
      <c r="L597" s="813">
        <f>+K597+H597</f>
        <v>0</v>
      </c>
      <c r="M597" s="176">
        <f>+I597+K597</f>
        <v>0</v>
      </c>
      <c r="N597" s="206"/>
      <c r="Q597" s="166"/>
    </row>
    <row r="598" spans="2:17" ht="13" x14ac:dyDescent="0.25">
      <c r="B598" s="1075">
        <v>2016</v>
      </c>
      <c r="C598" s="1076"/>
      <c r="D598" s="1076"/>
      <c r="E598" s="1077"/>
      <c r="F598" s="275"/>
      <c r="G598" s="176">
        <f>+M590</f>
        <v>0</v>
      </c>
      <c r="H598" s="813">
        <f>IF(SIGN(G600*M592)&lt;0,IF(G598&lt;&gt;0,-SIGN(G598)*MIN(ABS(G600-H597),ABS(G598)),0),0)</f>
        <v>0</v>
      </c>
      <c r="I598" s="176">
        <f>+G598+H598</f>
        <v>0</v>
      </c>
      <c r="J598" s="820"/>
      <c r="K598" s="821">
        <f>-MIN(ABS(I598),ABS(J601-K597))*SIGN(I598)</f>
        <v>0</v>
      </c>
      <c r="L598" s="813">
        <f>+K598+H598</f>
        <v>0</v>
      </c>
      <c r="M598" s="176">
        <f>+I598+K598</f>
        <v>0</v>
      </c>
      <c r="N598" s="206"/>
      <c r="Q598" s="166"/>
    </row>
    <row r="599" spans="2:17" ht="13" x14ac:dyDescent="0.25">
      <c r="B599" s="1075">
        <v>2017</v>
      </c>
      <c r="C599" s="1076"/>
      <c r="D599" s="1076">
        <v>2016</v>
      </c>
      <c r="E599" s="1077"/>
      <c r="F599" s="275"/>
      <c r="G599" s="176">
        <f>+M591</f>
        <v>0</v>
      </c>
      <c r="H599" s="813">
        <f>IF(SIGN(G600*M592)&lt;0,IF(G599&lt;&gt;0,-SIGN(G599)*MIN(ABS(G600-H597-H598),ABS(G599)),0),0)</f>
        <v>0</v>
      </c>
      <c r="I599" s="176">
        <f>+G599+H599</f>
        <v>0</v>
      </c>
      <c r="J599" s="820"/>
      <c r="K599" s="821">
        <f>-MIN(ABS(I599),ABS(J601-K597-K598))*SIGN(I599)</f>
        <v>0</v>
      </c>
      <c r="L599" s="813">
        <f>+K599+H599</f>
        <v>0</v>
      </c>
      <c r="M599" s="176">
        <f>+I599+K599</f>
        <v>0</v>
      </c>
      <c r="N599" s="206"/>
      <c r="Q599" s="166"/>
    </row>
    <row r="600" spans="2:17" ht="13" x14ac:dyDescent="0.25">
      <c r="B600" s="1075">
        <v>2018</v>
      </c>
      <c r="C600" s="1076"/>
      <c r="D600" s="1076"/>
      <c r="E600" s="1077"/>
      <c r="F600" s="275"/>
      <c r="G600" s="176">
        <f>J210</f>
        <v>0</v>
      </c>
      <c r="H600" s="813">
        <f>IF(SIGN(G600*M592)&lt;0,-SUM(H597:H599),0)</f>
        <v>0</v>
      </c>
      <c r="I600" s="176">
        <f>+G600+H600</f>
        <v>0</v>
      </c>
      <c r="J600" s="820"/>
      <c r="K600" s="821">
        <f>-MIN(ABS(I600),ABS(J601-K597-K598-K599))*SIGN(I600)</f>
        <v>0</v>
      </c>
      <c r="L600" s="813">
        <f>+K600+H600</f>
        <v>0</v>
      </c>
      <c r="M600" s="176">
        <f>+I600+K600</f>
        <v>0</v>
      </c>
      <c r="N600" s="206"/>
      <c r="Q600" s="166"/>
    </row>
    <row r="601" spans="2:17" s="273" customFormat="1" ht="13" x14ac:dyDescent="0.3">
      <c r="G601" s="276">
        <f>SUM(G597:G600)</f>
        <v>0</v>
      </c>
      <c r="H601" s="168">
        <f>SUM(H597:H600)</f>
        <v>0</v>
      </c>
      <c r="I601" s="276">
        <f>SUM(I597:I600)</f>
        <v>0</v>
      </c>
      <c r="J601" s="208">
        <f>-I601*IF($B$7="elektriciteit",0.75,IF($B$7="gas",0.4,"FALSE"))</f>
        <v>0</v>
      </c>
      <c r="K601" s="286">
        <f>SUM(K597:K600)</f>
        <v>0</v>
      </c>
      <c r="L601" s="168"/>
      <c r="M601" s="276">
        <f>SUM(M597:M600)</f>
        <v>0</v>
      </c>
    </row>
    <row r="602" spans="2:17" x14ac:dyDescent="0.25">
      <c r="H602" s="214"/>
      <c r="J602" s="12"/>
      <c r="K602" s="529"/>
      <c r="L602" s="214"/>
      <c r="Q602" s="166"/>
    </row>
    <row r="603" spans="2:17" ht="13" x14ac:dyDescent="0.25">
      <c r="B603" s="273" t="s">
        <v>139</v>
      </c>
      <c r="F603" s="810">
        <v>2021</v>
      </c>
      <c r="H603" s="214"/>
      <c r="Q603" s="166"/>
    </row>
    <row r="604" spans="2:17" x14ac:dyDescent="0.25">
      <c r="H604" s="214"/>
      <c r="Q604" s="166"/>
    </row>
    <row r="605" spans="2:17" ht="78" customHeight="1" x14ac:dyDescent="0.25">
      <c r="B605" s="1078" t="s">
        <v>140</v>
      </c>
      <c r="C605" s="1079"/>
      <c r="D605" s="1079"/>
      <c r="E605" s="1080"/>
      <c r="F605" s="274"/>
      <c r="G605" s="165" t="str">
        <f>"Nog af te bouwen regulatoir saldo einde "&amp;F603-1</f>
        <v>Nog af te bouwen regulatoir saldo einde 2020</v>
      </c>
      <c r="H605" s="165" t="str">
        <f>"50% van het oorspronkelijk regulatoir saldo door te rekenen volgens de tariefmethodologie in het boekjaar "&amp;F603</f>
        <v>50% van het oorspronkelijk regulatoir saldo door te rekenen volgens de tariefmethodologie in het boekjaar 2021</v>
      </c>
      <c r="I605" s="165" t="str">
        <f>"Nog af te bouwen regulatoir saldo einde "&amp;F603</f>
        <v>Nog af te bouwen regulatoir saldo einde 2021</v>
      </c>
      <c r="J605" s="206"/>
      <c r="Q605" s="166"/>
    </row>
    <row r="606" spans="2:17" ht="13" x14ac:dyDescent="0.25">
      <c r="B606" s="1075">
        <v>2015</v>
      </c>
      <c r="C606" s="1076"/>
      <c r="D606" s="1076"/>
      <c r="E606" s="1077"/>
      <c r="F606" s="275"/>
      <c r="G606" s="176">
        <f>M597</f>
        <v>0</v>
      </c>
      <c r="H606" s="521">
        <f>-G606*0.5</f>
        <v>0</v>
      </c>
      <c r="I606" s="176">
        <f>+G606+H606</f>
        <v>0</v>
      </c>
      <c r="J606" s="206"/>
      <c r="Q606" s="166"/>
    </row>
    <row r="607" spans="2:17" ht="13" x14ac:dyDescent="0.25">
      <c r="B607" s="1075">
        <v>2016</v>
      </c>
      <c r="C607" s="1076"/>
      <c r="D607" s="1076"/>
      <c r="E607" s="1077"/>
      <c r="F607" s="275"/>
      <c r="G607" s="176">
        <f t="shared" ref="G607:G609" si="82">M598</f>
        <v>0</v>
      </c>
      <c r="H607" s="521">
        <f t="shared" ref="H607:H610" si="83">-G607*0.5</f>
        <v>0</v>
      </c>
      <c r="I607" s="176">
        <f t="shared" ref="I607:I610" si="84">+G607+H607</f>
        <v>0</v>
      </c>
      <c r="J607" s="206"/>
      <c r="Q607" s="166"/>
    </row>
    <row r="608" spans="2:17" ht="13" x14ac:dyDescent="0.25">
      <c r="B608" s="1075">
        <v>2017</v>
      </c>
      <c r="C608" s="1076"/>
      <c r="D608" s="1076">
        <v>2016</v>
      </c>
      <c r="E608" s="1077"/>
      <c r="F608" s="275"/>
      <c r="G608" s="176">
        <f t="shared" si="82"/>
        <v>0</v>
      </c>
      <c r="H608" s="521">
        <f t="shared" si="83"/>
        <v>0</v>
      </c>
      <c r="I608" s="176">
        <f t="shared" si="84"/>
        <v>0</v>
      </c>
      <c r="J608" s="206"/>
      <c r="Q608" s="166"/>
    </row>
    <row r="609" spans="2:17" ht="13" x14ac:dyDescent="0.25">
      <c r="B609" s="1075">
        <v>2018</v>
      </c>
      <c r="C609" s="1076"/>
      <c r="D609" s="1076"/>
      <c r="E609" s="1077"/>
      <c r="F609" s="275"/>
      <c r="G609" s="176">
        <f t="shared" si="82"/>
        <v>0</v>
      </c>
      <c r="H609" s="521">
        <f t="shared" si="83"/>
        <v>0</v>
      </c>
      <c r="I609" s="176">
        <f t="shared" si="84"/>
        <v>0</v>
      </c>
      <c r="J609" s="206"/>
      <c r="Q609" s="166"/>
    </row>
    <row r="610" spans="2:17" ht="13" x14ac:dyDescent="0.25">
      <c r="B610" s="1075">
        <v>2019</v>
      </c>
      <c r="C610" s="1076"/>
      <c r="D610" s="1076"/>
      <c r="E610" s="1077"/>
      <c r="F610" s="275"/>
      <c r="G610" s="176">
        <f>K211</f>
        <v>0</v>
      </c>
      <c r="H610" s="521">
        <f t="shared" si="83"/>
        <v>0</v>
      </c>
      <c r="I610" s="176">
        <f t="shared" si="84"/>
        <v>0</v>
      </c>
      <c r="J610" s="206"/>
      <c r="Q610" s="166"/>
    </row>
    <row r="611" spans="2:17" s="273" customFormat="1" ht="13" x14ac:dyDescent="0.25">
      <c r="G611" s="276">
        <f>SUM(G606:G610)</f>
        <v>0</v>
      </c>
      <c r="H611" s="168">
        <f>SUM(H606:H610)</f>
        <v>0</v>
      </c>
      <c r="I611" s="276">
        <f>SUM(I606:I610)</f>
        <v>0</v>
      </c>
    </row>
    <row r="612" spans="2:17" x14ac:dyDescent="0.25">
      <c r="H612" s="214"/>
      <c r="Q612" s="166"/>
    </row>
    <row r="613" spans="2:17" ht="13" x14ac:dyDescent="0.25">
      <c r="B613" s="273" t="s">
        <v>139</v>
      </c>
      <c r="F613" s="810">
        <v>2022</v>
      </c>
      <c r="H613" s="214"/>
      <c r="Q613" s="166"/>
    </row>
    <row r="614" spans="2:17" x14ac:dyDescent="0.25">
      <c r="H614" s="214"/>
      <c r="Q614" s="166"/>
    </row>
    <row r="615" spans="2:17" ht="78" customHeight="1" x14ac:dyDescent="0.25">
      <c r="B615" s="1078" t="s">
        <v>140</v>
      </c>
      <c r="C615" s="1079"/>
      <c r="D615" s="1079"/>
      <c r="E615" s="1080"/>
      <c r="F615" s="274"/>
      <c r="G615" s="165" t="str">
        <f>"Nog af te bouwen regulatoir saldo einde "&amp;F613-1</f>
        <v>Nog af te bouwen regulatoir saldo einde 2021</v>
      </c>
      <c r="H615" s="165" t="str">
        <f>"50% van het oorspronkelijk regulatoir saldo door te rekenen volgens de tariefmethodologie in het boekjaar "&amp;F613</f>
        <v>50% van het oorspronkelijk regulatoir saldo door te rekenen volgens de tariefmethodologie in het boekjaar 2022</v>
      </c>
      <c r="I615" s="165" t="str">
        <f>"Nog af te bouwen regulatoir saldo einde "&amp;F613</f>
        <v>Nog af te bouwen regulatoir saldo einde 2022</v>
      </c>
      <c r="J615" s="206"/>
      <c r="Q615" s="166"/>
    </row>
    <row r="616" spans="2:17" ht="13" x14ac:dyDescent="0.25">
      <c r="B616" s="1075">
        <v>2015</v>
      </c>
      <c r="C616" s="1076"/>
      <c r="D616" s="1076"/>
      <c r="E616" s="1077"/>
      <c r="F616" s="275"/>
      <c r="G616" s="176">
        <f>+I606</f>
        <v>0</v>
      </c>
      <c r="H616" s="521">
        <f>-G606*0.5</f>
        <v>0</v>
      </c>
      <c r="I616" s="176">
        <f>+G616+H616</f>
        <v>0</v>
      </c>
      <c r="J616" s="206"/>
      <c r="Q616" s="166"/>
    </row>
    <row r="617" spans="2:17" ht="13" x14ac:dyDescent="0.25">
      <c r="B617" s="1075">
        <v>2016</v>
      </c>
      <c r="C617" s="1076"/>
      <c r="D617" s="1076"/>
      <c r="E617" s="1077"/>
      <c r="F617" s="275"/>
      <c r="G617" s="176">
        <f t="shared" ref="G617:G620" si="85">+I607</f>
        <v>0</v>
      </c>
      <c r="H617" s="521">
        <f t="shared" ref="H617:H620" si="86">-G607*0.5</f>
        <v>0</v>
      </c>
      <c r="I617" s="176">
        <f t="shared" ref="I617:I621" si="87">+G617+H617</f>
        <v>0</v>
      </c>
      <c r="J617" s="206"/>
      <c r="Q617" s="166"/>
    </row>
    <row r="618" spans="2:17" ht="13" x14ac:dyDescent="0.25">
      <c r="B618" s="1075">
        <v>2017</v>
      </c>
      <c r="C618" s="1076"/>
      <c r="D618" s="1076">
        <v>2016</v>
      </c>
      <c r="E618" s="1077"/>
      <c r="F618" s="275"/>
      <c r="G618" s="176">
        <f t="shared" si="85"/>
        <v>0</v>
      </c>
      <c r="H618" s="521">
        <f t="shared" si="86"/>
        <v>0</v>
      </c>
      <c r="I618" s="176">
        <f t="shared" si="87"/>
        <v>0</v>
      </c>
      <c r="J618" s="206"/>
      <c r="Q618" s="166"/>
    </row>
    <row r="619" spans="2:17" ht="13" x14ac:dyDescent="0.25">
      <c r="B619" s="1075">
        <v>2018</v>
      </c>
      <c r="C619" s="1076"/>
      <c r="D619" s="1076"/>
      <c r="E619" s="1077"/>
      <c r="F619" s="275"/>
      <c r="G619" s="176">
        <f t="shared" si="85"/>
        <v>0</v>
      </c>
      <c r="H619" s="521">
        <f t="shared" si="86"/>
        <v>0</v>
      </c>
      <c r="I619" s="176">
        <f t="shared" si="87"/>
        <v>0</v>
      </c>
      <c r="J619" s="206"/>
      <c r="Q619" s="166"/>
    </row>
    <row r="620" spans="2:17" ht="13" x14ac:dyDescent="0.25">
      <c r="B620" s="1075">
        <v>2019</v>
      </c>
      <c r="C620" s="1076"/>
      <c r="D620" s="1076"/>
      <c r="E620" s="1077"/>
      <c r="F620" s="275"/>
      <c r="G620" s="176">
        <f t="shared" si="85"/>
        <v>0</v>
      </c>
      <c r="H620" s="521">
        <f t="shared" si="86"/>
        <v>0</v>
      </c>
      <c r="I620" s="176">
        <f t="shared" si="87"/>
        <v>0</v>
      </c>
      <c r="J620" s="206"/>
      <c r="Q620" s="166"/>
    </row>
    <row r="621" spans="2:17" ht="13" x14ac:dyDescent="0.25">
      <c r="B621" s="1075">
        <v>2020</v>
      </c>
      <c r="C621" s="1076"/>
      <c r="D621" s="1076"/>
      <c r="E621" s="1077"/>
      <c r="F621" s="275"/>
      <c r="G621" s="176">
        <f>L212</f>
        <v>0</v>
      </c>
      <c r="H621" s="521">
        <f t="shared" ref="H621" si="88">-G621*0.5</f>
        <v>0</v>
      </c>
      <c r="I621" s="176">
        <f t="shared" si="87"/>
        <v>0</v>
      </c>
      <c r="J621" s="206"/>
      <c r="Q621" s="166"/>
    </row>
    <row r="622" spans="2:17" s="273" customFormat="1" ht="13" x14ac:dyDescent="0.25">
      <c r="G622" s="276">
        <f>SUM(G616:G621)</f>
        <v>0</v>
      </c>
      <c r="H622" s="168">
        <f t="shared" ref="H622:I622" si="89">SUM(H616:H621)</f>
        <v>0</v>
      </c>
      <c r="I622" s="276">
        <f t="shared" si="89"/>
        <v>0</v>
      </c>
    </row>
    <row r="623" spans="2:17" x14ac:dyDescent="0.25">
      <c r="H623" s="214"/>
      <c r="Q623" s="166"/>
    </row>
    <row r="624" spans="2:17" ht="13" x14ac:dyDescent="0.25">
      <c r="B624" s="273" t="s">
        <v>202</v>
      </c>
      <c r="F624" s="810">
        <v>2023</v>
      </c>
      <c r="H624" s="214"/>
      <c r="Q624" s="166"/>
    </row>
    <row r="625" spans="2:17" x14ac:dyDescent="0.25">
      <c r="H625" s="214"/>
      <c r="Q625" s="166"/>
    </row>
    <row r="626" spans="2:17" ht="78" customHeight="1" x14ac:dyDescent="0.25">
      <c r="B626" s="1078" t="s">
        <v>140</v>
      </c>
      <c r="C626" s="1079"/>
      <c r="D626" s="1079"/>
      <c r="E626" s="1080"/>
      <c r="F626" s="274"/>
      <c r="G626" s="165" t="str">
        <f>"Nog af te bouwen regulatoir saldo einde "&amp;F624-1</f>
        <v>Nog af te bouwen regulatoir saldo einde 2022</v>
      </c>
      <c r="H626" s="165" t="str">
        <f>"50% van het oorspronkelijk regulatoir saldo door te rekenen volgens de tariefmethodologie in het boekjaar "&amp;F624</f>
        <v>50% van het oorspronkelijk regulatoir saldo door te rekenen volgens de tariefmethodologie in het boekjaar 2023</v>
      </c>
      <c r="I626" s="165" t="str">
        <f>"Nog af te bouwen regulatoir saldo einde "&amp;F624</f>
        <v>Nog af te bouwen regulatoir saldo einde 2023</v>
      </c>
      <c r="J626" s="206"/>
      <c r="Q626" s="166"/>
    </row>
    <row r="627" spans="2:17" ht="13" x14ac:dyDescent="0.25">
      <c r="B627" s="1075">
        <v>2020</v>
      </c>
      <c r="C627" s="1076"/>
      <c r="D627" s="1076"/>
      <c r="E627" s="1077"/>
      <c r="F627" s="275"/>
      <c r="G627" s="176">
        <f>+I621</f>
        <v>0</v>
      </c>
      <c r="H627" s="521">
        <f>-G621*0.5</f>
        <v>0</v>
      </c>
      <c r="I627" s="176">
        <f t="shared" ref="I627:I628" si="90">+G627+H627</f>
        <v>0</v>
      </c>
      <c r="J627" s="206"/>
      <c r="Q627" s="166"/>
    </row>
    <row r="628" spans="2:17" ht="13" x14ac:dyDescent="0.25">
      <c r="B628" s="1075">
        <v>2021</v>
      </c>
      <c r="C628" s="1076"/>
      <c r="D628" s="1076"/>
      <c r="E628" s="1077"/>
      <c r="F628" s="275"/>
      <c r="G628" s="176">
        <f>M213</f>
        <v>0</v>
      </c>
      <c r="H628" s="521">
        <f t="shared" ref="H628" si="91">-G628*0.5</f>
        <v>0</v>
      </c>
      <c r="I628" s="176">
        <f t="shared" si="90"/>
        <v>0</v>
      </c>
      <c r="J628" s="206"/>
      <c r="Q628" s="166"/>
    </row>
    <row r="629" spans="2:17" s="273" customFormat="1" ht="13" x14ac:dyDescent="0.25">
      <c r="G629" s="276">
        <f>SUM(G627:G628)</f>
        <v>0</v>
      </c>
      <c r="H629" s="168">
        <f>SUM(H627:H628)</f>
        <v>0</v>
      </c>
      <c r="I629" s="276">
        <f>SUM(I627:I628)</f>
        <v>0</v>
      </c>
    </row>
    <row r="630" spans="2:17" x14ac:dyDescent="0.25">
      <c r="H630" s="214"/>
      <c r="Q630" s="166"/>
    </row>
    <row r="631" spans="2:17" ht="13" x14ac:dyDescent="0.25">
      <c r="B631" s="273" t="s">
        <v>139</v>
      </c>
      <c r="F631" s="810">
        <v>2024</v>
      </c>
      <c r="H631" s="214"/>
      <c r="Q631" s="166"/>
    </row>
    <row r="632" spans="2:17" x14ac:dyDescent="0.25">
      <c r="H632" s="214"/>
      <c r="Q632" s="166"/>
    </row>
    <row r="633" spans="2:17" ht="78" customHeight="1" x14ac:dyDescent="0.25">
      <c r="B633" s="1078" t="s">
        <v>140</v>
      </c>
      <c r="C633" s="1079"/>
      <c r="D633" s="1079"/>
      <c r="E633" s="1080"/>
      <c r="F633" s="274"/>
      <c r="G633" s="165" t="str">
        <f>"Nog af te bouwen regulatoir saldo einde "&amp;F631-1</f>
        <v>Nog af te bouwen regulatoir saldo einde 2023</v>
      </c>
      <c r="H633" s="165" t="str">
        <f>"50% van het oorspronkelijk regulatoir saldo door te rekenen volgens de tariefmethodologie in het boekjaar "&amp;F631</f>
        <v>50% van het oorspronkelijk regulatoir saldo door te rekenen volgens de tariefmethodologie in het boekjaar 2024</v>
      </c>
      <c r="I633" s="165" t="str">
        <f>"Nog af te bouwen regulatoir saldo einde "&amp;F631</f>
        <v>Nog af te bouwen regulatoir saldo einde 2024</v>
      </c>
      <c r="J633" s="206"/>
      <c r="Q633" s="166"/>
    </row>
    <row r="634" spans="2:17" ht="13" x14ac:dyDescent="0.25">
      <c r="B634" s="1075">
        <v>2021</v>
      </c>
      <c r="C634" s="1076"/>
      <c r="D634" s="1076"/>
      <c r="E634" s="1077"/>
      <c r="F634" s="275"/>
      <c r="G634" s="176">
        <f>+I628</f>
        <v>0</v>
      </c>
      <c r="H634" s="521">
        <f>-G628*0.5</f>
        <v>0</v>
      </c>
      <c r="I634" s="176">
        <f t="shared" ref="I634" si="92">+G634+H634</f>
        <v>0</v>
      </c>
      <c r="J634" s="206"/>
      <c r="Q634" s="166"/>
    </row>
    <row r="635" spans="2:17" s="273" customFormat="1" ht="13" x14ac:dyDescent="0.25">
      <c r="G635" s="276">
        <f>SUM(G634:G634)</f>
        <v>0</v>
      </c>
      <c r="H635" s="168">
        <f>SUM(H634:H634)</f>
        <v>0</v>
      </c>
      <c r="I635" s="276">
        <f>SUM(I634:I634)</f>
        <v>0</v>
      </c>
    </row>
    <row r="636" spans="2:17" x14ac:dyDescent="0.25">
      <c r="H636" s="214"/>
      <c r="Q636" s="166"/>
    </row>
    <row r="637" spans="2:17" ht="13" x14ac:dyDescent="0.25">
      <c r="B637" s="273" t="s">
        <v>96</v>
      </c>
      <c r="C637" s="216"/>
      <c r="D637" s="216"/>
      <c r="E637" s="216"/>
      <c r="H637" s="214"/>
      <c r="Q637" s="166"/>
    </row>
    <row r="638" spans="2:17" ht="13" x14ac:dyDescent="0.25">
      <c r="B638" s="273" t="s">
        <v>141</v>
      </c>
      <c r="C638" s="216"/>
      <c r="D638" s="216"/>
      <c r="E638" s="216"/>
      <c r="H638" s="214"/>
      <c r="Q638" s="166"/>
    </row>
    <row r="639" spans="2:17" ht="13" x14ac:dyDescent="0.25">
      <c r="B639" s="273"/>
      <c r="C639" s="216"/>
      <c r="D639" s="216"/>
      <c r="E639" s="216"/>
      <c r="H639" s="214"/>
      <c r="Q639" s="166"/>
    </row>
    <row r="640" spans="2:17" ht="13" x14ac:dyDescent="0.25">
      <c r="B640" s="275">
        <v>2021</v>
      </c>
      <c r="C640" s="279">
        <f>+H611</f>
        <v>0</v>
      </c>
      <c r="D640" s="216"/>
      <c r="E640" s="216"/>
      <c r="H640" s="214"/>
      <c r="Q640" s="166"/>
    </row>
    <row r="641" spans="2:17" ht="13" x14ac:dyDescent="0.25">
      <c r="B641" s="275">
        <v>2022</v>
      </c>
      <c r="C641" s="279">
        <f>+H622</f>
        <v>0</v>
      </c>
      <c r="D641" s="216"/>
      <c r="E641" s="216"/>
      <c r="H641" s="214"/>
      <c r="Q641" s="166"/>
    </row>
    <row r="642" spans="2:17" ht="13" x14ac:dyDescent="0.25">
      <c r="B642" s="275">
        <v>2023</v>
      </c>
      <c r="C642" s="279">
        <f>+H629</f>
        <v>0</v>
      </c>
      <c r="D642" s="216"/>
      <c r="E642" s="216"/>
      <c r="H642" s="214"/>
      <c r="Q642" s="166"/>
    </row>
    <row r="643" spans="2:17" ht="13" x14ac:dyDescent="0.25">
      <c r="B643" s="275">
        <v>2024</v>
      </c>
      <c r="C643" s="279">
        <f>+H635</f>
        <v>0</v>
      </c>
      <c r="D643" s="216"/>
      <c r="E643" s="216"/>
      <c r="H643" s="214"/>
      <c r="Q643" s="166"/>
    </row>
    <row r="644" spans="2:17" x14ac:dyDescent="0.25">
      <c r="H644" s="214"/>
      <c r="Q644" s="166"/>
    </row>
    <row r="645" spans="2:17" x14ac:dyDescent="0.25">
      <c r="H645" s="214"/>
      <c r="Q645" s="166"/>
    </row>
    <row r="646" spans="2:17" ht="12.75" customHeight="1" x14ac:dyDescent="0.25">
      <c r="B646" s="321" t="s">
        <v>357</v>
      </c>
      <c r="C646" s="322"/>
      <c r="D646" s="322"/>
      <c r="E646" s="322"/>
      <c r="F646" s="323"/>
      <c r="G646" s="323"/>
      <c r="H646" s="527"/>
      <c r="I646" s="323"/>
      <c r="J646" s="323"/>
      <c r="K646" s="323"/>
      <c r="L646" s="323"/>
      <c r="M646" s="323"/>
      <c r="Q646" s="166"/>
    </row>
    <row r="647" spans="2:17" x14ac:dyDescent="0.25">
      <c r="H647" s="214"/>
      <c r="Q647" s="166"/>
    </row>
    <row r="648" spans="2:17" ht="13" x14ac:dyDescent="0.25">
      <c r="B648" s="273" t="s">
        <v>139</v>
      </c>
      <c r="F648" s="810">
        <v>2017</v>
      </c>
      <c r="H648" s="214"/>
      <c r="Q648" s="166"/>
    </row>
    <row r="649" spans="2:17" x14ac:dyDescent="0.25">
      <c r="H649" s="214"/>
      <c r="L649" s="206"/>
      <c r="Q649" s="166"/>
    </row>
    <row r="650" spans="2:17" ht="82.5" customHeight="1" x14ac:dyDescent="0.25">
      <c r="B650" s="1078" t="s">
        <v>140</v>
      </c>
      <c r="C650" s="1079"/>
      <c r="D650" s="1079"/>
      <c r="E650" s="1080"/>
      <c r="F650" s="274"/>
      <c r="G650" s="165" t="str">
        <f>"Nog af te bouwen regulatoir saldo einde "&amp;F648-1</f>
        <v>Nog af te bouwen regulatoir saldo einde 2016</v>
      </c>
      <c r="H650" s="165" t="str">
        <f>"Afbouw oudste openstaande regulatoir saldo vanaf boekjaar "&amp;F648-3&amp;" en vroeger, door aanwending van compensatie met regulatoir saldo ontstaan over boekjaar "&amp;F648-2</f>
        <v>Afbouw oudste openstaande regulatoir saldo vanaf boekjaar 2014 en vroeger, door aanwending van compensatie met regulatoir saldo ontstaan over boekjaar 2015</v>
      </c>
      <c r="I650" s="165" t="str">
        <f>"Nog af te bouwen regulatoir saldo na compensatie einde "&amp;F648-1</f>
        <v>Nog af te bouwen regulatoir saldo na compensatie einde 2016</v>
      </c>
      <c r="J650" s="165" t="str">
        <f>"Aanwending van "&amp;IF($B$7="elektriciteit","75%",IF($B$7="gas","40%","FALSE"))&amp;" van het geaccumuleerd regulatoir saldo door te rekenen volgens de tariefmethodologie in het boekjaar "&amp;F648</f>
        <v>Aanwending van 75% van het geaccumuleerd regulatoir saldo door te rekenen volgens de tariefmethodologie in het boekjaar 2017</v>
      </c>
      <c r="K650" s="165" t="str">
        <f>"Nog af te bouwen regulatoir saldo einde "&amp;F648</f>
        <v>Nog af te bouwen regulatoir saldo einde 2017</v>
      </c>
      <c r="L650" s="206"/>
      <c r="Q650" s="166"/>
    </row>
    <row r="651" spans="2:17" ht="13" x14ac:dyDescent="0.25">
      <c r="B651" s="1075">
        <v>2015</v>
      </c>
      <c r="C651" s="1076"/>
      <c r="D651" s="1076"/>
      <c r="E651" s="1077"/>
      <c r="F651" s="275"/>
      <c r="G651" s="176">
        <f>G218</f>
        <v>0</v>
      </c>
      <c r="H651" s="521">
        <v>0</v>
      </c>
      <c r="I651" s="176">
        <f>+G651+H651</f>
        <v>0</v>
      </c>
      <c r="J651" s="176">
        <f>-I651*IF($B$7="elektriciteit",0.75,IF($B$7="gas",0.4,"FALSE"))</f>
        <v>0</v>
      </c>
      <c r="K651" s="811">
        <f>+J651+G651</f>
        <v>0</v>
      </c>
      <c r="L651" s="206"/>
      <c r="Q651" s="166"/>
    </row>
    <row r="652" spans="2:17" x14ac:dyDescent="0.25">
      <c r="H652" s="214"/>
      <c r="L652" s="206"/>
      <c r="Q652" s="166"/>
    </row>
    <row r="653" spans="2:17" ht="13" x14ac:dyDescent="0.25">
      <c r="B653" s="273" t="s">
        <v>139</v>
      </c>
      <c r="F653" s="810">
        <v>2018</v>
      </c>
      <c r="H653" s="214"/>
      <c r="Q653" s="166"/>
    </row>
    <row r="654" spans="2:17" x14ac:dyDescent="0.25">
      <c r="H654" s="214"/>
      <c r="Q654" s="166"/>
    </row>
    <row r="655" spans="2:17" ht="69.75" customHeight="1" x14ac:dyDescent="0.25">
      <c r="B655" s="1078" t="s">
        <v>140</v>
      </c>
      <c r="C655" s="1079"/>
      <c r="D655" s="1079"/>
      <c r="E655" s="1080"/>
      <c r="F655" s="274"/>
      <c r="G655" s="165" t="str">
        <f>"Nog af te bouwen regulatoir saldo einde "&amp;F653-1</f>
        <v>Nog af te bouwen regulatoir saldo einde 2017</v>
      </c>
      <c r="H655" s="165" t="str">
        <f>"Afbouw oudste openstaande regulatoir saldo vanaf boekjaar "&amp;F653-3&amp;" en vroeger, door aanwending van compensatie met regulatoir saldo ontstaan over boekjaar "&amp;F653-2</f>
        <v>Afbouw oudste openstaande regulatoir saldo vanaf boekjaar 2015 en vroeger, door aanwending van compensatie met regulatoir saldo ontstaan over boekjaar 2016</v>
      </c>
      <c r="I655" s="165" t="str">
        <f>"Nog af te bouwen regulatoir saldo na compensatie einde "&amp;F653-1</f>
        <v>Nog af te bouwen regulatoir saldo na compensatie einde 2017</v>
      </c>
      <c r="J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K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L655" s="165" t="str">
        <f>"Totale afbouw over "&amp;F653</f>
        <v>Totale afbouw over 2018</v>
      </c>
      <c r="M655" s="165" t="str">
        <f>"Nog af te bouwen regulatoir saldo einde "&amp;F653</f>
        <v>Nog af te bouwen regulatoir saldo einde 2018</v>
      </c>
      <c r="N655" s="206"/>
      <c r="Q655" s="166"/>
    </row>
    <row r="656" spans="2:17" ht="13" x14ac:dyDescent="0.25">
      <c r="B656" s="1075">
        <v>2015</v>
      </c>
      <c r="C656" s="1076"/>
      <c r="D656" s="1076"/>
      <c r="E656" s="1077"/>
      <c r="F656" s="275"/>
      <c r="G656" s="176">
        <f>K651</f>
        <v>0</v>
      </c>
      <c r="H656" s="521">
        <f>IF(SIGN(G657*K651)&lt;0,IF(G656&lt;&gt;0,-SIGN(G656)*MIN(ABS(G657),ABS(G656)),0),0)</f>
        <v>0</v>
      </c>
      <c r="I656" s="176">
        <f>+G656+H656</f>
        <v>0</v>
      </c>
      <c r="J656" s="806"/>
      <c r="K656" s="521">
        <f>-MIN(ABS(I656),ABS(J658))*SIGN(I656)</f>
        <v>0</v>
      </c>
      <c r="L656" s="813">
        <f>+K656+H656</f>
        <v>0</v>
      </c>
      <c r="M656" s="176">
        <f>+I656+K656</f>
        <v>0</v>
      </c>
      <c r="N656" s="206"/>
      <c r="Q656" s="166"/>
    </row>
    <row r="657" spans="2:17" ht="13" x14ac:dyDescent="0.25">
      <c r="B657" s="1075">
        <v>2016</v>
      </c>
      <c r="C657" s="1076"/>
      <c r="D657" s="1076"/>
      <c r="E657" s="1077"/>
      <c r="F657" s="275"/>
      <c r="G657" s="176">
        <f>H219</f>
        <v>0</v>
      </c>
      <c r="H657" s="813">
        <f>IF(SIGN(G657*K651)&lt;0,-H656,0)</f>
        <v>0</v>
      </c>
      <c r="I657" s="176">
        <f>+G657+H657</f>
        <v>0</v>
      </c>
      <c r="J657" s="806"/>
      <c r="K657" s="521">
        <f>-MIN(ABS(I657),ABS(J658-K656))*SIGN(I657)</f>
        <v>0</v>
      </c>
      <c r="L657" s="813">
        <f>+K657+H657</f>
        <v>0</v>
      </c>
      <c r="M657" s="176">
        <f>+I657+K657</f>
        <v>0</v>
      </c>
      <c r="N657" s="206"/>
      <c r="Q657" s="166"/>
    </row>
    <row r="658" spans="2:17" s="273" customFormat="1" ht="13" x14ac:dyDescent="0.25">
      <c r="G658" s="276">
        <f>SUM(G656:G657)</f>
        <v>0</v>
      </c>
      <c r="H658" s="168">
        <f>SUM(H656:H657)</f>
        <v>0</v>
      </c>
      <c r="I658" s="276">
        <f>SUM(I656:I657)</f>
        <v>0</v>
      </c>
      <c r="J658" s="276">
        <f>-I658*IF($B$7="elektriciteit",0.75,IF($B$7="gas",0.4,"FALSE"))</f>
        <v>0</v>
      </c>
      <c r="K658" s="168">
        <f>SUM(K656:K657)</f>
        <v>0</v>
      </c>
      <c r="L658" s="528"/>
      <c r="M658" s="276">
        <f>SUM(M656:M657)</f>
        <v>0</v>
      </c>
    </row>
    <row r="659" spans="2:17" x14ac:dyDescent="0.25">
      <c r="H659" s="214"/>
      <c r="K659" s="214"/>
      <c r="L659" s="214"/>
      <c r="Q659" s="166"/>
    </row>
    <row r="660" spans="2:17" ht="13" x14ac:dyDescent="0.25">
      <c r="B660" s="273" t="s">
        <v>139</v>
      </c>
      <c r="F660" s="810">
        <v>2019</v>
      </c>
      <c r="H660" s="214"/>
      <c r="Q660" s="166"/>
    </row>
    <row r="661" spans="2:17" x14ac:dyDescent="0.25">
      <c r="H661" s="214"/>
      <c r="Q661" s="166"/>
    </row>
    <row r="662" spans="2:17" ht="75.75" customHeight="1" x14ac:dyDescent="0.25">
      <c r="B662" s="1078" t="s">
        <v>140</v>
      </c>
      <c r="C662" s="1079"/>
      <c r="D662" s="1079"/>
      <c r="E662" s="1080"/>
      <c r="F662" s="274"/>
      <c r="G662" s="165" t="str">
        <f>"Nog af te bouwen regulatoir saldo einde "&amp;F660-1</f>
        <v>Nog af te bouwen regulatoir saldo einde 2018</v>
      </c>
      <c r="H662" s="165" t="str">
        <f>"Afbouw oudste openstaande regulatoir saldo vanaf boekjaar "&amp;F660-3&amp;" en vroeger, door aanwending van compensatie met regulatoir saldo ontstaan over boekjaar "&amp;F660-2</f>
        <v>Afbouw oudste openstaande regulatoir saldo vanaf boekjaar 2016 en vroeger, door aanwending van compensatie met regulatoir saldo ontstaan over boekjaar 2017</v>
      </c>
      <c r="I662" s="165" t="str">
        <f>"Nog af te bouwen regulatoir saldo na compensatie einde "&amp;F660-1</f>
        <v>Nog af te bouwen regulatoir saldo na compensatie einde 2018</v>
      </c>
      <c r="J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K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L662" s="165" t="str">
        <f>"Totale afbouw over "&amp;F660</f>
        <v>Totale afbouw over 2019</v>
      </c>
      <c r="M662" s="165" t="str">
        <f>"Nog af te bouwen regulatoir saldo einde "&amp;F660</f>
        <v>Nog af te bouwen regulatoir saldo einde 2019</v>
      </c>
      <c r="N662" s="206"/>
      <c r="Q662" s="166"/>
    </row>
    <row r="663" spans="2:17" ht="13" x14ac:dyDescent="0.25">
      <c r="B663" s="1075">
        <v>2015</v>
      </c>
      <c r="C663" s="1076"/>
      <c r="D663" s="1076"/>
      <c r="E663" s="1077"/>
      <c r="F663" s="275"/>
      <c r="G663" s="176">
        <f>+M656</f>
        <v>0</v>
      </c>
      <c r="H663" s="813">
        <f>IF(SIGN(G665*M658)&lt;0,IF(G663&lt;&gt;0,-SIGN(G663)*MIN(ABS(G665),ABS(G663)),0),0)</f>
        <v>0</v>
      </c>
      <c r="I663" s="176">
        <f>+G663+H663</f>
        <v>0</v>
      </c>
      <c r="J663" s="806"/>
      <c r="K663" s="521">
        <f>-MIN(ABS(I663),ABS(J666))*SIGN(I663)</f>
        <v>0</v>
      </c>
      <c r="L663" s="813">
        <f>+K663+H663</f>
        <v>0</v>
      </c>
      <c r="M663" s="176">
        <f>+I663+K663</f>
        <v>0</v>
      </c>
      <c r="N663" s="206"/>
      <c r="Q663" s="166"/>
    </row>
    <row r="664" spans="2:17" ht="13" x14ac:dyDescent="0.25">
      <c r="B664" s="1075">
        <v>2016</v>
      </c>
      <c r="C664" s="1076"/>
      <c r="D664" s="1076">
        <v>2016</v>
      </c>
      <c r="E664" s="1077"/>
      <c r="F664" s="275"/>
      <c r="G664" s="176">
        <f>+M657</f>
        <v>0</v>
      </c>
      <c r="H664" s="813">
        <f>IF(SIGN(G665*M658)&lt;0,IF(G664&lt;&gt;0,-SIGN(G664)*MIN(ABS(G665-H663),ABS(G664)),0),0)</f>
        <v>0</v>
      </c>
      <c r="I664" s="176">
        <f>+G664+H664</f>
        <v>0</v>
      </c>
      <c r="J664" s="806"/>
      <c r="K664" s="521">
        <f>-MIN(ABS(I664),ABS(J666-K663))*SIGN(I664)</f>
        <v>0</v>
      </c>
      <c r="L664" s="813">
        <f>+K664+H664</f>
        <v>0</v>
      </c>
      <c r="M664" s="176">
        <f>+I664+K664</f>
        <v>0</v>
      </c>
      <c r="N664" s="206"/>
      <c r="Q664" s="166"/>
    </row>
    <row r="665" spans="2:17" ht="13" x14ac:dyDescent="0.25">
      <c r="B665" s="1075">
        <v>2017</v>
      </c>
      <c r="C665" s="1076"/>
      <c r="D665" s="1076"/>
      <c r="E665" s="1077"/>
      <c r="F665" s="275"/>
      <c r="G665" s="176">
        <f>I220</f>
        <v>0</v>
      </c>
      <c r="H665" s="813">
        <f>IF(SIGN(G665*M658)&lt;0,-SUM(H663:H664),0)</f>
        <v>0</v>
      </c>
      <c r="I665" s="176">
        <f>+G665+H665</f>
        <v>0</v>
      </c>
      <c r="J665" s="806"/>
      <c r="K665" s="521">
        <f>-MIN(ABS(I665),ABS(J666-K663-K664))*SIGN(I665)</f>
        <v>0</v>
      </c>
      <c r="L665" s="813">
        <f>+K665+H665</f>
        <v>0</v>
      </c>
      <c r="M665" s="176">
        <f>+I665+K665</f>
        <v>0</v>
      </c>
      <c r="N665" s="206"/>
      <c r="Q665" s="166"/>
    </row>
    <row r="666" spans="2:17" s="273" customFormat="1" ht="13" x14ac:dyDescent="0.25">
      <c r="G666" s="276">
        <f>SUM(G663:G665)</f>
        <v>0</v>
      </c>
      <c r="H666" s="168">
        <f>SUM(H663:H665)</f>
        <v>0</v>
      </c>
      <c r="I666" s="276">
        <f>SUM(I663:I665)</f>
        <v>0</v>
      </c>
      <c r="J666" s="276">
        <f>-I666*IF($B$7="elektriciteit",0.75,IF($B$7="gas",0.4,"FALSE"))</f>
        <v>0</v>
      </c>
      <c r="K666" s="168">
        <f>SUM(K663:K665)</f>
        <v>0</v>
      </c>
      <c r="L666" s="528"/>
      <c r="M666" s="276">
        <f>SUM(M663:M665)</f>
        <v>0</v>
      </c>
    </row>
    <row r="667" spans="2:17" x14ac:dyDescent="0.25">
      <c r="H667" s="214"/>
      <c r="K667" s="214"/>
      <c r="L667" s="214"/>
      <c r="Q667" s="166"/>
    </row>
    <row r="668" spans="2:17" ht="13" x14ac:dyDescent="0.25">
      <c r="B668" s="273" t="s">
        <v>139</v>
      </c>
      <c r="F668" s="810">
        <v>2020</v>
      </c>
      <c r="H668" s="214"/>
      <c r="Q668" s="166"/>
    </row>
    <row r="669" spans="2:17" x14ac:dyDescent="0.25">
      <c r="H669" s="214"/>
      <c r="Q669" s="166"/>
    </row>
    <row r="670" spans="2:17" ht="78" customHeight="1" x14ac:dyDescent="0.25">
      <c r="B670" s="1078" t="s">
        <v>140</v>
      </c>
      <c r="C670" s="1079"/>
      <c r="D670" s="1079"/>
      <c r="E670" s="1080"/>
      <c r="F670" s="274"/>
      <c r="G670" s="165" t="str">
        <f>"Nog af te bouwen regulatoir saldo einde "&amp;F668-1</f>
        <v>Nog af te bouwen regulatoir saldo einde 2019</v>
      </c>
      <c r="H670" s="165" t="str">
        <f>"Afbouw oudste openstaande regulatoir saldo vanaf boekjaar "&amp;F668-3&amp;" en vroeger, door aanwending van compensatie met regulatoir saldo ontstaan over boekjaar "&amp;F668-2</f>
        <v>Afbouw oudste openstaande regulatoir saldo vanaf boekjaar 2017 en vroeger, door aanwending van compensatie met regulatoir saldo ontstaan over boekjaar 2018</v>
      </c>
      <c r="I670" s="165" t="str">
        <f>"Nog af te bouwen regulatoir saldo na compensatie einde "&amp;F668-1</f>
        <v>Nog af te bouwen regulatoir saldo na compensatie einde 2019</v>
      </c>
      <c r="J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K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L670" s="165" t="str">
        <f>"Totale afbouw over "&amp;F668</f>
        <v>Totale afbouw over 2020</v>
      </c>
      <c r="M670" s="165" t="str">
        <f>"Nog af te bouwen regulatoir saldo einde "&amp;F668</f>
        <v>Nog af te bouwen regulatoir saldo einde 2020</v>
      </c>
      <c r="N670" s="206"/>
      <c r="Q670" s="166"/>
    </row>
    <row r="671" spans="2:17" ht="13" x14ac:dyDescent="0.25">
      <c r="B671" s="1075">
        <v>2015</v>
      </c>
      <c r="C671" s="1076"/>
      <c r="D671" s="1076"/>
      <c r="E671" s="1077"/>
      <c r="F671" s="275"/>
      <c r="G671" s="176">
        <f>+M663</f>
        <v>0</v>
      </c>
      <c r="H671" s="813">
        <f>IF(SIGN(G674*M666)&lt;0,IF(G671&lt;&gt;0,-SIGN(G671)*MIN(ABS(G674),ABS(G671)),0),0)</f>
        <v>0</v>
      </c>
      <c r="I671" s="176">
        <f>+G671+H671</f>
        <v>0</v>
      </c>
      <c r="J671" s="806"/>
      <c r="K671" s="521">
        <f>-MIN(ABS(I671),ABS(J675))*SIGN(I671)</f>
        <v>0</v>
      </c>
      <c r="L671" s="813">
        <f>+K671+H671</f>
        <v>0</v>
      </c>
      <c r="M671" s="176">
        <f>+I671+K671</f>
        <v>0</v>
      </c>
      <c r="N671" s="206"/>
      <c r="Q671" s="166"/>
    </row>
    <row r="672" spans="2:17" ht="13" x14ac:dyDescent="0.25">
      <c r="B672" s="1075">
        <v>2016</v>
      </c>
      <c r="C672" s="1076"/>
      <c r="D672" s="1076"/>
      <c r="E672" s="1077"/>
      <c r="F672" s="275"/>
      <c r="G672" s="176">
        <f>+M664</f>
        <v>0</v>
      </c>
      <c r="H672" s="813">
        <f>IF(SIGN(G674*M666)&lt;0,IF(G672&lt;&gt;0,-SIGN(G672)*MIN(ABS(G674-H671),ABS(G672)),0),0)</f>
        <v>0</v>
      </c>
      <c r="I672" s="176">
        <f>+G672+H672</f>
        <v>0</v>
      </c>
      <c r="J672" s="806"/>
      <c r="K672" s="521">
        <f>-MIN(ABS(I672),ABS(J675-K671))*SIGN(I672)</f>
        <v>0</v>
      </c>
      <c r="L672" s="813">
        <f>+K672+H672</f>
        <v>0</v>
      </c>
      <c r="M672" s="176">
        <f>+I672+K672</f>
        <v>0</v>
      </c>
      <c r="N672" s="206"/>
      <c r="Q672" s="166"/>
    </row>
    <row r="673" spans="2:17" ht="13" x14ac:dyDescent="0.25">
      <c r="B673" s="1075">
        <v>2017</v>
      </c>
      <c r="C673" s="1076"/>
      <c r="D673" s="1076">
        <v>2016</v>
      </c>
      <c r="E673" s="1077"/>
      <c r="F673" s="275"/>
      <c r="G673" s="176">
        <f>+M665</f>
        <v>0</v>
      </c>
      <c r="H673" s="813">
        <f>IF(SIGN(G674*M666)&lt;0,IF(G673&lt;&gt;0,-SIGN(G673)*MIN(ABS(G674-H671-H672),ABS(G673)),0),0)</f>
        <v>0</v>
      </c>
      <c r="I673" s="176">
        <f>+G673+H673</f>
        <v>0</v>
      </c>
      <c r="J673" s="806"/>
      <c r="K673" s="521">
        <f>-MIN(ABS(I673),ABS(J675-K671-K672))*SIGN(I673)</f>
        <v>0</v>
      </c>
      <c r="L673" s="813">
        <f>+K673+H673</f>
        <v>0</v>
      </c>
      <c r="M673" s="176">
        <f>+I673+K673</f>
        <v>0</v>
      </c>
      <c r="N673" s="206"/>
      <c r="Q673" s="166"/>
    </row>
    <row r="674" spans="2:17" ht="13" x14ac:dyDescent="0.25">
      <c r="B674" s="1075">
        <v>2018</v>
      </c>
      <c r="C674" s="1076"/>
      <c r="D674" s="1076"/>
      <c r="E674" s="1077"/>
      <c r="F674" s="275"/>
      <c r="G674" s="176">
        <f>J221</f>
        <v>0</v>
      </c>
      <c r="H674" s="813">
        <f>IF(SIGN(G674*M666)&lt;0,-SUM(H671:H673),0)</f>
        <v>0</v>
      </c>
      <c r="I674" s="176">
        <f>+G674+H674</f>
        <v>0</v>
      </c>
      <c r="J674" s="806"/>
      <c r="K674" s="521">
        <f>-MIN(ABS(I674),ABS(J675-K671-K672-K673))*SIGN(I674)</f>
        <v>0</v>
      </c>
      <c r="L674" s="813">
        <f>+K674+H674</f>
        <v>0</v>
      </c>
      <c r="M674" s="176">
        <f>+I674+K674</f>
        <v>0</v>
      </c>
      <c r="N674" s="206"/>
      <c r="Q674" s="166"/>
    </row>
    <row r="675" spans="2:17" s="273" customFormat="1" ht="13" x14ac:dyDescent="0.25">
      <c r="G675" s="276">
        <f>SUM(G671:G674)</f>
        <v>0</v>
      </c>
      <c r="H675" s="168">
        <f>SUM(H671:H674)</f>
        <v>0</v>
      </c>
      <c r="I675" s="276">
        <f>SUM(I671:I674)</f>
        <v>0</v>
      </c>
      <c r="J675" s="276">
        <f>-I675*IF($B$7="elektriciteit",0.75,IF($B$7="gas",0.4,"FALSE"))</f>
        <v>0</v>
      </c>
      <c r="K675" s="168">
        <f>SUM(K671:K674)</f>
        <v>0</v>
      </c>
      <c r="L675" s="168"/>
      <c r="M675" s="276">
        <f>SUM(M671:M674)</f>
        <v>0</v>
      </c>
    </row>
    <row r="676" spans="2:17" x14ac:dyDescent="0.25">
      <c r="H676" s="214"/>
      <c r="Q676" s="166"/>
    </row>
    <row r="677" spans="2:17" ht="13" x14ac:dyDescent="0.25">
      <c r="B677" s="273" t="s">
        <v>139</v>
      </c>
      <c r="F677" s="810">
        <v>2021</v>
      </c>
      <c r="H677" s="214"/>
      <c r="Q677" s="166"/>
    </row>
    <row r="678" spans="2:17" x14ac:dyDescent="0.25">
      <c r="H678" s="214"/>
      <c r="Q678" s="166"/>
    </row>
    <row r="679" spans="2:17" ht="78" customHeight="1" x14ac:dyDescent="0.25">
      <c r="B679" s="1078" t="s">
        <v>140</v>
      </c>
      <c r="C679" s="1079"/>
      <c r="D679" s="1079"/>
      <c r="E679" s="1080"/>
      <c r="F679" s="274"/>
      <c r="G679" s="165" t="str">
        <f>"Nog af te bouwen regulatoir saldo einde "&amp;F677-1</f>
        <v>Nog af te bouwen regulatoir saldo einde 2020</v>
      </c>
      <c r="H679" s="165" t="str">
        <f>"50% van het oorspronkelijk regulatoir saldo door te rekenen volgens de tariefmethodologie in het boekjaar "&amp;F677</f>
        <v>50% van het oorspronkelijk regulatoir saldo door te rekenen volgens de tariefmethodologie in het boekjaar 2021</v>
      </c>
      <c r="I679" s="165" t="str">
        <f>"Nog af te bouwen regulatoir saldo einde "&amp;F677</f>
        <v>Nog af te bouwen regulatoir saldo einde 2021</v>
      </c>
      <c r="J679" s="206"/>
      <c r="Q679" s="166"/>
    </row>
    <row r="680" spans="2:17" ht="13" x14ac:dyDescent="0.25">
      <c r="B680" s="1075">
        <v>2015</v>
      </c>
      <c r="C680" s="1076"/>
      <c r="D680" s="1076"/>
      <c r="E680" s="1077"/>
      <c r="F680" s="275"/>
      <c r="G680" s="176">
        <f>M671</f>
        <v>0</v>
      </c>
      <c r="H680" s="521">
        <f>-G680*0.5</f>
        <v>0</v>
      </c>
      <c r="I680" s="176">
        <f>+G680+H680</f>
        <v>0</v>
      </c>
      <c r="J680" s="206"/>
      <c r="Q680" s="166"/>
    </row>
    <row r="681" spans="2:17" ht="13" x14ac:dyDescent="0.25">
      <c r="B681" s="1075">
        <v>2016</v>
      </c>
      <c r="C681" s="1076"/>
      <c r="D681" s="1076"/>
      <c r="E681" s="1077"/>
      <c r="F681" s="275"/>
      <c r="G681" s="176">
        <f t="shared" ref="G681:G683" si="93">M672</f>
        <v>0</v>
      </c>
      <c r="H681" s="521">
        <f t="shared" ref="H681:H684" si="94">-G681*0.5</f>
        <v>0</v>
      </c>
      <c r="I681" s="176">
        <f t="shared" ref="I681:I684" si="95">+G681+H681</f>
        <v>0</v>
      </c>
      <c r="J681" s="206"/>
      <c r="Q681" s="166"/>
    </row>
    <row r="682" spans="2:17" ht="13" x14ac:dyDescent="0.25">
      <c r="B682" s="1075">
        <v>2017</v>
      </c>
      <c r="C682" s="1076"/>
      <c r="D682" s="1076">
        <v>2016</v>
      </c>
      <c r="E682" s="1077"/>
      <c r="F682" s="275"/>
      <c r="G682" s="176">
        <f t="shared" si="93"/>
        <v>0</v>
      </c>
      <c r="H682" s="521">
        <f t="shared" si="94"/>
        <v>0</v>
      </c>
      <c r="I682" s="176">
        <f t="shared" si="95"/>
        <v>0</v>
      </c>
      <c r="J682" s="206"/>
      <c r="Q682" s="166"/>
    </row>
    <row r="683" spans="2:17" ht="13" x14ac:dyDescent="0.25">
      <c r="B683" s="1075">
        <v>2018</v>
      </c>
      <c r="C683" s="1076"/>
      <c r="D683" s="1076"/>
      <c r="E683" s="1077"/>
      <c r="F683" s="275"/>
      <c r="G683" s="176">
        <f t="shared" si="93"/>
        <v>0</v>
      </c>
      <c r="H683" s="521">
        <f t="shared" si="94"/>
        <v>0</v>
      </c>
      <c r="I683" s="176">
        <f t="shared" si="95"/>
        <v>0</v>
      </c>
      <c r="J683" s="206"/>
      <c r="Q683" s="166"/>
    </row>
    <row r="684" spans="2:17" ht="13" x14ac:dyDescent="0.25">
      <c r="B684" s="1075">
        <v>2019</v>
      </c>
      <c r="C684" s="1076"/>
      <c r="D684" s="1076"/>
      <c r="E684" s="1077"/>
      <c r="F684" s="275"/>
      <c r="G684" s="176">
        <f>K222</f>
        <v>0</v>
      </c>
      <c r="H684" s="521">
        <f t="shared" si="94"/>
        <v>0</v>
      </c>
      <c r="I684" s="176">
        <f t="shared" si="95"/>
        <v>0</v>
      </c>
      <c r="J684" s="206"/>
      <c r="Q684" s="166"/>
    </row>
    <row r="685" spans="2:17" s="273" customFormat="1" ht="13" x14ac:dyDescent="0.25">
      <c r="G685" s="276">
        <f>SUM(G680:G684)</f>
        <v>0</v>
      </c>
      <c r="H685" s="168">
        <f>SUM(H680:H684)</f>
        <v>0</v>
      </c>
      <c r="I685" s="276">
        <f>SUM(I680:I684)</f>
        <v>0</v>
      </c>
    </row>
    <row r="686" spans="2:17" x14ac:dyDescent="0.25">
      <c r="H686" s="214"/>
      <c r="Q686" s="166"/>
    </row>
    <row r="687" spans="2:17" ht="13" x14ac:dyDescent="0.25">
      <c r="B687" s="273" t="s">
        <v>139</v>
      </c>
      <c r="F687" s="810">
        <v>2022</v>
      </c>
      <c r="H687" s="214"/>
      <c r="Q687" s="166"/>
    </row>
    <row r="688" spans="2:17" x14ac:dyDescent="0.25">
      <c r="H688" s="214"/>
      <c r="Q688" s="166"/>
    </row>
    <row r="689" spans="2:17" ht="78" customHeight="1" x14ac:dyDescent="0.25">
      <c r="B689" s="1078" t="s">
        <v>140</v>
      </c>
      <c r="C689" s="1079"/>
      <c r="D689" s="1079"/>
      <c r="E689" s="1080"/>
      <c r="F689" s="274"/>
      <c r="G689" s="165" t="str">
        <f>"Nog af te bouwen regulatoir saldo einde "&amp;F687-1</f>
        <v>Nog af te bouwen regulatoir saldo einde 2021</v>
      </c>
      <c r="H689" s="165" t="str">
        <f>"50% van het oorspronkelijk regulatoir saldo door te rekenen volgens de tariefmethodologie in het boekjaar "&amp;F687</f>
        <v>50% van het oorspronkelijk regulatoir saldo door te rekenen volgens de tariefmethodologie in het boekjaar 2022</v>
      </c>
      <c r="I689" s="165" t="str">
        <f>"Nog af te bouwen regulatoir saldo einde "&amp;F687</f>
        <v>Nog af te bouwen regulatoir saldo einde 2022</v>
      </c>
      <c r="J689" s="206"/>
      <c r="Q689" s="166"/>
    </row>
    <row r="690" spans="2:17" ht="13" x14ac:dyDescent="0.25">
      <c r="B690" s="1075">
        <v>2015</v>
      </c>
      <c r="C690" s="1076"/>
      <c r="D690" s="1076"/>
      <c r="E690" s="1077"/>
      <c r="F690" s="275"/>
      <c r="G690" s="176">
        <f>+I680</f>
        <v>0</v>
      </c>
      <c r="H690" s="521">
        <f>-G680*0.5</f>
        <v>0</v>
      </c>
      <c r="I690" s="176">
        <f>+G690+H690</f>
        <v>0</v>
      </c>
      <c r="J690" s="206"/>
      <c r="Q690" s="166"/>
    </row>
    <row r="691" spans="2:17" ht="13" x14ac:dyDescent="0.25">
      <c r="B691" s="1075">
        <v>2016</v>
      </c>
      <c r="C691" s="1076"/>
      <c r="D691" s="1076"/>
      <c r="E691" s="1077"/>
      <c r="F691" s="275"/>
      <c r="G691" s="176">
        <f t="shared" ref="G691:G694" si="96">+I681</f>
        <v>0</v>
      </c>
      <c r="H691" s="521">
        <f t="shared" ref="H691:H694" si="97">-G681*0.5</f>
        <v>0</v>
      </c>
      <c r="I691" s="176">
        <f t="shared" ref="I691:I695" si="98">+G691+H691</f>
        <v>0</v>
      </c>
      <c r="J691" s="206"/>
      <c r="Q691" s="166"/>
    </row>
    <row r="692" spans="2:17" ht="13" x14ac:dyDescent="0.25">
      <c r="B692" s="1075">
        <v>2017</v>
      </c>
      <c r="C692" s="1076"/>
      <c r="D692" s="1076">
        <v>2016</v>
      </c>
      <c r="E692" s="1077"/>
      <c r="F692" s="275"/>
      <c r="G692" s="176">
        <f t="shared" si="96"/>
        <v>0</v>
      </c>
      <c r="H692" s="521">
        <f t="shared" si="97"/>
        <v>0</v>
      </c>
      <c r="I692" s="176">
        <f t="shared" si="98"/>
        <v>0</v>
      </c>
      <c r="J692" s="206"/>
      <c r="Q692" s="166"/>
    </row>
    <row r="693" spans="2:17" ht="13" x14ac:dyDescent="0.25">
      <c r="B693" s="1075">
        <v>2018</v>
      </c>
      <c r="C693" s="1076"/>
      <c r="D693" s="1076"/>
      <c r="E693" s="1077"/>
      <c r="F693" s="275"/>
      <c r="G693" s="176">
        <f t="shared" si="96"/>
        <v>0</v>
      </c>
      <c r="H693" s="521">
        <f t="shared" si="97"/>
        <v>0</v>
      </c>
      <c r="I693" s="176">
        <f t="shared" si="98"/>
        <v>0</v>
      </c>
      <c r="J693" s="206"/>
      <c r="Q693" s="166"/>
    </row>
    <row r="694" spans="2:17" ht="13" x14ac:dyDescent="0.25">
      <c r="B694" s="1075">
        <v>2019</v>
      </c>
      <c r="C694" s="1076"/>
      <c r="D694" s="1076"/>
      <c r="E694" s="1077"/>
      <c r="F694" s="275"/>
      <c r="G694" s="176">
        <f t="shared" si="96"/>
        <v>0</v>
      </c>
      <c r="H694" s="521">
        <f t="shared" si="97"/>
        <v>0</v>
      </c>
      <c r="I694" s="176">
        <f t="shared" si="98"/>
        <v>0</v>
      </c>
      <c r="J694" s="206"/>
      <c r="Q694" s="166"/>
    </row>
    <row r="695" spans="2:17" ht="13" x14ac:dyDescent="0.25">
      <c r="B695" s="1075">
        <v>2020</v>
      </c>
      <c r="C695" s="1076"/>
      <c r="D695" s="1076"/>
      <c r="E695" s="1077"/>
      <c r="F695" s="275"/>
      <c r="G695" s="176">
        <f>L223</f>
        <v>0</v>
      </c>
      <c r="H695" s="521">
        <f t="shared" ref="H695" si="99">-G695*0.5</f>
        <v>0</v>
      </c>
      <c r="I695" s="176">
        <f t="shared" si="98"/>
        <v>0</v>
      </c>
      <c r="J695" s="206"/>
      <c r="Q695" s="166"/>
    </row>
    <row r="696" spans="2:17" s="273" customFormat="1" ht="13" x14ac:dyDescent="0.25">
      <c r="G696" s="276">
        <f>SUM(G690:G695)</f>
        <v>0</v>
      </c>
      <c r="H696" s="168">
        <f t="shared" ref="H696:I696" si="100">SUM(H690:H695)</f>
        <v>0</v>
      </c>
      <c r="I696" s="276">
        <f t="shared" si="100"/>
        <v>0</v>
      </c>
    </row>
    <row r="697" spans="2:17" x14ac:dyDescent="0.25">
      <c r="H697" s="214"/>
      <c r="Q697" s="166"/>
    </row>
    <row r="698" spans="2:17" ht="13" x14ac:dyDescent="0.25">
      <c r="B698" s="273" t="s">
        <v>139</v>
      </c>
      <c r="F698" s="810">
        <v>2023</v>
      </c>
      <c r="H698" s="214"/>
      <c r="Q698" s="166"/>
    </row>
    <row r="699" spans="2:17" x14ac:dyDescent="0.25">
      <c r="H699" s="214"/>
      <c r="Q699" s="166"/>
    </row>
    <row r="700" spans="2:17" ht="78" customHeight="1" x14ac:dyDescent="0.25">
      <c r="B700" s="1078" t="s">
        <v>140</v>
      </c>
      <c r="C700" s="1079"/>
      <c r="D700" s="1079"/>
      <c r="E700" s="1080"/>
      <c r="F700" s="274"/>
      <c r="G700" s="165" t="str">
        <f>"Nog af te bouwen regulatoir saldo einde "&amp;F698-1</f>
        <v>Nog af te bouwen regulatoir saldo einde 2022</v>
      </c>
      <c r="H700" s="165" t="str">
        <f>"50% van het oorspronkelijk regulatoir saldo door te rekenen volgens de tariefmethodologie in het boekjaar "&amp;F698</f>
        <v>50% van het oorspronkelijk regulatoir saldo door te rekenen volgens de tariefmethodologie in het boekjaar 2023</v>
      </c>
      <c r="I700" s="165" t="str">
        <f>"Nog af te bouwen regulatoir saldo einde "&amp;F698</f>
        <v>Nog af te bouwen regulatoir saldo einde 2023</v>
      </c>
      <c r="J700" s="206"/>
      <c r="Q700" s="166"/>
    </row>
    <row r="701" spans="2:17" ht="13" x14ac:dyDescent="0.25">
      <c r="B701" s="1075">
        <v>2020</v>
      </c>
      <c r="C701" s="1076"/>
      <c r="D701" s="1076"/>
      <c r="E701" s="1077"/>
      <c r="F701" s="275"/>
      <c r="G701" s="176">
        <f>+I695</f>
        <v>0</v>
      </c>
      <c r="H701" s="521">
        <f>-G695*0.5</f>
        <v>0</v>
      </c>
      <c r="I701" s="176">
        <f t="shared" ref="I701:I702" si="101">+G701+H701</f>
        <v>0</v>
      </c>
      <c r="J701" s="206"/>
      <c r="Q701" s="166"/>
    </row>
    <row r="702" spans="2:17" ht="13" x14ac:dyDescent="0.25">
      <c r="B702" s="1075">
        <v>2021</v>
      </c>
      <c r="C702" s="1076"/>
      <c r="D702" s="1076"/>
      <c r="E702" s="1077"/>
      <c r="F702" s="275"/>
      <c r="G702" s="176">
        <f>M224</f>
        <v>0</v>
      </c>
      <c r="H702" s="521">
        <f t="shared" ref="H702" si="102">-G702*0.5</f>
        <v>0</v>
      </c>
      <c r="I702" s="176">
        <f t="shared" si="101"/>
        <v>0</v>
      </c>
      <c r="J702" s="206"/>
      <c r="Q702" s="166"/>
    </row>
    <row r="703" spans="2:17" s="273" customFormat="1" ht="13" x14ac:dyDescent="0.25">
      <c r="G703" s="276">
        <f>SUM(G701:G702)</f>
        <v>0</v>
      </c>
      <c r="H703" s="168">
        <f>SUM(H701:H702)</f>
        <v>0</v>
      </c>
      <c r="I703" s="276">
        <f>SUM(I701:I702)</f>
        <v>0</v>
      </c>
    </row>
    <row r="704" spans="2:17" x14ac:dyDescent="0.25">
      <c r="H704" s="214"/>
      <c r="Q704" s="166"/>
    </row>
    <row r="705" spans="2:17" ht="13" x14ac:dyDescent="0.25">
      <c r="B705" s="273" t="s">
        <v>139</v>
      </c>
      <c r="F705" s="810">
        <v>2024</v>
      </c>
      <c r="H705" s="214"/>
      <c r="Q705" s="166"/>
    </row>
    <row r="706" spans="2:17" x14ac:dyDescent="0.25">
      <c r="H706" s="214"/>
      <c r="Q706" s="166"/>
    </row>
    <row r="707" spans="2:17" ht="78" customHeight="1" x14ac:dyDescent="0.25">
      <c r="B707" s="1078" t="s">
        <v>140</v>
      </c>
      <c r="C707" s="1079"/>
      <c r="D707" s="1079"/>
      <c r="E707" s="1080"/>
      <c r="F707" s="274"/>
      <c r="G707" s="165" t="str">
        <f>"Nog af te bouwen regulatoir saldo einde "&amp;F705-1</f>
        <v>Nog af te bouwen regulatoir saldo einde 2023</v>
      </c>
      <c r="H707" s="165" t="str">
        <f>"50% van het oorspronkelijk regulatoir saldo door te rekenen volgens de tariefmethodologie in het boekjaar "&amp;F705</f>
        <v>50% van het oorspronkelijk regulatoir saldo door te rekenen volgens de tariefmethodologie in het boekjaar 2024</v>
      </c>
      <c r="I707" s="165" t="str">
        <f>"Nog af te bouwen regulatoir saldo einde "&amp;F705</f>
        <v>Nog af te bouwen regulatoir saldo einde 2024</v>
      </c>
      <c r="J707" s="206"/>
      <c r="Q707" s="166"/>
    </row>
    <row r="708" spans="2:17" ht="13" x14ac:dyDescent="0.25">
      <c r="B708" s="1075">
        <v>2021</v>
      </c>
      <c r="C708" s="1076"/>
      <c r="D708" s="1076"/>
      <c r="E708" s="1077"/>
      <c r="F708" s="275"/>
      <c r="G708" s="176">
        <f>+I702</f>
        <v>0</v>
      </c>
      <c r="H708" s="521">
        <f>-G702*0.5</f>
        <v>0</v>
      </c>
      <c r="I708" s="176">
        <f t="shared" ref="I708:I709" si="103">+G708+H708</f>
        <v>0</v>
      </c>
      <c r="J708" s="206"/>
      <c r="Q708" s="166"/>
    </row>
    <row r="709" spans="2:17" ht="13" x14ac:dyDescent="0.25">
      <c r="B709" s="1075">
        <v>2022</v>
      </c>
      <c r="C709" s="1076"/>
      <c r="D709" s="1076"/>
      <c r="E709" s="1077"/>
      <c r="F709" s="275"/>
      <c r="G709" s="176">
        <f>N225</f>
        <v>0</v>
      </c>
      <c r="H709" s="521">
        <f t="shared" ref="H709" si="104">-G709*0.5</f>
        <v>0</v>
      </c>
      <c r="I709" s="176">
        <f t="shared" si="103"/>
        <v>0</v>
      </c>
      <c r="J709" s="206"/>
      <c r="Q709" s="166"/>
    </row>
    <row r="710" spans="2:17" s="273" customFormat="1" ht="13" x14ac:dyDescent="0.25">
      <c r="G710" s="276">
        <f>SUM(G708:G709)</f>
        <v>0</v>
      </c>
      <c r="H710" s="168">
        <f>SUM(H708:H709)</f>
        <v>0</v>
      </c>
      <c r="I710" s="276">
        <f>SUM(I708:I709)</f>
        <v>0</v>
      </c>
    </row>
    <row r="711" spans="2:17" x14ac:dyDescent="0.25">
      <c r="H711" s="214"/>
      <c r="Q711" s="166"/>
    </row>
    <row r="712" spans="2:17" ht="13" x14ac:dyDescent="0.25">
      <c r="B712" s="273" t="s">
        <v>357</v>
      </c>
      <c r="H712" s="214"/>
      <c r="Q712" s="166"/>
    </row>
    <row r="713" spans="2:17" ht="13" x14ac:dyDescent="0.25">
      <c r="B713" s="273" t="s">
        <v>141</v>
      </c>
      <c r="C713" s="216"/>
      <c r="D713" s="216"/>
      <c r="E713" s="216"/>
      <c r="H713" s="214"/>
      <c r="Q713" s="166"/>
    </row>
    <row r="714" spans="2:17" ht="13" x14ac:dyDescent="0.25">
      <c r="B714" s="273"/>
      <c r="C714" s="216"/>
      <c r="D714" s="216"/>
      <c r="E714" s="216"/>
      <c r="H714" s="214"/>
      <c r="Q714" s="166"/>
    </row>
    <row r="715" spans="2:17" ht="13" x14ac:dyDescent="0.25">
      <c r="B715" s="275">
        <v>2021</v>
      </c>
      <c r="C715" s="279">
        <f>+H685</f>
        <v>0</v>
      </c>
      <c r="D715" s="216"/>
      <c r="E715" s="216"/>
      <c r="H715" s="214"/>
      <c r="Q715" s="166"/>
    </row>
    <row r="716" spans="2:17" ht="13" x14ac:dyDescent="0.25">
      <c r="B716" s="275">
        <v>2022</v>
      </c>
      <c r="C716" s="279">
        <f>+H696</f>
        <v>0</v>
      </c>
      <c r="D716" s="216"/>
      <c r="E716" s="216"/>
      <c r="Q716" s="166"/>
    </row>
    <row r="717" spans="2:17" ht="13" x14ac:dyDescent="0.25">
      <c r="B717" s="275">
        <v>2023</v>
      </c>
      <c r="C717" s="279">
        <f>+H703</f>
        <v>0</v>
      </c>
      <c r="D717" s="216"/>
      <c r="E717" s="216"/>
      <c r="Q717" s="166"/>
    </row>
    <row r="718" spans="2:17" ht="13" x14ac:dyDescent="0.25">
      <c r="B718" s="275">
        <v>2024</v>
      </c>
      <c r="C718" s="279">
        <f>+H710</f>
        <v>0</v>
      </c>
      <c r="D718" s="216"/>
      <c r="E718" s="216"/>
      <c r="P718" s="203"/>
      <c r="Q718" s="166"/>
    </row>
    <row r="719" spans="2:17" x14ac:dyDescent="0.25">
      <c r="P719" s="206"/>
      <c r="Q719" s="166"/>
    </row>
    <row r="720" spans="2:17" x14ac:dyDescent="0.25">
      <c r="P720" s="206"/>
      <c r="Q720" s="166"/>
    </row>
  </sheetData>
  <sheetProtection algorithmName="SHA-512" hashValue="H1glCEL5Dtu3m0Iz21hwLFWVJRSaXT2jZrtM+xJMpIvP1CIjNxEMIkJg9gHOJvdmpUWtVuVbQ2xH3n8eF89pyA==" saltValue="Oaf8O8pGlEfsUV/roObf4g==" spinCount="100000" sheet="1" objects="1" scenarios="1"/>
  <mergeCells count="418">
    <mergeCell ref="B475:E475"/>
    <mergeCell ref="B458:E458"/>
    <mergeCell ref="B463:E463"/>
    <mergeCell ref="B464:E464"/>
    <mergeCell ref="B465:E465"/>
    <mergeCell ref="B466:E466"/>
    <mergeCell ref="B467:E467"/>
    <mergeCell ref="B468:E468"/>
    <mergeCell ref="B469:E469"/>
    <mergeCell ref="B474:E474"/>
    <mergeCell ref="B445:E445"/>
    <mergeCell ref="B446:E446"/>
    <mergeCell ref="B447:E447"/>
    <mergeCell ref="B448:E448"/>
    <mergeCell ref="B453:E453"/>
    <mergeCell ref="B454:E454"/>
    <mergeCell ref="B455:E455"/>
    <mergeCell ref="B456:E456"/>
    <mergeCell ref="B457:E457"/>
    <mergeCell ref="B701:E701"/>
    <mergeCell ref="B702:E702"/>
    <mergeCell ref="B707:E707"/>
    <mergeCell ref="B708:E708"/>
    <mergeCell ref="B709:E709"/>
    <mergeCell ref="B691:E691"/>
    <mergeCell ref="B692:E692"/>
    <mergeCell ref="B693:E693"/>
    <mergeCell ref="B694:E694"/>
    <mergeCell ref="B695:E695"/>
    <mergeCell ref="B700:E700"/>
    <mergeCell ref="B681:E681"/>
    <mergeCell ref="B682:E682"/>
    <mergeCell ref="B683:E683"/>
    <mergeCell ref="B684:E684"/>
    <mergeCell ref="B689:E689"/>
    <mergeCell ref="B690:E690"/>
    <mergeCell ref="B671:E671"/>
    <mergeCell ref="B672:E672"/>
    <mergeCell ref="B673:E673"/>
    <mergeCell ref="B674:E674"/>
    <mergeCell ref="B679:E679"/>
    <mergeCell ref="B680:E680"/>
    <mergeCell ref="B657:E657"/>
    <mergeCell ref="B662:E662"/>
    <mergeCell ref="B663:E663"/>
    <mergeCell ref="B664:E664"/>
    <mergeCell ref="B665:E665"/>
    <mergeCell ref="B670:E670"/>
    <mergeCell ref="B650:E650"/>
    <mergeCell ref="B651:E651"/>
    <mergeCell ref="B655:E655"/>
    <mergeCell ref="B656:E656"/>
    <mergeCell ref="B627:E627"/>
    <mergeCell ref="B628:E628"/>
    <mergeCell ref="B633:E633"/>
    <mergeCell ref="B634:E634"/>
    <mergeCell ref="B617:E617"/>
    <mergeCell ref="B618:E618"/>
    <mergeCell ref="B619:E619"/>
    <mergeCell ref="B620:E620"/>
    <mergeCell ref="B621:E621"/>
    <mergeCell ref="B626:E626"/>
    <mergeCell ref="B607:E607"/>
    <mergeCell ref="B608:E608"/>
    <mergeCell ref="B609:E609"/>
    <mergeCell ref="B610:E610"/>
    <mergeCell ref="B615:E615"/>
    <mergeCell ref="B616:E616"/>
    <mergeCell ref="B597:E597"/>
    <mergeCell ref="B598:E598"/>
    <mergeCell ref="B599:E599"/>
    <mergeCell ref="B600:E600"/>
    <mergeCell ref="B605:E605"/>
    <mergeCell ref="B606:E606"/>
    <mergeCell ref="B583:E583"/>
    <mergeCell ref="B588:E588"/>
    <mergeCell ref="B589:E589"/>
    <mergeCell ref="B590:E590"/>
    <mergeCell ref="B591:E591"/>
    <mergeCell ref="B596:E596"/>
    <mergeCell ref="B576:E576"/>
    <mergeCell ref="B577:E577"/>
    <mergeCell ref="B581:E581"/>
    <mergeCell ref="B582:E582"/>
    <mergeCell ref="B552:E552"/>
    <mergeCell ref="B553:E553"/>
    <mergeCell ref="B558:E558"/>
    <mergeCell ref="B559:E559"/>
    <mergeCell ref="B560:E560"/>
    <mergeCell ref="B542:E542"/>
    <mergeCell ref="B543:E543"/>
    <mergeCell ref="B544:E544"/>
    <mergeCell ref="B545:E545"/>
    <mergeCell ref="B546:E546"/>
    <mergeCell ref="B551:E551"/>
    <mergeCell ref="B532:E532"/>
    <mergeCell ref="B533:E533"/>
    <mergeCell ref="B534:E534"/>
    <mergeCell ref="B535:E535"/>
    <mergeCell ref="B540:E540"/>
    <mergeCell ref="B541:E541"/>
    <mergeCell ref="B522:E522"/>
    <mergeCell ref="B523:E523"/>
    <mergeCell ref="B524:E524"/>
    <mergeCell ref="B525:E525"/>
    <mergeCell ref="B530:E530"/>
    <mergeCell ref="B531:E531"/>
    <mergeCell ref="B508:E508"/>
    <mergeCell ref="B513:E513"/>
    <mergeCell ref="B514:E514"/>
    <mergeCell ref="B515:E515"/>
    <mergeCell ref="B516:E516"/>
    <mergeCell ref="B521:E521"/>
    <mergeCell ref="B501:E501"/>
    <mergeCell ref="B502:E502"/>
    <mergeCell ref="B506:E506"/>
    <mergeCell ref="B507:E507"/>
    <mergeCell ref="B406:E406"/>
    <mergeCell ref="B407:E407"/>
    <mergeCell ref="B408:E408"/>
    <mergeCell ref="B390:E390"/>
    <mergeCell ref="B391:E391"/>
    <mergeCell ref="B392:E392"/>
    <mergeCell ref="B393:E393"/>
    <mergeCell ref="B394:E394"/>
    <mergeCell ref="B399:E399"/>
    <mergeCell ref="B444:E444"/>
    <mergeCell ref="B380:E380"/>
    <mergeCell ref="B381:E381"/>
    <mergeCell ref="B382:E382"/>
    <mergeCell ref="B383:E383"/>
    <mergeCell ref="B388:E388"/>
    <mergeCell ref="B389:E389"/>
    <mergeCell ref="B370:E370"/>
    <mergeCell ref="B371:E371"/>
    <mergeCell ref="B372:E372"/>
    <mergeCell ref="B373:E373"/>
    <mergeCell ref="B378:E378"/>
    <mergeCell ref="B379:E379"/>
    <mergeCell ref="B424:E424"/>
    <mergeCell ref="B425:E425"/>
    <mergeCell ref="B429:E429"/>
    <mergeCell ref="B430:E430"/>
    <mergeCell ref="B431:E431"/>
    <mergeCell ref="B436:E436"/>
    <mergeCell ref="B437:E437"/>
    <mergeCell ref="B438:E438"/>
    <mergeCell ref="B439:E439"/>
    <mergeCell ref="B400:E400"/>
    <mergeCell ref="B401:E401"/>
    <mergeCell ref="B356:E356"/>
    <mergeCell ref="B361:E361"/>
    <mergeCell ref="B362:E362"/>
    <mergeCell ref="B363:E363"/>
    <mergeCell ref="B364:E364"/>
    <mergeCell ref="B369:E369"/>
    <mergeCell ref="B317:E317"/>
    <mergeCell ref="B318:E318"/>
    <mergeCell ref="B349:E349"/>
    <mergeCell ref="B350:E350"/>
    <mergeCell ref="B354:E354"/>
    <mergeCell ref="B355:E355"/>
    <mergeCell ref="B333:E333"/>
    <mergeCell ref="B334:E334"/>
    <mergeCell ref="B303:E303"/>
    <mergeCell ref="B304:E304"/>
    <mergeCell ref="B309:E309"/>
    <mergeCell ref="B310:E310"/>
    <mergeCell ref="B311:E311"/>
    <mergeCell ref="B316:E316"/>
    <mergeCell ref="B293:E293"/>
    <mergeCell ref="B298:E298"/>
    <mergeCell ref="B299:E299"/>
    <mergeCell ref="B300:E300"/>
    <mergeCell ref="B301:E301"/>
    <mergeCell ref="B302:E302"/>
    <mergeCell ref="B283:E283"/>
    <mergeCell ref="B288:E288"/>
    <mergeCell ref="B289:E289"/>
    <mergeCell ref="B290:E290"/>
    <mergeCell ref="B291:E291"/>
    <mergeCell ref="B292:E292"/>
    <mergeCell ref="B273:E273"/>
    <mergeCell ref="B274:E274"/>
    <mergeCell ref="B279:E279"/>
    <mergeCell ref="B280:E280"/>
    <mergeCell ref="B281:E281"/>
    <mergeCell ref="B282:E282"/>
    <mergeCell ref="B260:E260"/>
    <mergeCell ref="B264:E264"/>
    <mergeCell ref="B265:E265"/>
    <mergeCell ref="B266:E266"/>
    <mergeCell ref="B271:E271"/>
    <mergeCell ref="B272:E272"/>
    <mergeCell ref="B249:E249"/>
    <mergeCell ref="B250:E250"/>
    <mergeCell ref="B252:E252"/>
    <mergeCell ref="B259:E259"/>
    <mergeCell ref="B240:E240"/>
    <mergeCell ref="B245:E245"/>
    <mergeCell ref="B247:E247"/>
    <mergeCell ref="B248:E248"/>
    <mergeCell ref="B234:E234"/>
    <mergeCell ref="B235:E235"/>
    <mergeCell ref="B236:E236"/>
    <mergeCell ref="B237:E237"/>
    <mergeCell ref="B238:E238"/>
    <mergeCell ref="B239:E239"/>
    <mergeCell ref="B226:E226"/>
    <mergeCell ref="B229:E229"/>
    <mergeCell ref="B230:E230"/>
    <mergeCell ref="B231:E231"/>
    <mergeCell ref="B232:E232"/>
    <mergeCell ref="B233:E233"/>
    <mergeCell ref="B220:E220"/>
    <mergeCell ref="B221:E221"/>
    <mergeCell ref="B222:E222"/>
    <mergeCell ref="B223:E223"/>
    <mergeCell ref="B224:E224"/>
    <mergeCell ref="B225:E225"/>
    <mergeCell ref="B216:E216"/>
    <mergeCell ref="B217:E217"/>
    <mergeCell ref="B218:E218"/>
    <mergeCell ref="B219:E219"/>
    <mergeCell ref="B213:E213"/>
    <mergeCell ref="B214:E214"/>
    <mergeCell ref="B215:E215"/>
    <mergeCell ref="B207:E207"/>
    <mergeCell ref="B208:E208"/>
    <mergeCell ref="B209:E209"/>
    <mergeCell ref="B210:E210"/>
    <mergeCell ref="B211:E211"/>
    <mergeCell ref="B212:E212"/>
    <mergeCell ref="B205:E205"/>
    <mergeCell ref="B206:E206"/>
    <mergeCell ref="B173:E173"/>
    <mergeCell ref="B174:E174"/>
    <mergeCell ref="B175:E175"/>
    <mergeCell ref="B176:E176"/>
    <mergeCell ref="B177:E177"/>
    <mergeCell ref="B178:E178"/>
    <mergeCell ref="B200:E200"/>
    <mergeCell ref="B201:E201"/>
    <mergeCell ref="B202:E202"/>
    <mergeCell ref="B203:E203"/>
    <mergeCell ref="B204:E204"/>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71:E171"/>
    <mergeCell ref="B183:E183"/>
    <mergeCell ref="B184:E184"/>
    <mergeCell ref="B185:E185"/>
    <mergeCell ref="B186:E186"/>
    <mergeCell ref="B187:E187"/>
    <mergeCell ref="B165:E165"/>
    <mergeCell ref="B166:E166"/>
    <mergeCell ref="B167:E167"/>
    <mergeCell ref="B168:E168"/>
    <mergeCell ref="B169:E169"/>
    <mergeCell ref="B170:E170"/>
    <mergeCell ref="B172:E172"/>
    <mergeCell ref="B179:E179"/>
    <mergeCell ref="B180:E180"/>
    <mergeCell ref="B181:E181"/>
    <mergeCell ref="B182:E182"/>
    <mergeCell ref="B148:E148"/>
    <mergeCell ref="B149:E149"/>
    <mergeCell ref="B161:E161"/>
    <mergeCell ref="B162:E162"/>
    <mergeCell ref="B163:E163"/>
    <mergeCell ref="B164:E164"/>
    <mergeCell ref="B150:E150"/>
    <mergeCell ref="B151:E151"/>
    <mergeCell ref="B152:E152"/>
    <mergeCell ref="B153:E153"/>
    <mergeCell ref="B154:E154"/>
    <mergeCell ref="B155:E155"/>
    <mergeCell ref="B156:E156"/>
    <mergeCell ref="B157:E157"/>
    <mergeCell ref="B158:E158"/>
    <mergeCell ref="B159:E159"/>
    <mergeCell ref="B160:E160"/>
    <mergeCell ref="B142:E142"/>
    <mergeCell ref="B143:E143"/>
    <mergeCell ref="B144:E144"/>
    <mergeCell ref="B145:E145"/>
    <mergeCell ref="B146:E146"/>
    <mergeCell ref="B147:E147"/>
    <mergeCell ref="B132:E132"/>
    <mergeCell ref="B133:E133"/>
    <mergeCell ref="B137:E137"/>
    <mergeCell ref="B139:E139"/>
    <mergeCell ref="B140:E140"/>
    <mergeCell ref="B141:E141"/>
    <mergeCell ref="B126:E126"/>
    <mergeCell ref="B127:E127"/>
    <mergeCell ref="B128:E128"/>
    <mergeCell ref="B129:E129"/>
    <mergeCell ref="B130:E130"/>
    <mergeCell ref="B131:E131"/>
    <mergeCell ref="B118:E118"/>
    <mergeCell ref="B120:E120"/>
    <mergeCell ref="B122:E122"/>
    <mergeCell ref="B123:E123"/>
    <mergeCell ref="B124:E124"/>
    <mergeCell ref="B125:E125"/>
    <mergeCell ref="B112:E112"/>
    <mergeCell ref="B113:E113"/>
    <mergeCell ref="B114:E114"/>
    <mergeCell ref="B115:E115"/>
    <mergeCell ref="B116:E116"/>
    <mergeCell ref="B117:E117"/>
    <mergeCell ref="B108:E108"/>
    <mergeCell ref="B109:E109"/>
    <mergeCell ref="B110:E110"/>
    <mergeCell ref="B111:E111"/>
    <mergeCell ref="B105:E105"/>
    <mergeCell ref="B106:E106"/>
    <mergeCell ref="B107:E107"/>
    <mergeCell ref="B99:E99"/>
    <mergeCell ref="B100:E100"/>
    <mergeCell ref="B101:E101"/>
    <mergeCell ref="B102:E102"/>
    <mergeCell ref="B103:E103"/>
    <mergeCell ref="B104:E104"/>
    <mergeCell ref="B97:E97"/>
    <mergeCell ref="B98:E98"/>
    <mergeCell ref="B65:E65"/>
    <mergeCell ref="B66:E66"/>
    <mergeCell ref="B67:E67"/>
    <mergeCell ref="B68:E68"/>
    <mergeCell ref="B69:E69"/>
    <mergeCell ref="B70:E70"/>
    <mergeCell ref="B92:E92"/>
    <mergeCell ref="B93:E93"/>
    <mergeCell ref="B94:E94"/>
    <mergeCell ref="B95:E95"/>
    <mergeCell ref="B96:E96"/>
    <mergeCell ref="B86:E86"/>
    <mergeCell ref="B87:E87"/>
    <mergeCell ref="B88:E88"/>
    <mergeCell ref="B89:E89"/>
    <mergeCell ref="B90:E90"/>
    <mergeCell ref="B91:E91"/>
    <mergeCell ref="B80:E80"/>
    <mergeCell ref="B81:E81"/>
    <mergeCell ref="B82:E82"/>
    <mergeCell ref="B83:E83"/>
    <mergeCell ref="B84:E84"/>
    <mergeCell ref="B85:E85"/>
    <mergeCell ref="B63:E63"/>
    <mergeCell ref="B75:E75"/>
    <mergeCell ref="B76:E76"/>
    <mergeCell ref="B77:E77"/>
    <mergeCell ref="B78:E78"/>
    <mergeCell ref="B79:E79"/>
    <mergeCell ref="B57:E57"/>
    <mergeCell ref="B58:E58"/>
    <mergeCell ref="B59:E59"/>
    <mergeCell ref="B60:E60"/>
    <mergeCell ref="B61:E61"/>
    <mergeCell ref="B62:E62"/>
    <mergeCell ref="B64:E64"/>
    <mergeCell ref="B71:E71"/>
    <mergeCell ref="B72:E72"/>
    <mergeCell ref="B73:E73"/>
    <mergeCell ref="B74:E74"/>
    <mergeCell ref="B40:E40"/>
    <mergeCell ref="B41:E41"/>
    <mergeCell ref="B53:E53"/>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34:E34"/>
    <mergeCell ref="B35:E35"/>
    <mergeCell ref="B36:E36"/>
    <mergeCell ref="B37:E37"/>
    <mergeCell ref="B38:E38"/>
    <mergeCell ref="B39:E39"/>
    <mergeCell ref="B24:E24"/>
    <mergeCell ref="B25:E25"/>
    <mergeCell ref="B29:E29"/>
    <mergeCell ref="B31:E31"/>
    <mergeCell ref="B32:E32"/>
    <mergeCell ref="B33:E33"/>
    <mergeCell ref="B19:E19"/>
    <mergeCell ref="B20:E20"/>
    <mergeCell ref="B18:E18"/>
    <mergeCell ref="B21:E21"/>
    <mergeCell ref="B22:E22"/>
    <mergeCell ref="A1:J1"/>
    <mergeCell ref="B4:E4"/>
    <mergeCell ref="B7:E7"/>
    <mergeCell ref="B13:E13"/>
    <mergeCell ref="B15:E15"/>
    <mergeCell ref="B17:E17"/>
    <mergeCell ref="B16:E16"/>
  </mergeCells>
  <conditionalFormatting sqref="B329:D329 B331:F331 B333:I335 B337:F337 B339:C342">
    <cfRule type="expression" dxfId="39" priority="7">
      <formula>$B$7="gas"</formula>
    </cfRule>
  </conditionalFormatting>
  <conditionalFormatting sqref="N15:P15 N17:P17 N41 N63 N147:N149 O148:O149 P149 N169:N171 O170:O171 P171 B248:G248 B318:I318 B408:I408">
    <cfRule type="expression" dxfId="38" priority="6">
      <formula>$B$7="elektriciteit"</formula>
    </cfRule>
  </conditionalFormatting>
  <conditionalFormatting sqref="B16:P16 R16 R18 B18:P18 B21:P21 R21 B42:P52 R42:R52 B64:P74 R64:R74 B97:P107 R97:R107 B150:P160 R150:R160 B172:P182 R172:R182 B205:P215 R205:R215 B329:C329 B331:F331 B333:I335 B337:F337 B339:C342 B420:C420 B422:F422 B424:K425 B427:F427 B429:M432 B436:M440 B434:F434 B442:F442 B444:M449 B451:F451 B453:I459 B461:F461 B463:I470 B472:F472 B474:I476 B478:F478 B480:C483 B572:E572 B574:F574 B576:K577 B579:F579 B581:M584 B588:M592 B586:F586 B594:F594 B596:M601 B603:F603 B605:I611 B613:F613 B615:I622 B624:F624 B626:I629 B631:F631 B633:I635 B638:F638 B640:C643">
    <cfRule type="expression" dxfId="37" priority="5">
      <formula>$B$7="gas"</formula>
    </cfRule>
  </conditionalFormatting>
  <conditionalFormatting sqref="B336:F336">
    <cfRule type="expression" dxfId="36" priority="4">
      <formula>$B$7="gas"</formula>
    </cfRule>
  </conditionalFormatting>
  <conditionalFormatting sqref="B336:F336">
    <cfRule type="expression" dxfId="35" priority="3">
      <formula>$B$7="gas"</formula>
    </cfRule>
  </conditionalFormatting>
  <conditionalFormatting sqref="B477:F477">
    <cfRule type="expression" dxfId="34" priority="2">
      <formula>$B$7="gas"</formula>
    </cfRule>
  </conditionalFormatting>
  <conditionalFormatting sqref="B637:F637">
    <cfRule type="expression" dxfId="33"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3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DFE29B9B-8E51-4FFD-B9F3-C7BEE8047B1A}"/>
</file>

<file path=customXml/itemProps2.xml><?xml version="1.0" encoding="utf-8"?>
<ds:datastoreItem xmlns:ds="http://schemas.openxmlformats.org/officeDocument/2006/customXml" ds:itemID="{2F5803B4-BAAC-4F6D-9165-D40B8A7F9C4B}">
  <ds:schemaRefs>
    <ds:schemaRef ds:uri="http://schemas.microsoft.com/sharepoint/v3/contenttype/forms"/>
  </ds:schemaRefs>
</ds:datastoreItem>
</file>

<file path=customXml/itemProps3.xml><?xml version="1.0" encoding="utf-8"?>
<ds:datastoreItem xmlns:ds="http://schemas.openxmlformats.org/officeDocument/2006/customXml" ds:itemID="{9D27CE37-1D3F-406F-AC3B-A34EF828CF9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7929868-5c60-4b7a-9419-92aad257c99f"/>
    <ds:schemaRef ds:uri="http://purl.org/dc/elements/1.1/"/>
    <ds:schemaRef ds:uri="f65e3622-9e98-425f-aa40-20fd82b551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28</vt:i4>
      </vt:variant>
    </vt:vector>
  </HeadingPairs>
  <TitlesOfParts>
    <vt:vector size="56" baseType="lpstr">
      <vt:lpstr>TITELBLAD</vt:lpstr>
      <vt:lpstr>--&gt; EXO</vt:lpstr>
      <vt:lpstr>T1</vt:lpstr>
      <vt:lpstr>T2 - Overzicht</vt:lpstr>
      <vt:lpstr>T3</vt:lpstr>
      <vt:lpstr>T4A</vt:lpstr>
      <vt:lpstr>T4B</vt:lpstr>
      <vt:lpstr>T5A</vt:lpstr>
      <vt:lpstr>T5B</vt:lpstr>
      <vt:lpstr>T5C</vt:lpstr>
      <vt:lpstr>T5D</vt:lpstr>
      <vt:lpstr>T5E</vt:lpstr>
      <vt:lpstr>T5F</vt:lpstr>
      <vt:lpstr>T6A</vt:lpstr>
      <vt:lpstr>T6B</vt:lpstr>
      <vt:lpstr>T7</vt:lpstr>
      <vt:lpstr>T8</vt:lpstr>
      <vt:lpstr>--&gt; ENDO</vt:lpstr>
      <vt:lpstr>T9 - Overzicht</vt:lpstr>
      <vt:lpstr>T10</vt:lpstr>
      <vt:lpstr>T11</vt:lpstr>
      <vt:lpstr>T12</vt:lpstr>
      <vt:lpstr>T13A</vt:lpstr>
      <vt:lpstr>T13B</vt:lpstr>
      <vt:lpstr>T13C</vt:lpstr>
      <vt:lpstr>T13D</vt:lpstr>
      <vt:lpstr>T14</vt:lpstr>
      <vt:lpstr>Werkblad</vt:lpstr>
      <vt:lpstr>'T1'!Afdrukbereik</vt:lpstr>
      <vt:lpstr>'T10'!Afdrukbereik</vt:lpstr>
      <vt:lpstr>'T11'!Afdrukbereik</vt:lpstr>
      <vt:lpstr>'T12'!Afdrukbereik</vt:lpstr>
      <vt:lpstr>T13A!Afdrukbereik</vt:lpstr>
      <vt:lpstr>T13B!Afdrukbereik</vt:lpstr>
      <vt:lpstr>T13C!Afdrukbereik</vt:lpstr>
      <vt:lpstr>T13D!Afdrukbereik</vt:lpstr>
      <vt:lpstr>'T2 - Overzicht'!Afdrukbereik</vt:lpstr>
      <vt:lpstr>'T3'!Afdrukbereik</vt:lpstr>
      <vt:lpstr>T4A!Afdrukbereik</vt:lpstr>
      <vt:lpstr>T4B!Afdrukbereik</vt:lpstr>
      <vt:lpstr>T5A!Afdrukbereik</vt:lpstr>
      <vt:lpstr>T5B!Afdrukbereik</vt:lpstr>
      <vt:lpstr>T5C!Afdrukbereik</vt:lpstr>
      <vt:lpstr>T5D!Afdrukbereik</vt:lpstr>
      <vt:lpstr>T5E!Afdrukbereik</vt:lpstr>
      <vt:lpstr>T5F!Afdrukbereik</vt:lpstr>
      <vt:lpstr>T6A!Afdrukbereik</vt:lpstr>
      <vt:lpstr>T6B!Afdrukbereik</vt:lpstr>
      <vt:lpstr>'T7'!Afdrukbereik</vt:lpstr>
      <vt:lpstr>'T8'!Afdrukbereik</vt:lpstr>
      <vt:lpstr>TITELBLAD!Afdrukbereik</vt:lpstr>
      <vt:lpstr>T4A!Afdruktitels</vt:lpstr>
      <vt:lpstr>T5A!Afdruktitels</vt:lpstr>
      <vt:lpstr>T6A!Afdruktitels</vt:lpstr>
      <vt:lpstr>'T7'!Afdruktitels</vt:lpstr>
      <vt:lpstr>'T8'!Afdruktitels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Fanny Schoevaerts</cp:lastModifiedBy>
  <cp:lastPrinted>2016-03-03T07:50:12Z</cp:lastPrinted>
  <dcterms:created xsi:type="dcterms:W3CDTF">2014-05-06T11:13:59Z</dcterms:created>
  <dcterms:modified xsi:type="dcterms:W3CDTF">2021-06-28T10:25:17Z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