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https://o365vreg.sharepoint.com/sites/KT_Tariefregulering/Gedeelde  documenten/Consultaties/2021 Q3b ODV aardgas exo/4 consultatieverslag/"/>
    </mc:Choice>
  </mc:AlternateContent>
  <xr:revisionPtr revIDLastSave="1587" documentId="113_{B8D52074-7A8B-4B65-B3A1-DD191E9B2B26}" xr6:coauthVersionLast="47" xr6:coauthVersionMax="47" xr10:uidLastSave="{79A577A2-E530-41B5-B7AE-B4753747F303}"/>
  <bookViews>
    <workbookView xWindow="1080" yWindow="1305" windowWidth="14400" windowHeight="9000" tabRatio="830" firstSheet="2" activeTab="12" xr2:uid="{00000000-000D-0000-FFFF-FFFF00000000}"/>
  </bookViews>
  <sheets>
    <sheet name="TITELBLAD" sheetId="1" r:id="rId1"/>
    <sheet name="--&gt; EXO" sheetId="31" r:id="rId2"/>
    <sheet name="T1" sheetId="2" r:id="rId3"/>
    <sheet name="T2 - Overzicht" sheetId="4" r:id="rId4"/>
    <sheet name="T3" sheetId="5" r:id="rId5"/>
    <sheet name="T4A" sheetId="7" r:id="rId6"/>
    <sheet name="T4B" sheetId="19" r:id="rId7"/>
    <sheet name="T4C" sheetId="20" r:id="rId8"/>
    <sheet name="T5A" sheetId="8" r:id="rId9"/>
    <sheet name="T5B" sheetId="26" r:id="rId10"/>
    <sheet name="T5C" sheetId="13" r:id="rId11"/>
    <sheet name="T5D" sheetId="15" r:id="rId12"/>
    <sheet name="T5E" sheetId="16" r:id="rId13"/>
    <sheet name="T5F" sheetId="28" r:id="rId14"/>
    <sheet name="T6A" sheetId="22" r:id="rId15"/>
    <sheet name="T6B" sheetId="29" r:id="rId16"/>
    <sheet name="T7" sheetId="25" r:id="rId17"/>
    <sheet name="T8" sheetId="30" r:id="rId18"/>
    <sheet name="--&gt; ENDO" sheetId="32" r:id="rId19"/>
    <sheet name="T9 - Overzicht" sheetId="33" r:id="rId20"/>
    <sheet name="T10" sheetId="34" r:id="rId21"/>
    <sheet name="T11" sheetId="41" r:id="rId22"/>
    <sheet name="T12" sheetId="35" r:id="rId23"/>
    <sheet name="T13A" sheetId="36" r:id="rId24"/>
    <sheet name="T13B" sheetId="37" r:id="rId25"/>
    <sheet name="T13C" sheetId="38" r:id="rId26"/>
    <sheet name="T13D" sheetId="39" r:id="rId27"/>
    <sheet name="T14" sheetId="40" r:id="rId28"/>
    <sheet name="Werkblad" sheetId="42" r:id="rId29"/>
  </sheets>
  <externalReferences>
    <externalReference r:id="rId30"/>
    <externalReference r:id="rId31"/>
    <externalReference r:id="rId32"/>
    <externalReference r:id="rId33"/>
    <externalReference r:id="rId34"/>
  </externalReferences>
  <definedNames>
    <definedName name="_ftn2" localSheetId="0">TITELBLAD!#REF!</definedName>
    <definedName name="_ftn3" localSheetId="0">TITELBLAD!#REF!</definedName>
    <definedName name="_ftnref2" localSheetId="0">TITELBLAD!#REF!</definedName>
    <definedName name="_ftnref3" localSheetId="0">TITELBLAD!#REF!</definedName>
    <definedName name="a" localSheetId="23">#REF!</definedName>
    <definedName name="a" localSheetId="24">#REF!</definedName>
    <definedName name="a" localSheetId="25">#REF!</definedName>
    <definedName name="a" localSheetId="26">#REF!</definedName>
    <definedName name="a" localSheetId="27">#REF!</definedName>
    <definedName name="a">#REF!</definedName>
    <definedName name="_xlnm.Print_Area" localSheetId="2">'T1'!$B$1:$R$81</definedName>
    <definedName name="_xlnm.Print_Area" localSheetId="20">'T10'!$A$1:$K$17</definedName>
    <definedName name="_xlnm.Print_Area" localSheetId="21">'T11'!$A$1:$K$16</definedName>
    <definedName name="_xlnm.Print_Area" localSheetId="22">'T12'!$A$1:$M$21</definedName>
    <definedName name="_xlnm.Print_Area" localSheetId="23">T13A!$A$1:$J$69</definedName>
    <definedName name="_xlnm.Print_Area" localSheetId="24">T13B!$A$1:$J$69</definedName>
    <definedName name="_xlnm.Print_Area" localSheetId="25">T13C!$A$1:$Q$17</definedName>
    <definedName name="_xlnm.Print_Area" localSheetId="26">T13D!$A$1:$Q$17</definedName>
    <definedName name="_xlnm.Print_Area" localSheetId="3">'T2 - Overzicht'!$A$1:$F$32</definedName>
    <definedName name="_xlnm.Print_Area" localSheetId="4">'T3'!$A$1:$O$225</definedName>
    <definedName name="_xlnm.Print_Area" localSheetId="5">T4A!$A$1:$Q$69</definedName>
    <definedName name="_xlnm.Print_Area" localSheetId="6">T4B!$A$1:$R$737</definedName>
    <definedName name="_xlnm.Print_Area" localSheetId="7">T4C!$A$1:$N$107</definedName>
    <definedName name="_xlnm.Print_Area" localSheetId="8">T5A!$A$1:$Q$102</definedName>
    <definedName name="_xlnm.Print_Area" localSheetId="9">T5B!$A$1:$R$681</definedName>
    <definedName name="_xlnm.Print_Area" localSheetId="10">T5C!$A$1:$Q$49</definedName>
    <definedName name="_xlnm.Print_Area" localSheetId="11">T5D!$A$1:$O$33</definedName>
    <definedName name="_xlnm.Print_Area" localSheetId="12">T5E!$A$1:$Q$37</definedName>
    <definedName name="_xlnm.Print_Area" localSheetId="13">T5F!$A$1:$J$29</definedName>
    <definedName name="_xlnm.Print_Area" localSheetId="14">T6A!$A$1:$O$123</definedName>
    <definedName name="_xlnm.Print_Area" localSheetId="15">T6B!$A$1:$P$626</definedName>
    <definedName name="_xlnm.Print_Area" localSheetId="16">'T7'!$A$1:$O$61</definedName>
    <definedName name="_xlnm.Print_Area" localSheetId="17">'T8'!$A$1:$K$49</definedName>
    <definedName name="_xlnm.Print_Area" localSheetId="0">TITELBLAD!$A$1:$Q$39</definedName>
    <definedName name="_xlnm.Print_Titles" localSheetId="5">T4A!$2:$2</definedName>
    <definedName name="_xlnm.Print_Titles" localSheetId="7">T4C!$2:$2</definedName>
    <definedName name="_xlnm.Print_Titles" localSheetId="8">T5A!$2:$2</definedName>
    <definedName name="_xlnm.Print_Titles" localSheetId="14">T6A!$2:$2</definedName>
    <definedName name="_xlnm.Print_Titles" localSheetId="16">'T7'!$2:$2</definedName>
    <definedName name="_xlnm.Print_Titles" localSheetId="17">'T8'!$2:$2</definedName>
    <definedName name="Aftakklem_LS" localSheetId="5">'[1]BASISPRIJZEN MATERIAAL'!$I$188</definedName>
    <definedName name="Aftakklem_LS" localSheetId="7">'[1]BASISPRIJZEN MATERIAAL'!$I$188</definedName>
    <definedName name="Aftakklem_LS" localSheetId="8">'[1]BASISPRIJZEN MATERIAAL'!$I$188</definedName>
    <definedName name="Aftakklem_LS" localSheetId="11">'[2]BASISPRIJZEN MATERIAAL'!$I$188</definedName>
    <definedName name="Aftakklem_LS" localSheetId="14">'[1]BASISPRIJZEN MATERIAAL'!$I$188</definedName>
    <definedName name="Aftakklem_LS" localSheetId="16">'[1]BASISPRIJZEN MATERIAAL'!$I$188</definedName>
    <definedName name="Aftakklem_LS" localSheetId="17">'[1]BASISPRIJZEN MATERIAAL'!$I$188</definedName>
    <definedName name="Aftakklem_LS" localSheetId="0">'[3]BASISPRIJZEN MATERIAAL'!$I$188</definedName>
    <definedName name="Aftakklem_LS">'[1]BASISPRIJZEN MATERIAAL'!$I$188</definedName>
    <definedName name="Codes" localSheetId="5">'[4]Codes des IM'!$B$2:$D$23</definedName>
    <definedName name="Codes" localSheetId="7">'[4]Codes des IM'!$B$2:$D$23</definedName>
    <definedName name="Codes" localSheetId="8">'[4]Codes des IM'!$B$2:$D$23</definedName>
    <definedName name="Codes" localSheetId="11">'[5]Codes des IM'!$B$2:$D$23</definedName>
    <definedName name="Codes" localSheetId="14">'[4]Codes des IM'!$B$2:$D$23</definedName>
    <definedName name="Codes" localSheetId="16">'[4]Codes des IM'!$B$2:$D$23</definedName>
    <definedName name="Codes" localSheetId="17">'[4]Codes des IM'!$B$2:$D$23</definedName>
    <definedName name="Codes" localSheetId="0">'[5]Codes des IM'!$B$2:$D$23</definedName>
    <definedName name="Codes">'[4]Codes des IM'!$B$2:$D$23</definedName>
    <definedName name="Forfaitair_feeder">75000</definedName>
    <definedName name="Hangslot" localSheetId="5">'[1]BASISPRIJZEN MATERIAAL'!$I$138</definedName>
    <definedName name="Hangslot" localSheetId="7">'[1]BASISPRIJZEN MATERIAAL'!$I$138</definedName>
    <definedName name="Hangslot" localSheetId="8">'[1]BASISPRIJZEN MATERIAAL'!$I$138</definedName>
    <definedName name="Hangslot" localSheetId="11">'[2]BASISPRIJZEN MATERIAAL'!$I$138</definedName>
    <definedName name="Hangslot" localSheetId="14">'[1]BASISPRIJZEN MATERIAAL'!$I$138</definedName>
    <definedName name="Hangslot" localSheetId="16">'[1]BASISPRIJZEN MATERIAAL'!$I$138</definedName>
    <definedName name="Hangslot" localSheetId="17">'[1]BASISPRIJZEN MATERIAAL'!$I$138</definedName>
    <definedName name="Hangslot" localSheetId="0">'[3]BASISPRIJZEN MATERIAAL'!$I$138</definedName>
    <definedName name="Hangslot">'[1]BASISPRIJZEN MATERIAAL'!$I$138</definedName>
    <definedName name="Kabelschoen_HS" localSheetId="5">'[1]BASISPRIJZEN MATERIAAL'!$I$201</definedName>
    <definedName name="Kabelschoen_HS" localSheetId="7">'[1]BASISPRIJZEN MATERIAAL'!$I$201</definedName>
    <definedName name="Kabelschoen_HS" localSheetId="8">'[1]BASISPRIJZEN MATERIAAL'!$I$201</definedName>
    <definedName name="Kabelschoen_HS" localSheetId="11">'[2]BASISPRIJZEN MATERIAAL'!$I$201</definedName>
    <definedName name="Kabelschoen_HS" localSheetId="14">'[1]BASISPRIJZEN MATERIAAL'!$I$201</definedName>
    <definedName name="Kabelschoen_HS" localSheetId="16">'[1]BASISPRIJZEN MATERIAAL'!$I$201</definedName>
    <definedName name="Kabelschoen_HS" localSheetId="17">'[1]BASISPRIJZEN MATERIAAL'!$I$201</definedName>
    <definedName name="Kabelschoen_HS" localSheetId="0">'[3]BASISPRIJZEN MATERIAAL'!$I$201</definedName>
    <definedName name="Kabelschoen_HS">'[1]BASISPRIJZEN MATERIAAL'!$I$201</definedName>
    <definedName name="Kabelschoen_LS" localSheetId="5">'[1]BASISPRIJZEN MATERIAAL'!$I$198</definedName>
    <definedName name="Kabelschoen_LS" localSheetId="7">'[1]BASISPRIJZEN MATERIAAL'!$I$198</definedName>
    <definedName name="Kabelschoen_LS" localSheetId="8">'[1]BASISPRIJZEN MATERIAAL'!$I$198</definedName>
    <definedName name="Kabelschoen_LS" localSheetId="11">'[2]BASISPRIJZEN MATERIAAL'!$I$198</definedName>
    <definedName name="Kabelschoen_LS" localSheetId="14">'[1]BASISPRIJZEN MATERIAAL'!$I$198</definedName>
    <definedName name="Kabelschoen_LS" localSheetId="16">'[1]BASISPRIJZEN MATERIAAL'!$I$198</definedName>
    <definedName name="Kabelschoen_LS" localSheetId="17">'[1]BASISPRIJZEN MATERIAAL'!$I$198</definedName>
    <definedName name="Kabelschoen_LS" localSheetId="0">'[3]BASISPRIJZEN MATERIAAL'!$I$198</definedName>
    <definedName name="Kabelschoen_LS">'[1]BASISPRIJZEN MATERIAAL'!$I$198</definedName>
    <definedName name="Kit_kunststof_AL" localSheetId="5">'[1]BASISPRIJZEN MATERIAAL'!$I$190</definedName>
    <definedName name="Kit_kunststof_AL" localSheetId="7">'[1]BASISPRIJZEN MATERIAAL'!$I$190</definedName>
    <definedName name="Kit_kunststof_AL" localSheetId="8">'[1]BASISPRIJZEN MATERIAAL'!$I$190</definedName>
    <definedName name="Kit_kunststof_AL" localSheetId="11">'[2]BASISPRIJZEN MATERIAAL'!$I$190</definedName>
    <definedName name="Kit_kunststof_AL" localSheetId="14">'[1]BASISPRIJZEN MATERIAAL'!$I$190</definedName>
    <definedName name="Kit_kunststof_AL" localSheetId="16">'[1]BASISPRIJZEN MATERIAAL'!$I$190</definedName>
    <definedName name="Kit_kunststof_AL" localSheetId="17">'[1]BASISPRIJZEN MATERIAAL'!$I$190</definedName>
    <definedName name="Kit_kunststof_AL" localSheetId="0">'[3]BASISPRIJZEN MATERIAAL'!$I$190</definedName>
    <definedName name="Kit_kunststof_AL">'[1]BASISPRIJZEN MATERIAAL'!$I$190</definedName>
    <definedName name="Kit_kunststof_papierlood" localSheetId="5">'[1]BASISPRIJZEN MATERIAAL'!$I$191</definedName>
    <definedName name="Kit_kunststof_papierlood" localSheetId="7">'[1]BASISPRIJZEN MATERIAAL'!$I$191</definedName>
    <definedName name="Kit_kunststof_papierlood" localSheetId="8">'[1]BASISPRIJZEN MATERIAAL'!$I$191</definedName>
    <definedName name="Kit_kunststof_papierlood" localSheetId="11">'[2]BASISPRIJZEN MATERIAAL'!$I$191</definedName>
    <definedName name="Kit_kunststof_papierlood" localSheetId="14">'[1]BASISPRIJZEN MATERIAAL'!$I$191</definedName>
    <definedName name="Kit_kunststof_papierlood" localSheetId="16">'[1]BASISPRIJZEN MATERIAAL'!$I$191</definedName>
    <definedName name="Kit_kunststof_papierlood" localSheetId="17">'[1]BASISPRIJZEN MATERIAAL'!$I$191</definedName>
    <definedName name="Kit_kunststof_papierlood" localSheetId="0">'[3]BASISPRIJZEN MATERIAAL'!$I$191</definedName>
    <definedName name="Kit_kunststof_papierlood">'[1]BASISPRIJZEN MATERIAAL'!$I$191</definedName>
    <definedName name="Kit_papierlood" localSheetId="5">'[1]BASISPRIJZEN MATERIAAL'!$I$189</definedName>
    <definedName name="Kit_papierlood" localSheetId="7">'[1]BASISPRIJZEN MATERIAAL'!$I$189</definedName>
    <definedName name="Kit_papierlood" localSheetId="8">'[1]BASISPRIJZEN MATERIAAL'!$I$189</definedName>
    <definedName name="Kit_papierlood" localSheetId="11">'[2]BASISPRIJZEN MATERIAAL'!$I$189</definedName>
    <definedName name="Kit_papierlood" localSheetId="14">'[1]BASISPRIJZEN MATERIAAL'!$I$189</definedName>
    <definedName name="Kit_papierlood" localSheetId="16">'[1]BASISPRIJZEN MATERIAAL'!$I$189</definedName>
    <definedName name="Kit_papierlood" localSheetId="17">'[1]BASISPRIJZEN MATERIAAL'!$I$189</definedName>
    <definedName name="Kit_papierlood" localSheetId="0">'[3]BASISPRIJZEN MATERIAAL'!$I$189</definedName>
    <definedName name="Kit_papierlood">'[1]BASISPRIJZEN MATERIAAL'!$I$189</definedName>
    <definedName name="Klein_materiaal_10">10</definedName>
    <definedName name="Klein_materiaal_100">100</definedName>
    <definedName name="Klein_materiaal_25">25</definedName>
    <definedName name="Plaat_postnummer_telefoon" localSheetId="5">'[1]BASISPRIJZEN MATERIAAL'!$I$160</definedName>
    <definedName name="Plaat_postnummer_telefoon" localSheetId="7">'[1]BASISPRIJZEN MATERIAAL'!$I$160</definedName>
    <definedName name="Plaat_postnummer_telefoon" localSheetId="8">'[1]BASISPRIJZEN MATERIAAL'!$I$160</definedName>
    <definedName name="Plaat_postnummer_telefoon" localSheetId="11">'[2]BASISPRIJZEN MATERIAAL'!$I$160</definedName>
    <definedName name="Plaat_postnummer_telefoon" localSheetId="14">'[1]BASISPRIJZEN MATERIAAL'!$I$160</definedName>
    <definedName name="Plaat_postnummer_telefoon" localSheetId="16">'[1]BASISPRIJZEN MATERIAAL'!$I$160</definedName>
    <definedName name="Plaat_postnummer_telefoon" localSheetId="17">'[1]BASISPRIJZEN MATERIAAL'!$I$160</definedName>
    <definedName name="Plaat_postnummer_telefoon" localSheetId="0">'[3]BASISPRIJZEN MATERIAAL'!$I$160</definedName>
    <definedName name="Plaat_postnummer_telefoon">'[1]BASISPRIJZEN MATERIAAL'!$I$160</definedName>
    <definedName name="SAPBEXrevision" localSheetId="12" hidden="1">23</definedName>
    <definedName name="SAPBEXrevision" localSheetId="13" hidden="1">23</definedName>
    <definedName name="SAPBEXrevision" hidden="1">10</definedName>
    <definedName name="SAPBEXsysID" hidden="1">"BP1"</definedName>
    <definedName name="SAPBEXwbID" localSheetId="12" hidden="1">"3OXN00JDSWKKLN5ZRDB3JJU3L"</definedName>
    <definedName name="SAPBEXwbID" localSheetId="13" hidden="1">"3OXN00JDSWKKLN5ZRDB3JJU3L"</definedName>
    <definedName name="SAPBEXwbID" hidden="1">"4751QXOCD67AJ09JC6QHJDZY6"</definedName>
    <definedName name="Sleutelkastje" localSheetId="5">'[1]BASISPRIJZEN MATERIAAL'!$I$159</definedName>
    <definedName name="Sleutelkastje" localSheetId="7">'[1]BASISPRIJZEN MATERIAAL'!$I$159</definedName>
    <definedName name="Sleutelkastje" localSheetId="8">'[1]BASISPRIJZEN MATERIAAL'!$I$159</definedName>
    <definedName name="Sleutelkastje" localSheetId="11">'[2]BASISPRIJZEN MATERIAAL'!$I$159</definedName>
    <definedName name="Sleutelkastje" localSheetId="14">'[1]BASISPRIJZEN MATERIAAL'!$I$159</definedName>
    <definedName name="Sleutelkastje" localSheetId="16">'[1]BASISPRIJZEN MATERIAAL'!$I$159</definedName>
    <definedName name="Sleutelkastje" localSheetId="17">'[1]BASISPRIJZEN MATERIAAL'!$I$159</definedName>
    <definedName name="Sleutelkastje" localSheetId="0">'[3]BASISPRIJZEN MATERIAAL'!$I$159</definedName>
    <definedName name="Sleutelkastje">'[1]BASISPRIJZEN MATERIAAL'!$I$159</definedName>
    <definedName name="Slot_voor_sleutelkastje" localSheetId="5">'[1]BASISPRIJZEN MATERIAAL'!$I$158</definedName>
    <definedName name="Slot_voor_sleutelkastje" localSheetId="7">'[1]BASISPRIJZEN MATERIAAL'!$I$158</definedName>
    <definedName name="Slot_voor_sleutelkastje" localSheetId="8">'[1]BASISPRIJZEN MATERIAAL'!$I$158</definedName>
    <definedName name="Slot_voor_sleutelkastje" localSheetId="11">'[2]BASISPRIJZEN MATERIAAL'!$I$158</definedName>
    <definedName name="Slot_voor_sleutelkastje" localSheetId="14">'[1]BASISPRIJZEN MATERIAAL'!$I$158</definedName>
    <definedName name="Slot_voor_sleutelkastje" localSheetId="16">'[1]BASISPRIJZEN MATERIAAL'!$I$158</definedName>
    <definedName name="Slot_voor_sleutelkastje" localSheetId="17">'[1]BASISPRIJZEN MATERIAAL'!$I$158</definedName>
    <definedName name="Slot_voor_sleutelkastje" localSheetId="0">'[3]BASISPRIJZEN MATERIAAL'!$I$158</definedName>
    <definedName name="Slot_voor_sleutelkastje">'[1]BASISPRIJZEN MATERIAAL'!$I$158</definedName>
    <definedName name="Terminal_kunststof" localSheetId="5">'[1]BASISPRIJZEN MATERIAAL'!$I$195</definedName>
    <definedName name="Terminal_kunststof" localSheetId="7">'[1]BASISPRIJZEN MATERIAAL'!$I$195</definedName>
    <definedName name="Terminal_kunststof" localSheetId="8">'[1]BASISPRIJZEN MATERIAAL'!$I$195</definedName>
    <definedName name="Terminal_kunststof" localSheetId="11">'[2]BASISPRIJZEN MATERIAAL'!$I$195</definedName>
    <definedName name="Terminal_kunststof" localSheetId="14">'[1]BASISPRIJZEN MATERIAAL'!$I$195</definedName>
    <definedName name="Terminal_kunststof" localSheetId="16">'[1]BASISPRIJZEN MATERIAAL'!$I$195</definedName>
    <definedName name="Terminal_kunststof" localSheetId="17">'[1]BASISPRIJZEN MATERIAAL'!$I$195</definedName>
    <definedName name="Terminal_kunststof" localSheetId="0">'[3]BASISPRIJZEN MATERIAAL'!$I$195</definedName>
    <definedName name="Terminal_kunststof">'[1]BASISPRIJZEN MATERIAAL'!$I$195</definedName>
    <definedName name="Terminal_LS" localSheetId="5">'[1]BASISPRIJZEN MATERIAAL'!$I$200</definedName>
    <definedName name="Terminal_LS" localSheetId="7">'[1]BASISPRIJZEN MATERIAAL'!$I$200</definedName>
    <definedName name="Terminal_LS" localSheetId="8">'[1]BASISPRIJZEN MATERIAAL'!$I$200</definedName>
    <definedName name="Terminal_LS" localSheetId="11">'[2]BASISPRIJZEN MATERIAAL'!$I$200</definedName>
    <definedName name="Terminal_LS" localSheetId="14">'[1]BASISPRIJZEN MATERIAAL'!$I$200</definedName>
    <definedName name="Terminal_LS" localSheetId="16">'[1]BASISPRIJZEN MATERIAAL'!$I$200</definedName>
    <definedName name="Terminal_LS" localSheetId="17">'[1]BASISPRIJZEN MATERIAAL'!$I$200</definedName>
    <definedName name="Terminal_LS" localSheetId="0">'[3]BASISPRIJZEN MATERIAAL'!$I$200</definedName>
    <definedName name="Terminal_LS">'[1]BASISPRIJZEN MATERIAAL'!$I$200</definedName>
    <definedName name="Traduction1" localSheetId="5">'[4]Codes des IM'!$A$28:$D$1853</definedName>
    <definedName name="Traduction1" localSheetId="7">'[4]Codes des IM'!$A$28:$D$1853</definedName>
    <definedName name="Traduction1" localSheetId="8">'[4]Codes des IM'!$A$28:$D$1853</definedName>
    <definedName name="Traduction1" localSheetId="11">'[5]Codes des IM'!$A$28:$D$1853</definedName>
    <definedName name="Traduction1" localSheetId="14">'[4]Codes des IM'!$A$28:$D$1853</definedName>
    <definedName name="Traduction1" localSheetId="16">'[4]Codes des IM'!$A$28:$D$1853</definedName>
    <definedName name="Traduction1" localSheetId="17">'[4]Codes des IM'!$A$28:$D$1853</definedName>
    <definedName name="Traduction1" localSheetId="0">'[5]Codes des IM'!$A$28:$D$1853</definedName>
    <definedName name="Traduction1">'[4]Codes des IM'!$A$28:$D$1853</definedName>
    <definedName name="Verbinder_kunststof_M4" localSheetId="5">'[1]BASISPRIJZEN MATERIAAL'!$I$192</definedName>
    <definedName name="Verbinder_kunststof_M4" localSheetId="7">'[1]BASISPRIJZEN MATERIAAL'!$I$192</definedName>
    <definedName name="Verbinder_kunststof_M4" localSheetId="8">'[1]BASISPRIJZEN MATERIAAL'!$I$192</definedName>
    <definedName name="Verbinder_kunststof_M4" localSheetId="11">'[2]BASISPRIJZEN MATERIAAL'!$I$192</definedName>
    <definedName name="Verbinder_kunststof_M4" localSheetId="14">'[1]BASISPRIJZEN MATERIAAL'!$I$192</definedName>
    <definedName name="Verbinder_kunststof_M4" localSheetId="16">'[1]BASISPRIJZEN MATERIAAL'!$I$192</definedName>
    <definedName name="Verbinder_kunststof_M4" localSheetId="17">'[1]BASISPRIJZEN MATERIAAL'!$I$192</definedName>
    <definedName name="Verbinder_kunststof_M4" localSheetId="0">'[3]BASISPRIJZEN MATERIAAL'!$I$192</definedName>
    <definedName name="Verbinder_kunststof_M4">'[1]BASISPRIJZEN MATERIAAL'!$I$192</definedName>
    <definedName name="Verbinder_kunststof_papierlood_M3" localSheetId="5">'[1]BASISPRIJZEN MATERIAAL'!$I$192</definedName>
    <definedName name="Verbinder_kunststof_papierlood_M3" localSheetId="7">'[1]BASISPRIJZEN MATERIAAL'!$I$192</definedName>
    <definedName name="Verbinder_kunststof_papierlood_M3" localSheetId="8">'[1]BASISPRIJZEN MATERIAAL'!$I$192</definedName>
    <definedName name="Verbinder_kunststof_papierlood_M3" localSheetId="11">'[2]BASISPRIJZEN MATERIAAL'!$I$192</definedName>
    <definedName name="Verbinder_kunststof_papierlood_M3" localSheetId="14">'[1]BASISPRIJZEN MATERIAAL'!$I$192</definedName>
    <definedName name="Verbinder_kunststof_papierlood_M3" localSheetId="16">'[1]BASISPRIJZEN MATERIAAL'!$I$192</definedName>
    <definedName name="Verbinder_kunststof_papierlood_M3" localSheetId="17">'[1]BASISPRIJZEN MATERIAAL'!$I$192</definedName>
    <definedName name="Verbinder_kunststof_papierlood_M3" localSheetId="0">'[3]BASISPRIJZEN MATERIAAL'!$I$192</definedName>
    <definedName name="Verbinder_kunststof_papierlood_M3">'[1]BASISPRIJZEN MATERIAAL'!$I$192</definedName>
    <definedName name="Verbinder_papierlood_M3" localSheetId="5">'[1]BASISPRIJZEN MATERIAAL'!$I$192</definedName>
    <definedName name="Verbinder_papierlood_M3" localSheetId="7">'[1]BASISPRIJZEN MATERIAAL'!$I$192</definedName>
    <definedName name="Verbinder_papierlood_M3" localSheetId="8">'[1]BASISPRIJZEN MATERIAAL'!$I$192</definedName>
    <definedName name="Verbinder_papierlood_M3" localSheetId="11">'[2]BASISPRIJZEN MATERIAAL'!$I$192</definedName>
    <definedName name="Verbinder_papierlood_M3" localSheetId="14">'[1]BASISPRIJZEN MATERIAAL'!$I$192</definedName>
    <definedName name="Verbinder_papierlood_M3" localSheetId="16">'[1]BASISPRIJZEN MATERIAAL'!$I$192</definedName>
    <definedName name="Verbinder_papierlood_M3" localSheetId="17">'[1]BASISPRIJZEN MATERIAAL'!$I$192</definedName>
    <definedName name="Verbinder_papierlood_M3" localSheetId="0">'[3]BASISPRIJZEN MATERIAAL'!$I$192</definedName>
    <definedName name="Verbinder_papierlood_M3">'[1]BASISPRIJZEN MATERIAAL'!$I$192</definedName>
    <definedName name="Wikkeldoos_LS" localSheetId="5">'[1]BASISPRIJZEN MATERIAAL'!$I$199</definedName>
    <definedName name="Wikkeldoos_LS" localSheetId="7">'[1]BASISPRIJZEN MATERIAAL'!$I$199</definedName>
    <definedName name="Wikkeldoos_LS" localSheetId="8">'[1]BASISPRIJZEN MATERIAAL'!$I$199</definedName>
    <definedName name="Wikkeldoos_LS" localSheetId="11">'[2]BASISPRIJZEN MATERIAAL'!$I$199</definedName>
    <definedName name="Wikkeldoos_LS" localSheetId="14">'[1]BASISPRIJZEN MATERIAAL'!$I$199</definedName>
    <definedName name="Wikkeldoos_LS" localSheetId="16">'[1]BASISPRIJZEN MATERIAAL'!$I$199</definedName>
    <definedName name="Wikkeldoos_LS" localSheetId="17">'[1]BASISPRIJZEN MATERIAAL'!$I$199</definedName>
    <definedName name="Wikkeldoos_LS" localSheetId="0">'[3]BASISPRIJZEN MATERIAAL'!$I$199</definedName>
    <definedName name="Wikkeldoos_LS">'[1]BASISPRIJZEN MATERIAAL'!$I$199</definedName>
    <definedName name="Z_C8C7977F_B6BF_432B_A1A7_559450D521AF_.wvu.PrintArea" localSheetId="5" hidden="1">T4A!$A$1:$Q$69</definedName>
    <definedName name="Z_C8C7977F_B6BF_432B_A1A7_559450D521AF_.wvu.PrintArea" localSheetId="7" hidden="1">T4C!$A$1:$N$60</definedName>
    <definedName name="Z_C8C7977F_B6BF_432B_A1A7_559450D521AF_.wvu.PrintArea" localSheetId="8" hidden="1">T5A!$A$1:$Q$102</definedName>
    <definedName name="Z_C8C7977F_B6BF_432B_A1A7_559450D521AF_.wvu.PrintArea" localSheetId="14" hidden="1">T6A!$A$1:$O$123</definedName>
    <definedName name="Z_C8C7977F_B6BF_432B_A1A7_559450D521AF_.wvu.PrintArea" localSheetId="16" hidden="1">'T7'!$A$1:$O$61</definedName>
    <definedName name="Z_C8C7977F_B6BF_432B_A1A7_559450D521AF_.wvu.PrintArea" localSheetId="17" hidden="1">'T8'!$A$1:$K$49</definedName>
    <definedName name="Z_C8C7977F_B6BF_432B_A1A7_559450D521AF_.wvu.PrintArea" localSheetId="0" hidden="1">TITELBLAD!$A$1:$Q$39</definedName>
    <definedName name="Z_C8C7977F_B6BF_432B_A1A7_559450D521AF_.wvu.PrintTitles" localSheetId="5" hidden="1">T4A!$2:$2</definedName>
    <definedName name="Z_C8C7977F_B6BF_432B_A1A7_559450D521AF_.wvu.PrintTitles" localSheetId="7" hidden="1">T4C!$2:$2</definedName>
    <definedName name="Z_C8C7977F_B6BF_432B_A1A7_559450D521AF_.wvu.PrintTitles" localSheetId="8" hidden="1">T5A!$2:$2</definedName>
    <definedName name="Z_C8C7977F_B6BF_432B_A1A7_559450D521AF_.wvu.PrintTitles" localSheetId="14" hidden="1">T6A!$2:$2</definedName>
    <definedName name="Z_C8C7977F_B6BF_432B_A1A7_559450D521AF_.wvu.PrintTitles" localSheetId="16" hidden="1">'T7'!$2:$2</definedName>
    <definedName name="Z_C8C7977F_B6BF_432B_A1A7_559450D521AF_.wvu.PrintTitles" localSheetId="17" hidden="1">'T8'!$2:$2</definedName>
  </definedNames>
  <calcPr calcId="191029"/>
  <customWorkbookViews>
    <customWorkbookView name="Marc Michiels - Persoonlijke weergave" guid="{C8C7977F-B6BF-432B-A1A7-559450D521AF}" mergeInterval="0" personalView="1" maximized="1" windowWidth="1280" windowHeight="798" tabRatio="791" activeSheetId="8"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43" i="5" l="1"/>
  <c r="A141" i="5"/>
  <c r="H18" i="39" l="1"/>
  <c r="J76" i="39"/>
  <c r="J75" i="39"/>
  <c r="J74" i="39"/>
  <c r="J73" i="39"/>
  <c r="J72" i="39"/>
  <c r="J71" i="39"/>
  <c r="J70" i="39"/>
  <c r="J69" i="39"/>
  <c r="J68" i="39"/>
  <c r="J67" i="39"/>
  <c r="J66" i="39"/>
  <c r="J65" i="39"/>
  <c r="J64" i="39"/>
  <c r="J63" i="39"/>
  <c r="J62" i="39"/>
  <c r="J61" i="39"/>
  <c r="J60" i="39"/>
  <c r="J59" i="39"/>
  <c r="J58" i="39"/>
  <c r="J57" i="39"/>
  <c r="J56" i="39"/>
  <c r="J55" i="39"/>
  <c r="J54" i="39"/>
  <c r="J53" i="39"/>
  <c r="I51" i="39"/>
  <c r="H51" i="39"/>
  <c r="J43" i="39"/>
  <c r="J42" i="39"/>
  <c r="J41" i="39"/>
  <c r="J40" i="39"/>
  <c r="J39" i="39"/>
  <c r="J38" i="39"/>
  <c r="J37" i="39"/>
  <c r="J36" i="39"/>
  <c r="J35" i="39"/>
  <c r="J34" i="39"/>
  <c r="J33" i="39"/>
  <c r="J32" i="39"/>
  <c r="J31" i="39"/>
  <c r="J30" i="39"/>
  <c r="J29" i="39"/>
  <c r="J28" i="39"/>
  <c r="J27" i="39"/>
  <c r="J26" i="39"/>
  <c r="J25" i="39"/>
  <c r="J24" i="39"/>
  <c r="J23" i="39"/>
  <c r="J22" i="39"/>
  <c r="J21" i="39"/>
  <c r="J20" i="39"/>
  <c r="I18" i="39"/>
  <c r="I51" i="38"/>
  <c r="I78" i="39"/>
  <c r="I45" i="39"/>
  <c r="J76" i="38"/>
  <c r="J75" i="38"/>
  <c r="J74" i="38"/>
  <c r="J73" i="38"/>
  <c r="J72" i="38"/>
  <c r="J71" i="38"/>
  <c r="J70" i="38"/>
  <c r="J69" i="38"/>
  <c r="J68" i="38"/>
  <c r="J67" i="38"/>
  <c r="J66" i="38"/>
  <c r="J65" i="38"/>
  <c r="J64" i="38"/>
  <c r="J63" i="38"/>
  <c r="J62" i="38"/>
  <c r="J61" i="38"/>
  <c r="J60" i="38"/>
  <c r="J59" i="38"/>
  <c r="J58" i="38"/>
  <c r="J57" i="38"/>
  <c r="J56" i="38"/>
  <c r="J55" i="38"/>
  <c r="J54" i="38"/>
  <c r="J53" i="38"/>
  <c r="H51" i="38"/>
  <c r="J43" i="38"/>
  <c r="J42" i="38"/>
  <c r="J41" i="38"/>
  <c r="J40" i="38"/>
  <c r="J39" i="38"/>
  <c r="J38" i="38"/>
  <c r="J37" i="38"/>
  <c r="J36" i="38"/>
  <c r="J35" i="38"/>
  <c r="J34" i="38"/>
  <c r="J33" i="38"/>
  <c r="J32" i="38"/>
  <c r="J31" i="38"/>
  <c r="J30" i="38"/>
  <c r="J29" i="38"/>
  <c r="J28" i="38"/>
  <c r="J27" i="38"/>
  <c r="J26" i="38"/>
  <c r="J25" i="38"/>
  <c r="J24" i="38"/>
  <c r="J23" i="38"/>
  <c r="J22" i="38"/>
  <c r="J21" i="38"/>
  <c r="J20" i="38"/>
  <c r="I18" i="38"/>
  <c r="H18" i="38"/>
  <c r="I78" i="38"/>
  <c r="I45" i="38"/>
  <c r="J118" i="37"/>
  <c r="J117" i="37"/>
  <c r="J116" i="37"/>
  <c r="J115" i="37"/>
  <c r="J114" i="37"/>
  <c r="J113" i="37"/>
  <c r="J112" i="37"/>
  <c r="J111" i="37"/>
  <c r="J110" i="37"/>
  <c r="J109" i="37"/>
  <c r="J108" i="37"/>
  <c r="J107" i="37"/>
  <c r="J106" i="37"/>
  <c r="J105" i="37"/>
  <c r="J104" i="37"/>
  <c r="J103" i="37"/>
  <c r="J102" i="37"/>
  <c r="J101" i="37"/>
  <c r="J100" i="37"/>
  <c r="J99" i="37"/>
  <c r="J98" i="37"/>
  <c r="J97" i="37"/>
  <c r="J96" i="37"/>
  <c r="J95" i="37"/>
  <c r="J94" i="37"/>
  <c r="J93" i="37"/>
  <c r="J92" i="37"/>
  <c r="J91" i="37"/>
  <c r="J90" i="37"/>
  <c r="J89" i="37"/>
  <c r="J88" i="37"/>
  <c r="J87" i="37"/>
  <c r="J86" i="37"/>
  <c r="J85" i="37"/>
  <c r="J84" i="37"/>
  <c r="J83" i="37"/>
  <c r="J82" i="37"/>
  <c r="J81" i="37"/>
  <c r="J80" i="37"/>
  <c r="J79" i="37"/>
  <c r="J78" i="37"/>
  <c r="J77" i="37"/>
  <c r="J76" i="37"/>
  <c r="J75" i="37"/>
  <c r="J74" i="37"/>
  <c r="I72" i="37"/>
  <c r="H72" i="37"/>
  <c r="J64" i="37"/>
  <c r="J63" i="37"/>
  <c r="J62" i="37"/>
  <c r="J61" i="37"/>
  <c r="J60" i="37"/>
  <c r="J59" i="37"/>
  <c r="J58" i="37"/>
  <c r="J57" i="37"/>
  <c r="J56" i="37"/>
  <c r="J55" i="37"/>
  <c r="J54" i="37"/>
  <c r="J53" i="37"/>
  <c r="J52" i="37"/>
  <c r="J51" i="37"/>
  <c r="J50" i="37"/>
  <c r="J49" i="37"/>
  <c r="J48" i="37"/>
  <c r="J47" i="37"/>
  <c r="J46" i="37"/>
  <c r="J45" i="37"/>
  <c r="J44" i="37"/>
  <c r="J43" i="37"/>
  <c r="J42" i="37"/>
  <c r="J41" i="37"/>
  <c r="J40" i="37"/>
  <c r="J39" i="37"/>
  <c r="J38" i="37"/>
  <c r="J37" i="37"/>
  <c r="J36" i="37"/>
  <c r="J35" i="37"/>
  <c r="J34" i="37"/>
  <c r="J33" i="37"/>
  <c r="J32" i="37"/>
  <c r="J31" i="37"/>
  <c r="J30" i="37"/>
  <c r="J29" i="37"/>
  <c r="J28" i="37"/>
  <c r="J27" i="37"/>
  <c r="J26" i="37"/>
  <c r="J25" i="37"/>
  <c r="J24" i="37"/>
  <c r="J23" i="37"/>
  <c r="J22" i="37"/>
  <c r="J21" i="37"/>
  <c r="J20" i="37"/>
  <c r="I18" i="37"/>
  <c r="H18" i="37"/>
  <c r="I120" i="37"/>
  <c r="I66" i="37"/>
  <c r="J118" i="36"/>
  <c r="J117" i="36"/>
  <c r="J116" i="36"/>
  <c r="J115" i="36"/>
  <c r="J114" i="36"/>
  <c r="J113" i="36"/>
  <c r="J112" i="36"/>
  <c r="J111" i="36"/>
  <c r="J110" i="36"/>
  <c r="J109" i="36"/>
  <c r="J108" i="36"/>
  <c r="J107" i="36"/>
  <c r="J106" i="36"/>
  <c r="J105" i="36"/>
  <c r="J104" i="36"/>
  <c r="J103" i="36"/>
  <c r="J102" i="36"/>
  <c r="J101" i="36"/>
  <c r="J100" i="36"/>
  <c r="J99" i="36"/>
  <c r="J98" i="36"/>
  <c r="J97" i="36"/>
  <c r="J96" i="36"/>
  <c r="J95" i="36"/>
  <c r="J94" i="36"/>
  <c r="J93" i="36"/>
  <c r="J92" i="36"/>
  <c r="J91" i="36"/>
  <c r="J90" i="36"/>
  <c r="J89" i="36"/>
  <c r="J88" i="36"/>
  <c r="J87" i="36"/>
  <c r="J86" i="36"/>
  <c r="J85" i="36"/>
  <c r="J84" i="36"/>
  <c r="J83" i="36"/>
  <c r="J82" i="36"/>
  <c r="J81" i="36"/>
  <c r="J80" i="36"/>
  <c r="J79" i="36"/>
  <c r="J78" i="36"/>
  <c r="J77" i="36"/>
  <c r="J76" i="36"/>
  <c r="J75" i="36"/>
  <c r="J74" i="36"/>
  <c r="I72" i="36"/>
  <c r="H72" i="36"/>
  <c r="J64" i="36"/>
  <c r="J63" i="36"/>
  <c r="J62" i="36"/>
  <c r="J61" i="36"/>
  <c r="J60" i="36"/>
  <c r="J59" i="36"/>
  <c r="J58" i="36"/>
  <c r="J57" i="36"/>
  <c r="J56" i="36"/>
  <c r="J55" i="36"/>
  <c r="J54" i="36"/>
  <c r="J53" i="36"/>
  <c r="J52" i="36"/>
  <c r="J51" i="36"/>
  <c r="J50" i="36"/>
  <c r="J49" i="36"/>
  <c r="J48" i="36"/>
  <c r="J47" i="36"/>
  <c r="J46" i="36"/>
  <c r="J45" i="36"/>
  <c r="J44" i="36"/>
  <c r="J43" i="36"/>
  <c r="J42" i="36"/>
  <c r="J41" i="36"/>
  <c r="J40" i="36"/>
  <c r="J39" i="36"/>
  <c r="J38" i="36"/>
  <c r="J37" i="36"/>
  <c r="J36" i="36"/>
  <c r="J35" i="36"/>
  <c r="J34" i="36"/>
  <c r="J33" i="36"/>
  <c r="J32" i="36"/>
  <c r="J31" i="36"/>
  <c r="J30" i="36"/>
  <c r="J29" i="36"/>
  <c r="J28" i="36"/>
  <c r="J27" i="36"/>
  <c r="J26" i="36"/>
  <c r="J25" i="36"/>
  <c r="J24" i="36"/>
  <c r="J23" i="36"/>
  <c r="J22" i="36"/>
  <c r="J21" i="36"/>
  <c r="I18" i="36"/>
  <c r="H18" i="36"/>
  <c r="I120" i="36"/>
  <c r="I66" i="36"/>
  <c r="D43" i="5" l="1"/>
  <c r="D40" i="5"/>
  <c r="Q62" i="2" l="1"/>
  <c r="Q74" i="2" s="1"/>
  <c r="P62" i="2"/>
  <c r="O62" i="2"/>
  <c r="N62" i="2"/>
  <c r="M62" i="2"/>
  <c r="L62" i="2"/>
  <c r="K62" i="2"/>
  <c r="J62" i="2"/>
  <c r="I62" i="2"/>
  <c r="H62" i="2"/>
  <c r="G62" i="2"/>
  <c r="R64" i="2"/>
  <c r="R63" i="2"/>
  <c r="R62" i="2" s="1"/>
  <c r="Q45" i="2"/>
  <c r="Q78" i="2" s="1"/>
  <c r="P45" i="2"/>
  <c r="P74" i="2" s="1"/>
  <c r="O45" i="2"/>
  <c r="O74" i="2" s="1"/>
  <c r="N45" i="2"/>
  <c r="N78" i="2" s="1"/>
  <c r="M45" i="2"/>
  <c r="L45" i="2"/>
  <c r="L74" i="2" s="1"/>
  <c r="K45" i="2"/>
  <c r="K74" i="2" s="1"/>
  <c r="J45" i="2"/>
  <c r="J78" i="2" s="1"/>
  <c r="I45" i="2"/>
  <c r="H45" i="2"/>
  <c r="H74" i="2" s="1"/>
  <c r="G45" i="2"/>
  <c r="G78" i="2" s="1"/>
  <c r="R60" i="2"/>
  <c r="R23" i="2"/>
  <c r="Q22" i="2"/>
  <c r="P22" i="2"/>
  <c r="O22" i="2"/>
  <c r="N22" i="2"/>
  <c r="M22" i="2"/>
  <c r="L22" i="2"/>
  <c r="K22" i="2"/>
  <c r="J22" i="2"/>
  <c r="I22" i="2"/>
  <c r="H22" i="2"/>
  <c r="G22" i="2"/>
  <c r="R24" i="2"/>
  <c r="Q12" i="2"/>
  <c r="Q35" i="2" s="1"/>
  <c r="P12" i="2"/>
  <c r="P35" i="2" s="1"/>
  <c r="O12" i="2"/>
  <c r="O35" i="2" s="1"/>
  <c r="N12" i="2"/>
  <c r="N35" i="2" s="1"/>
  <c r="M12" i="2"/>
  <c r="M35" i="2" s="1"/>
  <c r="L12" i="2"/>
  <c r="L35" i="2" s="1"/>
  <c r="K12" i="2"/>
  <c r="K35" i="2" s="1"/>
  <c r="J12" i="2"/>
  <c r="J35" i="2" s="1"/>
  <c r="I12" i="2"/>
  <c r="I35" i="2" s="1"/>
  <c r="H12" i="2"/>
  <c r="H35" i="2" s="1"/>
  <c r="G12" i="2"/>
  <c r="G35" i="2" s="1"/>
  <c r="R20" i="2"/>
  <c r="Q77" i="2" l="1"/>
  <c r="K78" i="2"/>
  <c r="I77" i="2"/>
  <c r="O78" i="2"/>
  <c r="I74" i="2"/>
  <c r="M74" i="2"/>
  <c r="M77" i="2"/>
  <c r="N74" i="2"/>
  <c r="G74" i="2"/>
  <c r="G77" i="2"/>
  <c r="J77" i="2"/>
  <c r="N77" i="2"/>
  <c r="H78" i="2"/>
  <c r="L78" i="2"/>
  <c r="P78" i="2"/>
  <c r="J74" i="2"/>
  <c r="K77" i="2"/>
  <c r="O77" i="2"/>
  <c r="I78" i="2"/>
  <c r="M78" i="2"/>
  <c r="H77" i="2"/>
  <c r="L77" i="2"/>
  <c r="P77" i="2"/>
  <c r="R22" i="2"/>
  <c r="A58" i="1" l="1"/>
  <c r="D13" i="41"/>
  <c r="C13" i="41"/>
  <c r="D12" i="41"/>
  <c r="C12" i="41"/>
  <c r="B2" i="41"/>
  <c r="C14" i="41" l="1"/>
  <c r="B21" i="33" s="1"/>
  <c r="D14" i="41"/>
  <c r="C21" i="33" s="1"/>
  <c r="F78" i="39"/>
  <c r="F45" i="39"/>
  <c r="F78" i="38"/>
  <c r="F45" i="38"/>
  <c r="F120" i="37"/>
  <c r="F66" i="37"/>
  <c r="F120" i="36"/>
  <c r="F66" i="36"/>
  <c r="R17" i="19" l="1"/>
  <c r="L27" i="8"/>
  <c r="K27" i="8"/>
  <c r="J27" i="8"/>
  <c r="I27" i="8"/>
  <c r="E15" i="22" l="1"/>
  <c r="D15" i="22"/>
  <c r="E14" i="22"/>
  <c r="D14" i="22"/>
  <c r="E13" i="22"/>
  <c r="D13" i="22"/>
  <c r="E12" i="22"/>
  <c r="D12" i="22"/>
  <c r="E10" i="22"/>
  <c r="D10" i="22"/>
  <c r="E9" i="22"/>
  <c r="D9" i="22"/>
  <c r="C15" i="22"/>
  <c r="C14" i="22"/>
  <c r="C13" i="22"/>
  <c r="C12" i="22"/>
  <c r="C10" i="22"/>
  <c r="C9" i="22"/>
  <c r="E172" i="5" l="1"/>
  <c r="D172" i="5"/>
  <c r="E74" i="5"/>
  <c r="D74" i="5"/>
  <c r="E68" i="5"/>
  <c r="D68" i="5"/>
  <c r="E62" i="5"/>
  <c r="D62" i="5"/>
  <c r="E56" i="5"/>
  <c r="D56" i="5"/>
  <c r="A26" i="5"/>
  <c r="E24" i="4"/>
  <c r="D16" i="4"/>
  <c r="A47" i="22" l="1"/>
  <c r="D18" i="35" l="1"/>
  <c r="C18" i="35"/>
  <c r="J88" i="22"/>
  <c r="H25" i="25"/>
  <c r="H27" i="25" s="1"/>
  <c r="I26" i="25"/>
  <c r="I27" i="25" s="1"/>
  <c r="J27" i="25"/>
  <c r="I42" i="25"/>
  <c r="J42" i="25"/>
  <c r="H56" i="25"/>
  <c r="I57" i="25"/>
  <c r="I58" i="25"/>
  <c r="J58" i="25"/>
  <c r="G24" i="25"/>
  <c r="L24" i="25"/>
  <c r="L25" i="25"/>
  <c r="L26" i="25"/>
  <c r="F85" i="25"/>
  <c r="G85" i="25"/>
  <c r="H85" i="25"/>
  <c r="F94" i="25"/>
  <c r="G94" i="25"/>
  <c r="H94" i="25"/>
  <c r="F96" i="25"/>
  <c r="G96" i="25" s="1"/>
  <c r="G40" i="25" s="1"/>
  <c r="F101" i="25"/>
  <c r="G101" i="25"/>
  <c r="H101" i="25"/>
  <c r="F103" i="25"/>
  <c r="G103" i="25" s="1"/>
  <c r="H41" i="25" s="1"/>
  <c r="H42" i="25" s="1"/>
  <c r="B618" i="29"/>
  <c r="B555" i="29"/>
  <c r="B492" i="29"/>
  <c r="B444" i="29"/>
  <c r="B381" i="29"/>
  <c r="B318" i="29"/>
  <c r="B255" i="29"/>
  <c r="N23" i="19"/>
  <c r="O23" i="19"/>
  <c r="P23" i="19"/>
  <c r="N135" i="19"/>
  <c r="N136" i="19" s="1"/>
  <c r="O136" i="19"/>
  <c r="O137" i="19" s="1"/>
  <c r="P137" i="19"/>
  <c r="N146" i="19"/>
  <c r="N147" i="19"/>
  <c r="O147" i="19"/>
  <c r="O148" i="19" s="1"/>
  <c r="P148" i="19"/>
  <c r="N168" i="19"/>
  <c r="N169" i="19" s="1"/>
  <c r="O169" i="19"/>
  <c r="O170" i="19" s="1"/>
  <c r="P170" i="19"/>
  <c r="N190" i="19"/>
  <c r="N191" i="19" s="1"/>
  <c r="O191" i="19"/>
  <c r="O192" i="19" s="1"/>
  <c r="P192" i="19"/>
  <c r="N201" i="19"/>
  <c r="N202" i="19" s="1"/>
  <c r="O202" i="19"/>
  <c r="O203" i="19" s="1"/>
  <c r="P203" i="19"/>
  <c r="B298" i="19"/>
  <c r="H57" i="25" l="1"/>
  <c r="J28" i="25"/>
  <c r="I28" i="25"/>
  <c r="H58" i="25"/>
  <c r="H28" i="25"/>
  <c r="H103" i="25"/>
  <c r="H96" i="25"/>
  <c r="F102" i="25" s="1"/>
  <c r="F104" i="25" s="1"/>
  <c r="G102" i="25"/>
  <c r="B32" i="40"/>
  <c r="H225" i="29"/>
  <c r="H614" i="29"/>
  <c r="H607" i="29"/>
  <c r="H597" i="29"/>
  <c r="H588" i="29"/>
  <c r="H551" i="29"/>
  <c r="H544" i="29"/>
  <c r="H534" i="29"/>
  <c r="H525" i="29"/>
  <c r="H486" i="29"/>
  <c r="H477" i="29"/>
  <c r="H440" i="29"/>
  <c r="H433" i="29"/>
  <c r="H423" i="29"/>
  <c r="H414" i="29"/>
  <c r="H377" i="29"/>
  <c r="H370" i="29"/>
  <c r="H360" i="29"/>
  <c r="H351" i="29"/>
  <c r="H314" i="29"/>
  <c r="H307" i="29"/>
  <c r="H297" i="29"/>
  <c r="H288" i="29"/>
  <c r="H251" i="29"/>
  <c r="H244" i="29"/>
  <c r="H234" i="29"/>
  <c r="G104" i="25" l="1"/>
  <c r="B112" i="25" s="1"/>
  <c r="G41" i="25"/>
  <c r="L41" i="25" s="1"/>
  <c r="N41" i="25" s="1"/>
  <c r="H102" i="25"/>
  <c r="H104" i="25" s="1"/>
  <c r="H276" i="26"/>
  <c r="H266" i="26"/>
  <c r="H670" i="26"/>
  <c r="H663" i="26"/>
  <c r="H652" i="26"/>
  <c r="H642" i="26"/>
  <c r="H595" i="26"/>
  <c r="H588" i="26"/>
  <c r="H577" i="26"/>
  <c r="H567" i="26"/>
  <c r="H522" i="26"/>
  <c r="H511" i="26"/>
  <c r="H501" i="26"/>
  <c r="H454" i="26"/>
  <c r="H447" i="26"/>
  <c r="H436" i="26"/>
  <c r="H426" i="26"/>
  <c r="H368" i="26"/>
  <c r="H361" i="26"/>
  <c r="H350" i="26"/>
  <c r="H340" i="26"/>
  <c r="H294" i="26"/>
  <c r="H287" i="26"/>
  <c r="H503" i="19"/>
  <c r="H492" i="19"/>
  <c r="H436" i="19"/>
  <c r="H425" i="19"/>
  <c r="H415" i="19"/>
  <c r="H368" i="19"/>
  <c r="H361" i="19"/>
  <c r="H350" i="19"/>
  <c r="H340" i="19"/>
  <c r="H294" i="19"/>
  <c r="H287" i="19"/>
  <c r="H276" i="19"/>
  <c r="H266" i="19"/>
  <c r="H726" i="19"/>
  <c r="H719" i="19"/>
  <c r="H708" i="19"/>
  <c r="H698" i="19"/>
  <c r="H651" i="19"/>
  <c r="H644" i="19"/>
  <c r="H633" i="19"/>
  <c r="H623" i="19"/>
  <c r="H578" i="19"/>
  <c r="H567" i="19"/>
  <c r="H557" i="19"/>
  <c r="H510" i="19"/>
  <c r="H482" i="19"/>
  <c r="B731" i="19"/>
  <c r="B656" i="19"/>
  <c r="B581" i="19"/>
  <c r="B515" i="19"/>
  <c r="B440" i="19"/>
  <c r="B373" i="19"/>
  <c r="J18" i="28" l="1"/>
  <c r="H18" i="28"/>
  <c r="E18" i="28"/>
  <c r="A1" i="28"/>
  <c r="Q17" i="16"/>
  <c r="O17" i="16"/>
  <c r="E17" i="16"/>
  <c r="A1" i="16"/>
  <c r="O16" i="15"/>
  <c r="M16" i="15"/>
  <c r="E16" i="15"/>
  <c r="A1" i="15"/>
  <c r="P15" i="13"/>
  <c r="N15" i="13"/>
  <c r="F15" i="13"/>
  <c r="A1" i="13"/>
  <c r="E40" i="5" l="1"/>
  <c r="E43" i="5"/>
  <c r="D39" i="5" l="1"/>
  <c r="E39" i="5"/>
  <c r="B1" i="2"/>
  <c r="A64" i="1"/>
  <c r="A63" i="1"/>
  <c r="A62" i="1"/>
  <c r="A61" i="1"/>
  <c r="A60" i="1"/>
  <c r="A59" i="1"/>
  <c r="A57" i="1"/>
  <c r="A56" i="1"/>
  <c r="A52" i="1"/>
  <c r="A51" i="1"/>
  <c r="A50" i="1"/>
  <c r="A49" i="1"/>
  <c r="A48" i="1"/>
  <c r="A47" i="1"/>
  <c r="A46" i="1"/>
  <c r="A45" i="1"/>
  <c r="A44" i="1"/>
  <c r="A43" i="1"/>
  <c r="A42" i="1"/>
  <c r="A41" i="1"/>
  <c r="A40" i="1"/>
  <c r="A39" i="1"/>
  <c r="A38" i="1"/>
  <c r="K2" i="40"/>
  <c r="K1" i="40"/>
  <c r="H78" i="39"/>
  <c r="G78" i="39"/>
  <c r="D4" i="39" s="1"/>
  <c r="D78" i="39"/>
  <c r="C78" i="39"/>
  <c r="E76" i="39"/>
  <c r="E75" i="39"/>
  <c r="E74" i="39"/>
  <c r="E73" i="39"/>
  <c r="E72" i="39"/>
  <c r="E71" i="39"/>
  <c r="E70" i="39"/>
  <c r="E69" i="39"/>
  <c r="E68" i="39"/>
  <c r="E67" i="39"/>
  <c r="E66" i="39"/>
  <c r="E65" i="39"/>
  <c r="E64" i="39"/>
  <c r="E63" i="39"/>
  <c r="E62" i="39"/>
  <c r="E61" i="39"/>
  <c r="E60" i="39"/>
  <c r="E59" i="39"/>
  <c r="E58" i="39"/>
  <c r="E57" i="39"/>
  <c r="E56" i="39"/>
  <c r="E55" i="39"/>
  <c r="E54" i="39"/>
  <c r="E53" i="39"/>
  <c r="H45" i="39"/>
  <c r="G45" i="39"/>
  <c r="C4" i="39" s="1"/>
  <c r="D45" i="39"/>
  <c r="C45" i="39"/>
  <c r="E43" i="39"/>
  <c r="E42" i="39"/>
  <c r="E41" i="39"/>
  <c r="E40" i="39"/>
  <c r="E39" i="39"/>
  <c r="E38" i="39"/>
  <c r="E37" i="39"/>
  <c r="E36" i="39"/>
  <c r="E35" i="39"/>
  <c r="E34" i="39"/>
  <c r="E33" i="39"/>
  <c r="E32" i="39"/>
  <c r="E31" i="39"/>
  <c r="E30" i="39"/>
  <c r="E29" i="39"/>
  <c r="E28" i="39"/>
  <c r="E27" i="39"/>
  <c r="E26" i="39"/>
  <c r="E25" i="39"/>
  <c r="E24" i="39"/>
  <c r="E23" i="39"/>
  <c r="E22" i="39"/>
  <c r="E21" i="39"/>
  <c r="E20" i="39"/>
  <c r="B4" i="39"/>
  <c r="K1" i="39"/>
  <c r="H78" i="38"/>
  <c r="G78" i="38"/>
  <c r="D4" i="38" s="1"/>
  <c r="D78" i="38"/>
  <c r="C78" i="38"/>
  <c r="E76" i="38"/>
  <c r="E75" i="38"/>
  <c r="E74" i="38"/>
  <c r="E73" i="38"/>
  <c r="E72" i="38"/>
  <c r="E71" i="38"/>
  <c r="E70" i="38"/>
  <c r="E69" i="38"/>
  <c r="E68" i="38"/>
  <c r="E67" i="38"/>
  <c r="E66" i="38"/>
  <c r="E65" i="38"/>
  <c r="E64" i="38"/>
  <c r="E63" i="38"/>
  <c r="E62" i="38"/>
  <c r="E61" i="38"/>
  <c r="E60" i="38"/>
  <c r="E59" i="38"/>
  <c r="E58" i="38"/>
  <c r="E57" i="38"/>
  <c r="E56" i="38"/>
  <c r="E55" i="38"/>
  <c r="E54" i="38"/>
  <c r="E53" i="38"/>
  <c r="E33" i="38"/>
  <c r="H45" i="38"/>
  <c r="K1" i="38"/>
  <c r="G45" i="38"/>
  <c r="C4" i="38" s="1"/>
  <c r="D45" i="38"/>
  <c r="C45" i="38"/>
  <c r="E43" i="38"/>
  <c r="E42" i="38"/>
  <c r="E41" i="38"/>
  <c r="E40" i="38"/>
  <c r="E39" i="38"/>
  <c r="E38" i="38"/>
  <c r="E37" i="38"/>
  <c r="E36" i="38"/>
  <c r="E35" i="38"/>
  <c r="E34" i="38"/>
  <c r="E32" i="38"/>
  <c r="E31" i="38"/>
  <c r="E30" i="38"/>
  <c r="E29" i="38"/>
  <c r="E28" i="38"/>
  <c r="E27" i="38"/>
  <c r="E26" i="38"/>
  <c r="E25" i="38"/>
  <c r="E24" i="38"/>
  <c r="E23" i="38"/>
  <c r="E22" i="38"/>
  <c r="E21" i="38"/>
  <c r="E20" i="38"/>
  <c r="B4" i="38"/>
  <c r="B4" i="37"/>
  <c r="H120" i="36"/>
  <c r="G120" i="36"/>
  <c r="D4" i="36" s="1"/>
  <c r="D120" i="36"/>
  <c r="C120" i="36"/>
  <c r="E118" i="36"/>
  <c r="E117" i="36"/>
  <c r="E116" i="36"/>
  <c r="E115" i="36"/>
  <c r="E114" i="36"/>
  <c r="E113" i="36"/>
  <c r="E112" i="36"/>
  <c r="E111" i="36"/>
  <c r="E110" i="36"/>
  <c r="E109" i="36"/>
  <c r="E108" i="36"/>
  <c r="E107" i="36"/>
  <c r="E106" i="36"/>
  <c r="E105" i="36"/>
  <c r="E104" i="36"/>
  <c r="E103" i="36"/>
  <c r="E102" i="36"/>
  <c r="E101" i="36"/>
  <c r="E100" i="36"/>
  <c r="E99" i="36"/>
  <c r="E98" i="36"/>
  <c r="E97" i="36"/>
  <c r="E96" i="36"/>
  <c r="E95" i="36"/>
  <c r="E94" i="36"/>
  <c r="E93" i="36"/>
  <c r="E92" i="36"/>
  <c r="E91" i="36"/>
  <c r="E90" i="36"/>
  <c r="E89" i="36"/>
  <c r="E88" i="36"/>
  <c r="E87" i="36"/>
  <c r="E86" i="36"/>
  <c r="E85" i="36"/>
  <c r="E84" i="36"/>
  <c r="E83" i="36"/>
  <c r="E82" i="36"/>
  <c r="E81" i="36"/>
  <c r="E80" i="36"/>
  <c r="E79" i="36"/>
  <c r="E78" i="36"/>
  <c r="E77" i="36"/>
  <c r="E76" i="36"/>
  <c r="E75" i="36"/>
  <c r="E74" i="36"/>
  <c r="H120" i="37"/>
  <c r="G120" i="37"/>
  <c r="D4" i="37" s="1"/>
  <c r="D120" i="37"/>
  <c r="C120" i="37"/>
  <c r="E118" i="37"/>
  <c r="E117" i="37"/>
  <c r="E116" i="37"/>
  <c r="E115" i="37"/>
  <c r="E114" i="37"/>
  <c r="E113" i="37"/>
  <c r="E112" i="37"/>
  <c r="E111" i="37"/>
  <c r="E110" i="37"/>
  <c r="E109" i="37"/>
  <c r="E108" i="37"/>
  <c r="E107" i="37"/>
  <c r="E106" i="37"/>
  <c r="E105" i="37"/>
  <c r="E104" i="37"/>
  <c r="E103" i="37"/>
  <c r="E102" i="37"/>
  <c r="E101" i="37"/>
  <c r="E100" i="37"/>
  <c r="E99" i="37"/>
  <c r="E98" i="37"/>
  <c r="E97" i="37"/>
  <c r="E96" i="37"/>
  <c r="E95" i="37"/>
  <c r="E94" i="37"/>
  <c r="E93" i="37"/>
  <c r="E92" i="37"/>
  <c r="E91" i="37"/>
  <c r="E90" i="37"/>
  <c r="E89" i="37"/>
  <c r="E88" i="37"/>
  <c r="E87" i="37"/>
  <c r="E86" i="37"/>
  <c r="E85" i="37"/>
  <c r="E84" i="37"/>
  <c r="E83" i="37"/>
  <c r="E82" i="37"/>
  <c r="E81" i="37"/>
  <c r="E80" i="37"/>
  <c r="E79" i="37"/>
  <c r="E78" i="37"/>
  <c r="E77" i="37"/>
  <c r="E76" i="37"/>
  <c r="E75" i="37"/>
  <c r="E74" i="37"/>
  <c r="H66" i="37"/>
  <c r="G66" i="37"/>
  <c r="C4" i="37" s="1"/>
  <c r="D66" i="37"/>
  <c r="C66" i="37"/>
  <c r="E64" i="37"/>
  <c r="E63" i="37"/>
  <c r="E62" i="37"/>
  <c r="E61" i="37"/>
  <c r="E60" i="37"/>
  <c r="E59" i="37"/>
  <c r="E58" i="37"/>
  <c r="E57" i="37"/>
  <c r="E56" i="37"/>
  <c r="E55" i="37"/>
  <c r="E54" i="37"/>
  <c r="E53" i="37"/>
  <c r="E52" i="37"/>
  <c r="E51" i="37"/>
  <c r="E50" i="37"/>
  <c r="E49" i="37"/>
  <c r="E48" i="37"/>
  <c r="E47" i="37"/>
  <c r="E46" i="37"/>
  <c r="E45" i="37"/>
  <c r="E44" i="37"/>
  <c r="E43" i="37"/>
  <c r="E42" i="37"/>
  <c r="E41" i="37"/>
  <c r="E40" i="37"/>
  <c r="E39" i="37"/>
  <c r="E38" i="37"/>
  <c r="E37" i="37"/>
  <c r="E36" i="37"/>
  <c r="E35" i="37"/>
  <c r="E34" i="37"/>
  <c r="E33" i="37"/>
  <c r="E32" i="37"/>
  <c r="E31" i="37"/>
  <c r="E30" i="37"/>
  <c r="E29" i="37"/>
  <c r="E28" i="37"/>
  <c r="E27" i="37"/>
  <c r="E26" i="37"/>
  <c r="E25" i="37"/>
  <c r="E24" i="37"/>
  <c r="E23" i="37"/>
  <c r="E22" i="37"/>
  <c r="E21" i="37"/>
  <c r="E20" i="37"/>
  <c r="L1" i="37"/>
  <c r="L1" i="36"/>
  <c r="E63" i="36"/>
  <c r="E56" i="36"/>
  <c r="G66" i="36"/>
  <c r="B4" i="36"/>
  <c r="H66" i="36"/>
  <c r="D66" i="36"/>
  <c r="C66" i="36"/>
  <c r="E64" i="36"/>
  <c r="E62" i="36"/>
  <c r="E61" i="36"/>
  <c r="E60" i="36"/>
  <c r="E59" i="36"/>
  <c r="E58" i="36"/>
  <c r="E57" i="36"/>
  <c r="E55" i="36"/>
  <c r="E54" i="36"/>
  <c r="E53" i="36"/>
  <c r="E52" i="36"/>
  <c r="E51" i="36"/>
  <c r="E50" i="36"/>
  <c r="E49" i="36"/>
  <c r="E48" i="36"/>
  <c r="E47" i="36"/>
  <c r="E46" i="36"/>
  <c r="E45" i="36"/>
  <c r="E44" i="36"/>
  <c r="E43" i="36"/>
  <c r="E42" i="36"/>
  <c r="E41" i="36"/>
  <c r="E40" i="36"/>
  <c r="E39" i="36"/>
  <c r="E38" i="36"/>
  <c r="E37" i="36"/>
  <c r="E36" i="36"/>
  <c r="E35" i="36"/>
  <c r="E34" i="36"/>
  <c r="E33" i="36"/>
  <c r="E32" i="36"/>
  <c r="E31" i="36"/>
  <c r="E30" i="36"/>
  <c r="E29" i="36"/>
  <c r="E28" i="36"/>
  <c r="E27" i="36"/>
  <c r="E26" i="36"/>
  <c r="E25" i="36"/>
  <c r="E24" i="36"/>
  <c r="E23" i="36"/>
  <c r="E22" i="36"/>
  <c r="E21" i="36"/>
  <c r="E20" i="36"/>
  <c r="J20" i="36" s="1"/>
  <c r="D18" i="40" l="1"/>
  <c r="E18" i="40"/>
  <c r="E19" i="40"/>
  <c r="D19" i="40"/>
  <c r="C4" i="36"/>
  <c r="F18" i="36"/>
  <c r="B11" i="40"/>
  <c r="E32" i="40"/>
  <c r="D32" i="40"/>
  <c r="E120" i="36"/>
  <c r="E7" i="40" s="1"/>
  <c r="F51" i="38"/>
  <c r="F18" i="38"/>
  <c r="J18" i="37"/>
  <c r="F72" i="37"/>
  <c r="F18" i="37"/>
  <c r="G51" i="39"/>
  <c r="F51" i="39"/>
  <c r="F18" i="39"/>
  <c r="E45" i="39"/>
  <c r="J78" i="39"/>
  <c r="J66" i="37"/>
  <c r="F72" i="36"/>
  <c r="J51" i="38"/>
  <c r="G18" i="38"/>
  <c r="D51" i="38"/>
  <c r="E72" i="36"/>
  <c r="A17" i="38"/>
  <c r="J51" i="39"/>
  <c r="E18" i="39"/>
  <c r="E51" i="38"/>
  <c r="G18" i="39"/>
  <c r="A50" i="38"/>
  <c r="G51" i="38"/>
  <c r="D51" i="39"/>
  <c r="J18" i="39"/>
  <c r="C51" i="38"/>
  <c r="A17" i="39"/>
  <c r="C51" i="39"/>
  <c r="D18" i="39"/>
  <c r="C18" i="39"/>
  <c r="E51" i="39"/>
  <c r="B26" i="40"/>
  <c r="D14" i="40"/>
  <c r="E14" i="40"/>
  <c r="B7" i="40"/>
  <c r="D15" i="40"/>
  <c r="E15" i="40"/>
  <c r="D4" i="40"/>
  <c r="E4" i="40"/>
  <c r="B22" i="40"/>
  <c r="E78" i="39"/>
  <c r="J45" i="39"/>
  <c r="A50" i="39"/>
  <c r="J78" i="38"/>
  <c r="E78" i="38"/>
  <c r="J45" i="38"/>
  <c r="C18" i="38"/>
  <c r="E18" i="38"/>
  <c r="J18" i="38"/>
  <c r="D18" i="38"/>
  <c r="E45" i="38"/>
  <c r="E72" i="37"/>
  <c r="A71" i="37"/>
  <c r="G72" i="37"/>
  <c r="C72" i="37"/>
  <c r="A17" i="37"/>
  <c r="D72" i="37"/>
  <c r="J72" i="37"/>
  <c r="A71" i="36"/>
  <c r="G72" i="36"/>
  <c r="C72" i="36"/>
  <c r="A17" i="36"/>
  <c r="D72" i="36"/>
  <c r="J72" i="36"/>
  <c r="J120" i="36"/>
  <c r="J120" i="37"/>
  <c r="E120" i="37"/>
  <c r="E8" i="40" s="1"/>
  <c r="C18" i="37"/>
  <c r="E18" i="37"/>
  <c r="E66" i="37"/>
  <c r="D8" i="40" s="1"/>
  <c r="G18" i="37"/>
  <c r="D18" i="37"/>
  <c r="J66" i="36"/>
  <c r="G18" i="36"/>
  <c r="D18" i="36"/>
  <c r="E18" i="36"/>
  <c r="E66" i="36"/>
  <c r="D7" i="40" s="1"/>
  <c r="C18" i="36"/>
  <c r="J18" i="36"/>
  <c r="D12" i="35"/>
  <c r="C12" i="35"/>
  <c r="D11" i="35"/>
  <c r="C11" i="35"/>
  <c r="D10" i="35"/>
  <c r="C10" i="35"/>
  <c r="B2" i="35"/>
  <c r="B2" i="34"/>
  <c r="C4" i="33"/>
  <c r="A13" i="33"/>
  <c r="A10" i="33"/>
  <c r="C6" i="33"/>
  <c r="B6" i="33"/>
  <c r="C3" i="33"/>
  <c r="D17" i="35"/>
  <c r="D19" i="35" s="1"/>
  <c r="C22" i="33" s="1"/>
  <c r="C17" i="35"/>
  <c r="C19" i="35" s="1"/>
  <c r="B22" i="33" s="1"/>
  <c r="D9" i="41" l="1"/>
  <c r="C9" i="41"/>
  <c r="D8" i="34"/>
  <c r="C8" i="41"/>
  <c r="D8" i="41"/>
  <c r="D7" i="41"/>
  <c r="C7" i="41"/>
  <c r="F10" i="25"/>
  <c r="B10" i="30"/>
  <c r="C7" i="34"/>
  <c r="B28" i="40"/>
  <c r="D7" i="34"/>
  <c r="C9" i="34"/>
  <c r="C33" i="33"/>
  <c r="B33" i="33"/>
  <c r="C8" i="34"/>
  <c r="D23" i="40"/>
  <c r="D11" i="40"/>
  <c r="E22" i="40"/>
  <c r="E11" i="40"/>
  <c r="E23" i="40"/>
  <c r="D22" i="40"/>
  <c r="D9" i="34"/>
  <c r="B19" i="33"/>
  <c r="B32" i="33" s="1"/>
  <c r="C19" i="33"/>
  <c r="C32" i="33" s="1"/>
  <c r="C13" i="34" l="1"/>
  <c r="D12" i="34"/>
  <c r="D13" i="34"/>
  <c r="C12" i="34"/>
  <c r="D26" i="40"/>
  <c r="D29" i="40" s="1"/>
  <c r="D34" i="40" s="1"/>
  <c r="B34" i="33" s="1"/>
  <c r="B36" i="33" s="1"/>
  <c r="E26" i="40"/>
  <c r="E29" i="40" s="1"/>
  <c r="E34" i="40" s="1"/>
  <c r="C34" i="33" s="1"/>
  <c r="C36" i="33" s="1"/>
  <c r="C15" i="34" l="1"/>
  <c r="B20" i="33" s="1"/>
  <c r="B24" i="33" s="1"/>
  <c r="D15" i="34"/>
  <c r="C20" i="33" s="1"/>
  <c r="C38" i="33"/>
  <c r="C10" i="30" s="1"/>
  <c r="L24" i="16"/>
  <c r="F25" i="7"/>
  <c r="G26" i="7"/>
  <c r="H27" i="7"/>
  <c r="I28" i="7"/>
  <c r="J29" i="7"/>
  <c r="F25" i="20"/>
  <c r="F28" i="20" s="1"/>
  <c r="G26" i="20"/>
  <c r="G28" i="20" s="1"/>
  <c r="H27" i="20"/>
  <c r="H28" i="20" s="1"/>
  <c r="I28" i="20"/>
  <c r="C24" i="4"/>
  <c r="B24" i="4"/>
  <c r="C20" i="30"/>
  <c r="D21" i="30"/>
  <c r="F23" i="25"/>
  <c r="F89" i="25" s="1"/>
  <c r="C24" i="33" l="1"/>
  <c r="C26" i="33" s="1"/>
  <c r="G10" i="25" s="1"/>
  <c r="G95" i="25"/>
  <c r="G89" i="25"/>
  <c r="O24" i="16"/>
  <c r="Q24" i="16" s="1"/>
  <c r="F116" i="22"/>
  <c r="G117" i="22"/>
  <c r="H118" i="22"/>
  <c r="I119" i="22"/>
  <c r="G94" i="8"/>
  <c r="H95" i="8"/>
  <c r="I96" i="8"/>
  <c r="J97" i="8"/>
  <c r="K98" i="8"/>
  <c r="L99" i="8"/>
  <c r="F93" i="8"/>
  <c r="H56" i="20"/>
  <c r="H63" i="7"/>
  <c r="C22" i="7"/>
  <c r="D23" i="7"/>
  <c r="E24" i="7"/>
  <c r="R1" i="5"/>
  <c r="H89" i="25" l="1"/>
  <c r="F95" i="25" s="1"/>
  <c r="F39" i="25"/>
  <c r="G97" i="25"/>
  <c r="B111" i="25" s="1"/>
  <c r="F40" i="25"/>
  <c r="L40" i="25" s="1"/>
  <c r="N40" i="25" s="1"/>
  <c r="H95" i="25"/>
  <c r="H97" i="25" s="1"/>
  <c r="F97" i="25"/>
  <c r="D72" i="5"/>
  <c r="F62" i="30"/>
  <c r="G62" i="30" s="1"/>
  <c r="D33" i="30" s="1"/>
  <c r="F55" i="30"/>
  <c r="G55" i="30" s="1"/>
  <c r="C32" i="30" s="1"/>
  <c r="H60" i="30"/>
  <c r="G60" i="30"/>
  <c r="F60" i="30"/>
  <c r="H54" i="30"/>
  <c r="G54" i="30"/>
  <c r="F54" i="30"/>
  <c r="F46" i="30"/>
  <c r="E45" i="30"/>
  <c r="D44" i="30"/>
  <c r="C43" i="30"/>
  <c r="H43" i="30" s="1"/>
  <c r="F34" i="30"/>
  <c r="E34" i="30"/>
  <c r="F23" i="30"/>
  <c r="E22" i="30"/>
  <c r="E23" i="30" s="1"/>
  <c r="D23" i="30"/>
  <c r="H20" i="30"/>
  <c r="C20" i="25"/>
  <c r="L20" i="25" s="1"/>
  <c r="D21" i="25"/>
  <c r="L21" i="25" s="1"/>
  <c r="H77" i="25"/>
  <c r="G77" i="25"/>
  <c r="F77" i="25"/>
  <c r="G55" i="25"/>
  <c r="G56" i="25" s="1"/>
  <c r="G57" i="25" s="1"/>
  <c r="G58" i="25" s="1"/>
  <c r="L58" i="25" s="1"/>
  <c r="F54" i="25"/>
  <c r="L35" i="25"/>
  <c r="G27" i="25"/>
  <c r="F27" i="25"/>
  <c r="E22" i="25"/>
  <c r="L22" i="25" s="1"/>
  <c r="F24" i="30" l="1"/>
  <c r="G56" i="30"/>
  <c r="B70" i="30" s="1"/>
  <c r="H55" i="30"/>
  <c r="F61" i="30" s="1"/>
  <c r="G61" i="30"/>
  <c r="H62" i="30"/>
  <c r="E46" i="30"/>
  <c r="H22" i="30"/>
  <c r="D45" i="30"/>
  <c r="E24" i="30"/>
  <c r="C44" i="30"/>
  <c r="D34" i="30"/>
  <c r="D24" i="30" s="1"/>
  <c r="D46" i="30"/>
  <c r="H19" i="30"/>
  <c r="H21" i="30"/>
  <c r="C23" i="30"/>
  <c r="L23" i="25"/>
  <c r="N35" i="25"/>
  <c r="F80" i="25"/>
  <c r="D27" i="25"/>
  <c r="F55" i="25"/>
  <c r="F56" i="25" s="1"/>
  <c r="F57" i="25" s="1"/>
  <c r="L57" i="25" s="1"/>
  <c r="F66" i="25"/>
  <c r="E27" i="25"/>
  <c r="C54" i="22"/>
  <c r="G15" i="29" s="1"/>
  <c r="G112" i="29" s="1"/>
  <c r="P112" i="29" s="1"/>
  <c r="C55" i="22"/>
  <c r="G16" i="29" s="1"/>
  <c r="G121" i="29" s="1"/>
  <c r="C56" i="22"/>
  <c r="G17" i="29" s="1"/>
  <c r="C57" i="22"/>
  <c r="C58" i="22"/>
  <c r="G19" i="29" s="1"/>
  <c r="G148" i="29" s="1"/>
  <c r="P148" i="29" s="1"/>
  <c r="C59" i="22"/>
  <c r="G20" i="29" s="1"/>
  <c r="G157" i="29" s="1"/>
  <c r="C60" i="22"/>
  <c r="G21" i="29" s="1"/>
  <c r="G166" i="29" s="1"/>
  <c r="G569" i="29" s="1"/>
  <c r="I569" i="29" s="1"/>
  <c r="J569" i="29" s="1"/>
  <c r="K569" i="29" s="1"/>
  <c r="G574" i="29" s="1"/>
  <c r="P3" i="22"/>
  <c r="P85" i="29"/>
  <c r="P76" i="29"/>
  <c r="P67" i="29"/>
  <c r="P58" i="29"/>
  <c r="P49" i="29"/>
  <c r="P40" i="29"/>
  <c r="B621" i="29"/>
  <c r="I614" i="29"/>
  <c r="G614" i="29"/>
  <c r="I607" i="29"/>
  <c r="G607" i="29"/>
  <c r="I597" i="29"/>
  <c r="G597" i="29"/>
  <c r="I588" i="29"/>
  <c r="G588" i="29"/>
  <c r="M580" i="29"/>
  <c r="L580" i="29"/>
  <c r="K580" i="29"/>
  <c r="J580" i="29"/>
  <c r="I580" i="29"/>
  <c r="H580" i="29"/>
  <c r="G580" i="29"/>
  <c r="M573" i="29"/>
  <c r="L573" i="29"/>
  <c r="K573" i="29"/>
  <c r="J573" i="29"/>
  <c r="I573" i="29"/>
  <c r="H573" i="29"/>
  <c r="G573" i="29"/>
  <c r="K568" i="29"/>
  <c r="J568" i="29"/>
  <c r="I568" i="29"/>
  <c r="H568" i="29"/>
  <c r="G568" i="29"/>
  <c r="B558" i="29"/>
  <c r="I551" i="29"/>
  <c r="G551" i="29"/>
  <c r="I544" i="29"/>
  <c r="G544" i="29"/>
  <c r="I534" i="29"/>
  <c r="G534" i="29"/>
  <c r="I525" i="29"/>
  <c r="G525" i="29"/>
  <c r="M517" i="29"/>
  <c r="L517" i="29"/>
  <c r="K517" i="29"/>
  <c r="J517" i="29"/>
  <c r="I517" i="29"/>
  <c r="H517" i="29"/>
  <c r="G517" i="29"/>
  <c r="M510" i="29"/>
  <c r="L510" i="29"/>
  <c r="K510" i="29"/>
  <c r="J510" i="29"/>
  <c r="I510" i="29"/>
  <c r="H510" i="29"/>
  <c r="G510" i="29"/>
  <c r="K505" i="29"/>
  <c r="J505" i="29"/>
  <c r="I505" i="29"/>
  <c r="H505" i="29"/>
  <c r="G505" i="29"/>
  <c r="B495" i="29"/>
  <c r="I486" i="29"/>
  <c r="G486" i="29"/>
  <c r="I477" i="29"/>
  <c r="G477" i="29"/>
  <c r="M469" i="29"/>
  <c r="L469" i="29"/>
  <c r="K469" i="29"/>
  <c r="J469" i="29"/>
  <c r="I469" i="29"/>
  <c r="H469" i="29"/>
  <c r="G469" i="29"/>
  <c r="M462" i="29"/>
  <c r="L462" i="29"/>
  <c r="K462" i="29"/>
  <c r="J462" i="29"/>
  <c r="I462" i="29"/>
  <c r="H462" i="29"/>
  <c r="G462" i="29"/>
  <c r="K457" i="29"/>
  <c r="J457" i="29"/>
  <c r="I457" i="29"/>
  <c r="H457" i="29"/>
  <c r="G457" i="29"/>
  <c r="B447" i="29"/>
  <c r="I440" i="29"/>
  <c r="G440" i="29"/>
  <c r="I433" i="29"/>
  <c r="G433" i="29"/>
  <c r="I423" i="29"/>
  <c r="G423" i="29"/>
  <c r="I414" i="29"/>
  <c r="G414" i="29"/>
  <c r="M406" i="29"/>
  <c r="L406" i="29"/>
  <c r="K406" i="29"/>
  <c r="J406" i="29"/>
  <c r="I406" i="29"/>
  <c r="H406" i="29"/>
  <c r="G406" i="29"/>
  <c r="M399" i="29"/>
  <c r="L399" i="29"/>
  <c r="K399" i="29"/>
  <c r="J399" i="29"/>
  <c r="I399" i="29"/>
  <c r="H399" i="29"/>
  <c r="G399" i="29"/>
  <c r="K394" i="29"/>
  <c r="J394" i="29"/>
  <c r="I394" i="29"/>
  <c r="H394" i="29"/>
  <c r="G394" i="29"/>
  <c r="B384" i="29"/>
  <c r="I377" i="29"/>
  <c r="G377" i="29"/>
  <c r="I370" i="29"/>
  <c r="G370" i="29"/>
  <c r="I360" i="29"/>
  <c r="G360" i="29"/>
  <c r="I351" i="29"/>
  <c r="G351" i="29"/>
  <c r="M343" i="29"/>
  <c r="L343" i="29"/>
  <c r="K343" i="29"/>
  <c r="J343" i="29"/>
  <c r="I343" i="29"/>
  <c r="H343" i="29"/>
  <c r="G343" i="29"/>
  <c r="M336" i="29"/>
  <c r="L336" i="29"/>
  <c r="K336" i="29"/>
  <c r="J336" i="29"/>
  <c r="I336" i="29"/>
  <c r="H336" i="29"/>
  <c r="G336" i="29"/>
  <c r="K331" i="29"/>
  <c r="J331" i="29"/>
  <c r="I331" i="29"/>
  <c r="H331" i="29"/>
  <c r="G331" i="29"/>
  <c r="B321" i="29"/>
  <c r="I314" i="29"/>
  <c r="G314" i="29"/>
  <c r="I307" i="29"/>
  <c r="G307" i="29"/>
  <c r="I297" i="29"/>
  <c r="G297" i="29"/>
  <c r="I288" i="29"/>
  <c r="G288" i="29"/>
  <c r="M280" i="29"/>
  <c r="L280" i="29"/>
  <c r="K280" i="29"/>
  <c r="J280" i="29"/>
  <c r="I280" i="29"/>
  <c r="H280" i="29"/>
  <c r="G280" i="29"/>
  <c r="M273" i="29"/>
  <c r="L273" i="29"/>
  <c r="K273" i="29"/>
  <c r="J273" i="29"/>
  <c r="I273" i="29"/>
  <c r="H273" i="29"/>
  <c r="G273" i="29"/>
  <c r="K268" i="29"/>
  <c r="J268" i="29"/>
  <c r="I268" i="29"/>
  <c r="H268" i="29"/>
  <c r="G268" i="29"/>
  <c r="K217" i="29"/>
  <c r="J217" i="29"/>
  <c r="K210" i="29"/>
  <c r="J210" i="29"/>
  <c r="H217" i="29"/>
  <c r="H210" i="29"/>
  <c r="J205" i="29"/>
  <c r="H205" i="29"/>
  <c r="G205" i="29"/>
  <c r="I205" i="29"/>
  <c r="K205" i="29"/>
  <c r="G210" i="29"/>
  <c r="I210" i="29"/>
  <c r="L210" i="29"/>
  <c r="M210" i="29"/>
  <c r="G217" i="29"/>
  <c r="I217" i="29"/>
  <c r="L217" i="29"/>
  <c r="M217" i="29"/>
  <c r="P31" i="29"/>
  <c r="G18" i="29"/>
  <c r="G139" i="29" s="1"/>
  <c r="H175" i="29"/>
  <c r="I175" i="29" s="1"/>
  <c r="J175" i="29" s="1"/>
  <c r="K175" i="29" s="1"/>
  <c r="L175" i="29" s="1"/>
  <c r="M175" i="29" s="1"/>
  <c r="N175" i="29" s="1"/>
  <c r="H109" i="29"/>
  <c r="I109" i="29" s="1"/>
  <c r="H95" i="29"/>
  <c r="I95" i="29" s="1"/>
  <c r="J95" i="29" s="1"/>
  <c r="K95" i="29" s="1"/>
  <c r="L95" i="29" s="1"/>
  <c r="M95" i="29" s="1"/>
  <c r="N95" i="29" s="1"/>
  <c r="H28" i="29"/>
  <c r="I28" i="29" s="1"/>
  <c r="J28" i="29" s="1"/>
  <c r="K28" i="29" s="1"/>
  <c r="L28" i="29" s="1"/>
  <c r="M28" i="29" s="1"/>
  <c r="N28" i="29" s="1"/>
  <c r="B148" i="29"/>
  <c r="J120" i="22"/>
  <c r="B258" i="29"/>
  <c r="I251" i="29"/>
  <c r="G251" i="29"/>
  <c r="I244" i="29"/>
  <c r="G244" i="29"/>
  <c r="I234" i="29"/>
  <c r="G234" i="29"/>
  <c r="I225" i="29"/>
  <c r="G225" i="29"/>
  <c r="B177" i="29"/>
  <c r="B67" i="29"/>
  <c r="B7" i="29"/>
  <c r="B4" i="29"/>
  <c r="E2" i="29"/>
  <c r="D2" i="29"/>
  <c r="B2" i="29"/>
  <c r="J103" i="22"/>
  <c r="J68" i="22"/>
  <c r="I68" i="22"/>
  <c r="B86" i="22" s="1"/>
  <c r="B101" i="22" s="1"/>
  <c r="B119" i="22" s="1"/>
  <c r="H68" i="22"/>
  <c r="H79" i="22" s="1"/>
  <c r="H94" i="22" s="1"/>
  <c r="H112" i="22" s="1"/>
  <c r="G68" i="22"/>
  <c r="B84" i="22" s="1"/>
  <c r="B99" i="22" s="1"/>
  <c r="B117" i="22" s="1"/>
  <c r="F68" i="22"/>
  <c r="B83" i="22" s="1"/>
  <c r="B98" i="22" s="1"/>
  <c r="B116" i="22" s="1"/>
  <c r="E68" i="22"/>
  <c r="D68" i="22"/>
  <c r="J52" i="22"/>
  <c r="I52" i="22"/>
  <c r="G190" i="29" l="1"/>
  <c r="G130" i="29"/>
  <c r="P130" i="29" s="1"/>
  <c r="G80" i="25"/>
  <c r="H80" i="25" s="1"/>
  <c r="F88" i="25" s="1"/>
  <c r="G88" i="25"/>
  <c r="E39" i="25" s="1"/>
  <c r="G63" i="30"/>
  <c r="B71" i="30" s="1"/>
  <c r="C33" i="30"/>
  <c r="H33" i="30" s="1"/>
  <c r="J33" i="30" s="1"/>
  <c r="I79" i="22"/>
  <c r="I94" i="22" s="1"/>
  <c r="I112" i="22" s="1"/>
  <c r="B85" i="22"/>
  <c r="B100" i="22" s="1"/>
  <c r="B118" i="22" s="1"/>
  <c r="F63" i="30"/>
  <c r="H61" i="30"/>
  <c r="H63" i="30" s="1"/>
  <c r="F56" i="30"/>
  <c r="H56" i="30"/>
  <c r="C45" i="30"/>
  <c r="H45" i="30" s="1"/>
  <c r="H23" i="30"/>
  <c r="B19" i="30"/>
  <c r="B30" i="30" s="1"/>
  <c r="B43" i="30" s="1"/>
  <c r="C18" i="30"/>
  <c r="C29" i="30" s="1"/>
  <c r="C42" i="30" s="1"/>
  <c r="D7" i="30"/>
  <c r="H32" i="30"/>
  <c r="J32" i="30" s="1"/>
  <c r="G86" i="29"/>
  <c r="P86" i="29" s="1"/>
  <c r="P121" i="29"/>
  <c r="G332" i="29"/>
  <c r="I332" i="29" s="1"/>
  <c r="J332" i="29" s="1"/>
  <c r="P139" i="29"/>
  <c r="G506" i="29"/>
  <c r="G458" i="29"/>
  <c r="G395" i="29"/>
  <c r="I395" i="29" s="1"/>
  <c r="J395" i="29" s="1"/>
  <c r="G269" i="29"/>
  <c r="I269" i="29" s="1"/>
  <c r="J269" i="29" s="1"/>
  <c r="G206" i="29"/>
  <c r="I206" i="29" s="1"/>
  <c r="J206" i="29" s="1"/>
  <c r="G23" i="29"/>
  <c r="B58" i="29"/>
  <c r="B76" i="29"/>
  <c r="B166" i="29"/>
  <c r="B121" i="29"/>
  <c r="B97" i="29"/>
  <c r="B85" i="29"/>
  <c r="B31" i="29"/>
  <c r="B139" i="29"/>
  <c r="B49" i="29"/>
  <c r="B40" i="29"/>
  <c r="H13" i="29"/>
  <c r="B32" i="29" s="1"/>
  <c r="B157" i="29"/>
  <c r="B130" i="29"/>
  <c r="B112" i="29"/>
  <c r="J109" i="29"/>
  <c r="K109" i="29" s="1"/>
  <c r="L109" i="29" s="1"/>
  <c r="M109" i="29" s="1"/>
  <c r="N109" i="29" s="1"/>
  <c r="P166" i="29"/>
  <c r="G79" i="22"/>
  <c r="G94" i="22" s="1"/>
  <c r="G112" i="22" s="1"/>
  <c r="H52" i="22"/>
  <c r="G52" i="22"/>
  <c r="G35" i="22"/>
  <c r="F26" i="22"/>
  <c r="E26" i="22"/>
  <c r="D26" i="22"/>
  <c r="G26" i="22"/>
  <c r="F8" i="22"/>
  <c r="G8" i="22"/>
  <c r="F79" i="22"/>
  <c r="F94" i="22" s="1"/>
  <c r="F112" i="22" s="1"/>
  <c r="F52" i="22"/>
  <c r="F35" i="22"/>
  <c r="D73" i="5" l="1"/>
  <c r="H88" i="25"/>
  <c r="E38" i="25"/>
  <c r="E42" i="25" s="1"/>
  <c r="F42" i="25"/>
  <c r="F28" i="25" s="1"/>
  <c r="G42" i="25"/>
  <c r="G28" i="25" s="1"/>
  <c r="C34" i="30"/>
  <c r="C24" i="30" s="1"/>
  <c r="B20" i="30"/>
  <c r="B31" i="30" s="1"/>
  <c r="B44" i="30" s="1"/>
  <c r="E7" i="30"/>
  <c r="D18" i="30"/>
  <c r="D29" i="30" s="1"/>
  <c r="D42" i="30" s="1"/>
  <c r="C46" i="30"/>
  <c r="H46" i="30" s="1"/>
  <c r="G167" i="29"/>
  <c r="K269" i="29"/>
  <c r="G274" i="29" s="1"/>
  <c r="G41" i="29"/>
  <c r="K206" i="29"/>
  <c r="G211" i="29" s="1"/>
  <c r="G32" i="29"/>
  <c r="K395" i="29"/>
  <c r="G400" i="29" s="1"/>
  <c r="G59" i="29"/>
  <c r="K332" i="29"/>
  <c r="G337" i="29" s="1"/>
  <c r="G50" i="29"/>
  <c r="B158" i="29"/>
  <c r="B167" i="29"/>
  <c r="B131" i="29"/>
  <c r="B178" i="29"/>
  <c r="B140" i="29"/>
  <c r="B50" i="29"/>
  <c r="B149" i="29"/>
  <c r="I13" i="29"/>
  <c r="B113" i="29"/>
  <c r="B77" i="29"/>
  <c r="B68" i="29"/>
  <c r="B59" i="29"/>
  <c r="B86" i="29"/>
  <c r="B122" i="29"/>
  <c r="B98" i="29"/>
  <c r="B41" i="29"/>
  <c r="P157" i="29"/>
  <c r="H25" i="28"/>
  <c r="J25" i="28" s="1"/>
  <c r="H22" i="28"/>
  <c r="J22" i="28" s="1"/>
  <c r="E20" i="28"/>
  <c r="E28" i="28" s="1"/>
  <c r="P17" i="28"/>
  <c r="O17" i="28"/>
  <c r="L17" i="28"/>
  <c r="L16" i="28"/>
  <c r="L30" i="16"/>
  <c r="O30" i="16" s="1"/>
  <c r="Q30" i="16" s="1"/>
  <c r="L33" i="16"/>
  <c r="O33" i="16" s="1"/>
  <c r="L27" i="16"/>
  <c r="L21" i="16"/>
  <c r="K19" i="16"/>
  <c r="K36" i="16" s="1"/>
  <c r="J19" i="16"/>
  <c r="J36" i="16" s="1"/>
  <c r="I19" i="16"/>
  <c r="I36" i="16" s="1"/>
  <c r="H19" i="16"/>
  <c r="H36" i="16" s="1"/>
  <c r="G19" i="16"/>
  <c r="G36" i="16" s="1"/>
  <c r="F19" i="16"/>
  <c r="F36" i="16" s="1"/>
  <c r="Q14" i="15"/>
  <c r="J29" i="15"/>
  <c r="M29" i="15" s="1"/>
  <c r="J26" i="15"/>
  <c r="M26" i="15" s="1"/>
  <c r="J23" i="15"/>
  <c r="M23" i="15" s="1"/>
  <c r="J20" i="15"/>
  <c r="M20" i="15" s="1"/>
  <c r="I32" i="15"/>
  <c r="H32" i="15"/>
  <c r="G32" i="15"/>
  <c r="F32" i="15"/>
  <c r="F17" i="13"/>
  <c r="K27" i="13"/>
  <c r="N27" i="13" s="1"/>
  <c r="K44" i="13"/>
  <c r="N44" i="13" s="1"/>
  <c r="K38" i="13"/>
  <c r="N38" i="13" s="1"/>
  <c r="P38" i="13" s="1"/>
  <c r="K33" i="13"/>
  <c r="N33" i="13" s="1"/>
  <c r="P33" i="13" s="1"/>
  <c r="K31" i="13"/>
  <c r="K24" i="13"/>
  <c r="N24" i="13" s="1"/>
  <c r="K21" i="13"/>
  <c r="K18" i="13"/>
  <c r="J30" i="13"/>
  <c r="J17" i="13"/>
  <c r="I30" i="13"/>
  <c r="I17" i="13"/>
  <c r="H30" i="13"/>
  <c r="H47" i="13" s="1"/>
  <c r="H17" i="13"/>
  <c r="G30" i="13"/>
  <c r="G17" i="13"/>
  <c r="C27" i="8"/>
  <c r="G15" i="26" s="1"/>
  <c r="D27" i="8"/>
  <c r="H15" i="26" s="1"/>
  <c r="E27" i="8"/>
  <c r="I15" i="26" s="1"/>
  <c r="F27" i="8"/>
  <c r="J15" i="26" s="1"/>
  <c r="G27" i="8"/>
  <c r="K15" i="26" s="1"/>
  <c r="H27" i="8"/>
  <c r="L15" i="26" s="1"/>
  <c r="C28" i="8"/>
  <c r="G16" i="26" s="1"/>
  <c r="D28" i="8"/>
  <c r="H16" i="26" s="1"/>
  <c r="E28" i="8"/>
  <c r="I16" i="26" s="1"/>
  <c r="F28" i="8"/>
  <c r="J16" i="26" s="1"/>
  <c r="G28" i="8"/>
  <c r="K16" i="26" s="1"/>
  <c r="H28" i="8"/>
  <c r="L16" i="26" s="1"/>
  <c r="C30" i="8"/>
  <c r="G18" i="26" s="1"/>
  <c r="D30" i="8"/>
  <c r="H18" i="26" s="1"/>
  <c r="E30" i="8"/>
  <c r="I18" i="26" s="1"/>
  <c r="F30" i="8"/>
  <c r="J18" i="26" s="1"/>
  <c r="G30" i="8"/>
  <c r="K18" i="26" s="1"/>
  <c r="H30" i="8"/>
  <c r="L18" i="26" s="1"/>
  <c r="C31" i="8"/>
  <c r="G19" i="26" s="1"/>
  <c r="D31" i="8"/>
  <c r="H19" i="26" s="1"/>
  <c r="E31" i="8"/>
  <c r="I19" i="26" s="1"/>
  <c r="F31" i="8"/>
  <c r="J19" i="26" s="1"/>
  <c r="G31" i="8"/>
  <c r="K19" i="26" s="1"/>
  <c r="H31" i="8"/>
  <c r="L19" i="26" s="1"/>
  <c r="C32" i="8"/>
  <c r="G20" i="26" s="1"/>
  <c r="D32" i="8"/>
  <c r="H20" i="26" s="1"/>
  <c r="E32" i="8"/>
  <c r="I20" i="26" s="1"/>
  <c r="F32" i="8"/>
  <c r="J20" i="26" s="1"/>
  <c r="G32" i="8"/>
  <c r="K20" i="26" s="1"/>
  <c r="H32" i="8"/>
  <c r="L20" i="26" s="1"/>
  <c r="C33" i="8"/>
  <c r="G21" i="26" s="1"/>
  <c r="D33" i="8"/>
  <c r="H21" i="26" s="1"/>
  <c r="E33" i="8"/>
  <c r="I21" i="26" s="1"/>
  <c r="F33" i="8"/>
  <c r="J21" i="26" s="1"/>
  <c r="G33" i="8"/>
  <c r="K21" i="26" s="1"/>
  <c r="H33" i="8"/>
  <c r="L21" i="26" s="1"/>
  <c r="I522" i="26"/>
  <c r="G522" i="26"/>
  <c r="K176" i="19"/>
  <c r="I578" i="19"/>
  <c r="G578" i="19"/>
  <c r="O26" i="15" l="1"/>
  <c r="O29" i="15"/>
  <c r="O23" i="15"/>
  <c r="P44" i="13"/>
  <c r="G47" i="13"/>
  <c r="N31" i="13"/>
  <c r="P31" i="13" s="1"/>
  <c r="P27" i="13"/>
  <c r="J47" i="13"/>
  <c r="O20" i="15"/>
  <c r="J32" i="15"/>
  <c r="P24" i="13"/>
  <c r="I47" i="13"/>
  <c r="J20" i="28"/>
  <c r="J28" i="28" s="1"/>
  <c r="H20" i="28"/>
  <c r="H28" i="28" s="1"/>
  <c r="Q33" i="16"/>
  <c r="O21" i="16"/>
  <c r="Q21" i="16" s="1"/>
  <c r="O27" i="16"/>
  <c r="Q27" i="16" s="1"/>
  <c r="F7" i="30"/>
  <c r="E18" i="30"/>
  <c r="E29" i="30" s="1"/>
  <c r="E42" i="30" s="1"/>
  <c r="B21" i="30"/>
  <c r="B32" i="30" s="1"/>
  <c r="B45" i="30" s="1"/>
  <c r="P41" i="29"/>
  <c r="G122" i="29"/>
  <c r="P59" i="29"/>
  <c r="G140" i="29"/>
  <c r="P50" i="29"/>
  <c r="G131" i="29"/>
  <c r="P32" i="29"/>
  <c r="G113" i="29"/>
  <c r="J13" i="29"/>
  <c r="B168" i="29"/>
  <c r="B60" i="29"/>
  <c r="B159" i="29"/>
  <c r="B33" i="29"/>
  <c r="B179" i="29"/>
  <c r="B141" i="29"/>
  <c r="B150" i="29"/>
  <c r="B99" i="29"/>
  <c r="B51" i="29"/>
  <c r="B42" i="29"/>
  <c r="B114" i="29"/>
  <c r="B87" i="29"/>
  <c r="B132" i="29"/>
  <c r="B69" i="29"/>
  <c r="B78" i="29"/>
  <c r="B123" i="29"/>
  <c r="L19" i="16"/>
  <c r="L36" i="16" s="1"/>
  <c r="K30" i="13"/>
  <c r="K17" i="13"/>
  <c r="N18" i="13"/>
  <c r="P18" i="13" s="1"/>
  <c r="N21" i="13"/>
  <c r="P21" i="13" s="1"/>
  <c r="P15" i="26"/>
  <c r="O15" i="26"/>
  <c r="O136" i="26" s="1"/>
  <c r="O137" i="26" s="1"/>
  <c r="N15" i="26"/>
  <c r="N135" i="26" s="1"/>
  <c r="N136" i="26" s="1"/>
  <c r="G296" i="26" s="1"/>
  <c r="C90" i="8"/>
  <c r="E92" i="8"/>
  <c r="D91" i="8"/>
  <c r="I670" i="26"/>
  <c r="G670" i="26"/>
  <c r="I663" i="26"/>
  <c r="G663" i="26"/>
  <c r="I652" i="26"/>
  <c r="G652" i="26"/>
  <c r="I642" i="26"/>
  <c r="G642" i="26"/>
  <c r="M633" i="26"/>
  <c r="L633" i="26"/>
  <c r="I633" i="26"/>
  <c r="H633" i="26"/>
  <c r="G633" i="26"/>
  <c r="M625" i="26"/>
  <c r="L625" i="26"/>
  <c r="I625" i="26"/>
  <c r="H625" i="26"/>
  <c r="G625" i="26"/>
  <c r="M618" i="26"/>
  <c r="L618" i="26"/>
  <c r="I618" i="26"/>
  <c r="H618" i="26"/>
  <c r="G618" i="26"/>
  <c r="K613" i="26"/>
  <c r="I613" i="26"/>
  <c r="H613" i="26"/>
  <c r="G613" i="26"/>
  <c r="I595" i="26"/>
  <c r="G595" i="26"/>
  <c r="I588" i="26"/>
  <c r="G588" i="26"/>
  <c r="I577" i="26"/>
  <c r="G577" i="26"/>
  <c r="I567" i="26"/>
  <c r="G567" i="26"/>
  <c r="M558" i="26"/>
  <c r="L558" i="26"/>
  <c r="I558" i="26"/>
  <c r="H558" i="26"/>
  <c r="G558" i="26"/>
  <c r="M550" i="26"/>
  <c r="L550" i="26"/>
  <c r="I550" i="26"/>
  <c r="H550" i="26"/>
  <c r="G550" i="26"/>
  <c r="M543" i="26"/>
  <c r="L543" i="26"/>
  <c r="I543" i="26"/>
  <c r="H543" i="26"/>
  <c r="G543" i="26"/>
  <c r="K538" i="26"/>
  <c r="I538" i="26"/>
  <c r="H538" i="26"/>
  <c r="G538" i="26"/>
  <c r="I511" i="26"/>
  <c r="G511" i="26"/>
  <c r="I501" i="26"/>
  <c r="G501" i="26"/>
  <c r="M492" i="26"/>
  <c r="L492" i="26"/>
  <c r="I492" i="26"/>
  <c r="H492" i="26"/>
  <c r="G492" i="26"/>
  <c r="M484" i="26"/>
  <c r="L484" i="26"/>
  <c r="I484" i="26"/>
  <c r="H484" i="26"/>
  <c r="G484" i="26"/>
  <c r="M477" i="26"/>
  <c r="L477" i="26"/>
  <c r="I477" i="26"/>
  <c r="H477" i="26"/>
  <c r="G477" i="26"/>
  <c r="K472" i="26"/>
  <c r="I472" i="26"/>
  <c r="H472" i="26"/>
  <c r="G472" i="26"/>
  <c r="I454" i="26"/>
  <c r="G454" i="26"/>
  <c r="I447" i="26"/>
  <c r="G447" i="26"/>
  <c r="I436" i="26"/>
  <c r="G436" i="26"/>
  <c r="I426" i="26"/>
  <c r="G426" i="26"/>
  <c r="M417" i="26"/>
  <c r="L417" i="26"/>
  <c r="I417" i="26"/>
  <c r="H417" i="26"/>
  <c r="G417" i="26"/>
  <c r="M409" i="26"/>
  <c r="L409" i="26"/>
  <c r="I409" i="26"/>
  <c r="H409" i="26"/>
  <c r="G409" i="26"/>
  <c r="M402" i="26"/>
  <c r="L402" i="26"/>
  <c r="I402" i="26"/>
  <c r="H402" i="26"/>
  <c r="G402" i="26"/>
  <c r="K397" i="26"/>
  <c r="I397" i="26"/>
  <c r="H397" i="26"/>
  <c r="G397" i="26"/>
  <c r="I368" i="26"/>
  <c r="G368" i="26"/>
  <c r="I361" i="26"/>
  <c r="G361" i="26"/>
  <c r="I350" i="26"/>
  <c r="G350" i="26"/>
  <c r="I340" i="26"/>
  <c r="G340" i="26"/>
  <c r="M331" i="26"/>
  <c r="L331" i="26"/>
  <c r="I331" i="26"/>
  <c r="H331" i="26"/>
  <c r="G331" i="26"/>
  <c r="M323" i="26"/>
  <c r="L323" i="26"/>
  <c r="I323" i="26"/>
  <c r="H323" i="26"/>
  <c r="G323" i="26"/>
  <c r="M316" i="26"/>
  <c r="L316" i="26"/>
  <c r="I316" i="26"/>
  <c r="H316" i="26"/>
  <c r="G316" i="26"/>
  <c r="K311" i="26"/>
  <c r="I311" i="26"/>
  <c r="H311" i="26"/>
  <c r="G311" i="26"/>
  <c r="B301" i="26"/>
  <c r="I294" i="26"/>
  <c r="G294" i="26"/>
  <c r="I287" i="26"/>
  <c r="G287" i="26"/>
  <c r="I276" i="26"/>
  <c r="G276" i="26"/>
  <c r="I266" i="26"/>
  <c r="G266" i="26"/>
  <c r="M257" i="26"/>
  <c r="L257" i="26"/>
  <c r="I257" i="26"/>
  <c r="H257" i="26"/>
  <c r="G257" i="26"/>
  <c r="M249" i="26"/>
  <c r="L249" i="26"/>
  <c r="I249" i="26"/>
  <c r="H249" i="26"/>
  <c r="G249" i="26"/>
  <c r="M242" i="26"/>
  <c r="L242" i="26"/>
  <c r="I242" i="26"/>
  <c r="H242" i="26"/>
  <c r="G242" i="26"/>
  <c r="K237" i="26"/>
  <c r="I237" i="26"/>
  <c r="H237" i="26"/>
  <c r="G237" i="26"/>
  <c r="B207" i="26"/>
  <c r="H205" i="26"/>
  <c r="I205" i="26" s="1"/>
  <c r="J205" i="26" s="1"/>
  <c r="K205" i="26" s="1"/>
  <c r="L205" i="26" s="1"/>
  <c r="M205" i="26" s="1"/>
  <c r="N205" i="26" s="1"/>
  <c r="O205" i="26" s="1"/>
  <c r="P205" i="26" s="1"/>
  <c r="L199" i="26"/>
  <c r="L200" i="26" s="1"/>
  <c r="K198" i="26"/>
  <c r="K199" i="26" s="1"/>
  <c r="J197" i="26"/>
  <c r="J198" i="26" s="1"/>
  <c r="G637" i="26" s="1"/>
  <c r="I196" i="26"/>
  <c r="I197" i="26" s="1"/>
  <c r="G628" i="26" s="1"/>
  <c r="H195" i="26"/>
  <c r="H196" i="26" s="1"/>
  <c r="G194" i="26"/>
  <c r="R194" i="26" s="1"/>
  <c r="B194" i="26"/>
  <c r="L188" i="26"/>
  <c r="L189" i="26" s="1"/>
  <c r="K187" i="26"/>
  <c r="K188" i="26" s="1"/>
  <c r="J186" i="26"/>
  <c r="J187" i="26" s="1"/>
  <c r="G562" i="26" s="1"/>
  <c r="I185" i="26"/>
  <c r="I186" i="26" s="1"/>
  <c r="G553" i="26" s="1"/>
  <c r="H184" i="26"/>
  <c r="H185" i="26" s="1"/>
  <c r="G183" i="26"/>
  <c r="B183" i="26"/>
  <c r="L177" i="26"/>
  <c r="L178" i="26" s="1"/>
  <c r="K176" i="26"/>
  <c r="K177" i="26" s="1"/>
  <c r="G506" i="26" s="1"/>
  <c r="H516" i="26" s="1"/>
  <c r="J175" i="26"/>
  <c r="J176" i="26" s="1"/>
  <c r="I174" i="26"/>
  <c r="I175" i="26" s="1"/>
  <c r="H173" i="26"/>
  <c r="H174" i="26" s="1"/>
  <c r="G172" i="26"/>
  <c r="G173" i="26" s="1"/>
  <c r="B172" i="26"/>
  <c r="L166" i="26"/>
  <c r="L167" i="26" s="1"/>
  <c r="G442" i="26" s="1"/>
  <c r="H448" i="26" s="1"/>
  <c r="K165" i="26"/>
  <c r="K166" i="26" s="1"/>
  <c r="G431" i="26" s="1"/>
  <c r="J164" i="26"/>
  <c r="J165" i="26" s="1"/>
  <c r="I163" i="26"/>
  <c r="I164" i="26" s="1"/>
  <c r="H162" i="26"/>
  <c r="H163" i="26" s="1"/>
  <c r="G161" i="26"/>
  <c r="R161" i="26" s="1"/>
  <c r="B161" i="26"/>
  <c r="B150" i="26"/>
  <c r="L144" i="26"/>
  <c r="L145" i="26" s="1"/>
  <c r="G356" i="26" s="1"/>
  <c r="H362" i="26" s="1"/>
  <c r="K143" i="26"/>
  <c r="K144" i="26" s="1"/>
  <c r="G345" i="26" s="1"/>
  <c r="H355" i="26" s="1"/>
  <c r="J142" i="26"/>
  <c r="J143" i="26" s="1"/>
  <c r="I141" i="26"/>
  <c r="I142" i="26" s="1"/>
  <c r="H140" i="26"/>
  <c r="H141" i="26" s="1"/>
  <c r="G139" i="26"/>
  <c r="R139" i="26" s="1"/>
  <c r="B139" i="26"/>
  <c r="L133" i="26"/>
  <c r="L134" i="26" s="1"/>
  <c r="G282" i="26" s="1"/>
  <c r="H288" i="26" s="1"/>
  <c r="K132" i="26"/>
  <c r="K133" i="26" s="1"/>
  <c r="G271" i="26" s="1"/>
  <c r="H281" i="26" s="1"/>
  <c r="J131" i="26"/>
  <c r="J132" i="26" s="1"/>
  <c r="I130" i="26"/>
  <c r="I131" i="26" s="1"/>
  <c r="H129" i="26"/>
  <c r="H130" i="26" s="1"/>
  <c r="G128" i="26"/>
  <c r="R128" i="26" s="1"/>
  <c r="B128" i="26"/>
  <c r="H125" i="26"/>
  <c r="I125" i="26" s="1"/>
  <c r="J125" i="26" s="1"/>
  <c r="K125" i="26" s="1"/>
  <c r="B111" i="26"/>
  <c r="H109" i="26"/>
  <c r="I109" i="26" s="1"/>
  <c r="J109" i="26" s="1"/>
  <c r="K109" i="26" s="1"/>
  <c r="L109" i="26" s="1"/>
  <c r="M109" i="26" s="1"/>
  <c r="N109" i="26" s="1"/>
  <c r="O109" i="26" s="1"/>
  <c r="P109" i="26" s="1"/>
  <c r="R98" i="26"/>
  <c r="R97" i="26"/>
  <c r="B97" i="26"/>
  <c r="R87" i="26"/>
  <c r="R86" i="26"/>
  <c r="B86" i="26"/>
  <c r="R76" i="26"/>
  <c r="R75" i="26"/>
  <c r="B75" i="26"/>
  <c r="R65" i="26"/>
  <c r="R64" i="26"/>
  <c r="B64" i="26"/>
  <c r="B53" i="26"/>
  <c r="R43" i="26"/>
  <c r="R42" i="26"/>
  <c r="B42" i="26"/>
  <c r="R32" i="26"/>
  <c r="R31" i="26"/>
  <c r="B31" i="26"/>
  <c r="H28" i="26"/>
  <c r="I28" i="26" s="1"/>
  <c r="J28" i="26" s="1"/>
  <c r="K28" i="26" s="1"/>
  <c r="L28" i="26" s="1"/>
  <c r="M28" i="26" s="1"/>
  <c r="N28" i="26" s="1"/>
  <c r="O28" i="26" s="1"/>
  <c r="P28" i="26" s="1"/>
  <c r="L23" i="26"/>
  <c r="K23" i="26"/>
  <c r="J23" i="26"/>
  <c r="I23" i="26"/>
  <c r="H23" i="26"/>
  <c r="G23" i="26"/>
  <c r="R19" i="26"/>
  <c r="H13" i="26"/>
  <c r="B7" i="26"/>
  <c r="B4" i="26"/>
  <c r="E2" i="26"/>
  <c r="D2" i="26"/>
  <c r="B2" i="26"/>
  <c r="L80" i="8"/>
  <c r="K80" i="8"/>
  <c r="N71" i="8"/>
  <c r="L63" i="8"/>
  <c r="L64" i="8" s="1"/>
  <c r="K41" i="8"/>
  <c r="B61" i="8" s="1"/>
  <c r="B78" i="8" s="1"/>
  <c r="B98" i="8" s="1"/>
  <c r="J41" i="8"/>
  <c r="B60" i="8" s="1"/>
  <c r="B77" i="8" s="1"/>
  <c r="B97" i="8" s="1"/>
  <c r="I41" i="8"/>
  <c r="B59" i="8" s="1"/>
  <c r="B76" i="8" s="1"/>
  <c r="B96" i="8" s="1"/>
  <c r="H41" i="8"/>
  <c r="B58" i="8" s="1"/>
  <c r="B75" i="8" s="1"/>
  <c r="B95" i="8" s="1"/>
  <c r="L33" i="8"/>
  <c r="P21" i="26" s="1"/>
  <c r="P203" i="26" s="1"/>
  <c r="K33" i="8"/>
  <c r="O21" i="26" s="1"/>
  <c r="O202" i="26" s="1"/>
  <c r="O203" i="26" s="1"/>
  <c r="J33" i="8"/>
  <c r="N21" i="26" s="1"/>
  <c r="N201" i="26" s="1"/>
  <c r="N202" i="26" s="1"/>
  <c r="G672" i="26" s="1"/>
  <c r="I33" i="8"/>
  <c r="M21" i="26" s="1"/>
  <c r="L32" i="8"/>
  <c r="P20" i="26" s="1"/>
  <c r="P192" i="26" s="1"/>
  <c r="K32" i="8"/>
  <c r="O20" i="26" s="1"/>
  <c r="O191" i="26" s="1"/>
  <c r="O192" i="26" s="1"/>
  <c r="J32" i="8"/>
  <c r="N20" i="26" s="1"/>
  <c r="N190" i="26" s="1"/>
  <c r="N191" i="26" s="1"/>
  <c r="G597" i="26" s="1"/>
  <c r="I32" i="8"/>
  <c r="M20" i="26" s="1"/>
  <c r="L30" i="8"/>
  <c r="P18" i="26" s="1"/>
  <c r="P170" i="26" s="1"/>
  <c r="K30" i="8"/>
  <c r="O18" i="26" s="1"/>
  <c r="O169" i="26" s="1"/>
  <c r="O170" i="26" s="1"/>
  <c r="J30" i="8"/>
  <c r="N18" i="26" s="1"/>
  <c r="N168" i="26" s="1"/>
  <c r="N169" i="26" s="1"/>
  <c r="G456" i="26" s="1"/>
  <c r="I30" i="8"/>
  <c r="L28" i="8"/>
  <c r="P16" i="26" s="1"/>
  <c r="P148" i="26" s="1"/>
  <c r="K28" i="8"/>
  <c r="O16" i="26" s="1"/>
  <c r="O147" i="26" s="1"/>
  <c r="O148" i="26" s="1"/>
  <c r="J28" i="8"/>
  <c r="N16" i="26" s="1"/>
  <c r="I28" i="8"/>
  <c r="M16" i="26" s="1"/>
  <c r="H26" i="8"/>
  <c r="H42" i="8" s="1"/>
  <c r="H59" i="8" s="1"/>
  <c r="H96" i="8" s="1"/>
  <c r="F26" i="8"/>
  <c r="F42" i="8" s="1"/>
  <c r="F57" i="8" s="1"/>
  <c r="F94" i="8" s="1"/>
  <c r="D26" i="8"/>
  <c r="D42" i="8" s="1"/>
  <c r="D55" i="8" s="1"/>
  <c r="N55" i="8" s="1"/>
  <c r="E26" i="8"/>
  <c r="E42" i="8" s="1"/>
  <c r="E56" i="8" s="1"/>
  <c r="N56" i="8" s="1"/>
  <c r="K17" i="8"/>
  <c r="J17" i="8"/>
  <c r="I17" i="8"/>
  <c r="H17" i="8"/>
  <c r="K8" i="8"/>
  <c r="J8" i="8"/>
  <c r="I8" i="8"/>
  <c r="H8" i="8"/>
  <c r="C22" i="20"/>
  <c r="K22" i="20" s="1"/>
  <c r="M36" i="20" s="1"/>
  <c r="D23" i="20"/>
  <c r="K23" i="20" s="1"/>
  <c r="E24" i="20"/>
  <c r="K24" i="20" s="1"/>
  <c r="K36" i="20"/>
  <c r="B56" i="20"/>
  <c r="H42" i="20"/>
  <c r="H29" i="20" s="1"/>
  <c r="F98" i="20"/>
  <c r="G98" i="20" s="1"/>
  <c r="H98" i="20" s="1"/>
  <c r="H93" i="20"/>
  <c r="G93" i="20"/>
  <c r="F93" i="20"/>
  <c r="K27" i="20"/>
  <c r="K26" i="20"/>
  <c r="K25" i="20"/>
  <c r="B26" i="20"/>
  <c r="B40" i="20" s="1"/>
  <c r="I20" i="20"/>
  <c r="I34" i="20" s="1"/>
  <c r="I50" i="20" s="1"/>
  <c r="H20" i="20"/>
  <c r="H34" i="20" s="1"/>
  <c r="H50" i="20" s="1"/>
  <c r="C20" i="20"/>
  <c r="D20" i="20"/>
  <c r="E20" i="20"/>
  <c r="F20" i="20"/>
  <c r="G20" i="20"/>
  <c r="K21" i="20"/>
  <c r="B21" i="20"/>
  <c r="B22" i="20"/>
  <c r="B23" i="20"/>
  <c r="B24" i="20"/>
  <c r="B25" i="20"/>
  <c r="B27" i="20"/>
  <c r="I42" i="20"/>
  <c r="I29" i="20" s="1"/>
  <c r="I57" i="20"/>
  <c r="H64" i="20"/>
  <c r="H69" i="20"/>
  <c r="H76" i="20"/>
  <c r="H84" i="20"/>
  <c r="N4" i="20"/>
  <c r="O4" i="20"/>
  <c r="P4" i="20"/>
  <c r="R98" i="19"/>
  <c r="R97" i="19"/>
  <c r="R87" i="19"/>
  <c r="R86" i="19"/>
  <c r="R76" i="19"/>
  <c r="R75" i="19"/>
  <c r="R65" i="19"/>
  <c r="R64" i="19"/>
  <c r="R54" i="19"/>
  <c r="R53" i="19"/>
  <c r="R43" i="19"/>
  <c r="R42" i="19"/>
  <c r="R32" i="19"/>
  <c r="G728" i="19"/>
  <c r="H728" i="19" s="1"/>
  <c r="N106" i="19" s="1"/>
  <c r="N203" i="19" s="1"/>
  <c r="M200" i="19"/>
  <c r="M201" i="19" s="1"/>
  <c r="L199" i="19"/>
  <c r="L200" i="19" s="1"/>
  <c r="K198" i="19"/>
  <c r="K199" i="19" s="1"/>
  <c r="G703" i="19" s="1"/>
  <c r="J197" i="19"/>
  <c r="J198" i="19" s="1"/>
  <c r="I196" i="19"/>
  <c r="I197" i="19" s="1"/>
  <c r="H195" i="19"/>
  <c r="G194" i="19"/>
  <c r="R194" i="19" s="1"/>
  <c r="M189" i="19"/>
  <c r="M190" i="19" s="1"/>
  <c r="L188" i="19"/>
  <c r="L189" i="19" s="1"/>
  <c r="K187" i="19"/>
  <c r="K188" i="19" s="1"/>
  <c r="G628" i="19" s="1"/>
  <c r="J186" i="19"/>
  <c r="I185" i="19"/>
  <c r="H184" i="19"/>
  <c r="G183" i="19"/>
  <c r="R183" i="19" s="1"/>
  <c r="L177" i="19"/>
  <c r="L178" i="19" s="1"/>
  <c r="K177" i="19"/>
  <c r="J175" i="19"/>
  <c r="I174" i="19"/>
  <c r="H173" i="19"/>
  <c r="G172" i="19"/>
  <c r="R172" i="19" s="1"/>
  <c r="G512" i="19"/>
  <c r="H512" i="19" s="1"/>
  <c r="N73" i="19" s="1"/>
  <c r="N170" i="19" s="1"/>
  <c r="M167" i="19"/>
  <c r="L166" i="19"/>
  <c r="L167" i="19" s="1"/>
  <c r="K165" i="19"/>
  <c r="K166" i="19" s="1"/>
  <c r="G487" i="19" s="1"/>
  <c r="J164" i="19"/>
  <c r="I163" i="19"/>
  <c r="H162" i="19"/>
  <c r="G161" i="19"/>
  <c r="R161" i="19" s="1"/>
  <c r="L155" i="19"/>
  <c r="L156" i="19" s="1"/>
  <c r="K154" i="19"/>
  <c r="K155" i="19" s="1"/>
  <c r="J153" i="19"/>
  <c r="I152" i="19"/>
  <c r="H151" i="19"/>
  <c r="G150" i="19"/>
  <c r="R150" i="19" s="1"/>
  <c r="G370" i="19"/>
  <c r="M145" i="19"/>
  <c r="M146" i="19" s="1"/>
  <c r="L144" i="19"/>
  <c r="L145" i="19" s="1"/>
  <c r="K143" i="19"/>
  <c r="K144" i="19" s="1"/>
  <c r="J142" i="19"/>
  <c r="I141" i="19"/>
  <c r="H140" i="19"/>
  <c r="G139" i="19"/>
  <c r="R139" i="19" s="1"/>
  <c r="M134" i="19"/>
  <c r="M135" i="19" s="1"/>
  <c r="L133" i="19"/>
  <c r="L134" i="19" s="1"/>
  <c r="R19" i="19"/>
  <c r="I726" i="19"/>
  <c r="G726" i="19"/>
  <c r="I719" i="19"/>
  <c r="G719" i="19"/>
  <c r="I708" i="19"/>
  <c r="G708" i="19"/>
  <c r="I698" i="19"/>
  <c r="G698" i="19"/>
  <c r="I651" i="19"/>
  <c r="G651" i="19"/>
  <c r="I644" i="19"/>
  <c r="G644" i="19"/>
  <c r="I633" i="19"/>
  <c r="G633" i="19"/>
  <c r="I623" i="19"/>
  <c r="G623" i="19"/>
  <c r="I567" i="19"/>
  <c r="G567" i="19"/>
  <c r="I557" i="19"/>
  <c r="G557" i="19"/>
  <c r="I510" i="19"/>
  <c r="G510" i="19"/>
  <c r="I503" i="19"/>
  <c r="G503" i="19"/>
  <c r="I492" i="19"/>
  <c r="G492" i="19"/>
  <c r="I482" i="19"/>
  <c r="G482" i="19"/>
  <c r="I436" i="19"/>
  <c r="G436" i="19"/>
  <c r="I425" i="19"/>
  <c r="G425" i="19"/>
  <c r="I415" i="19"/>
  <c r="G415" i="19"/>
  <c r="I368" i="19"/>
  <c r="G368" i="19"/>
  <c r="I361" i="19"/>
  <c r="G361" i="19"/>
  <c r="I350" i="19"/>
  <c r="G350" i="19"/>
  <c r="I340" i="19"/>
  <c r="G340" i="19"/>
  <c r="I294" i="19"/>
  <c r="G294" i="19"/>
  <c r="I287" i="19"/>
  <c r="G287" i="19"/>
  <c r="I276" i="19"/>
  <c r="G276" i="19"/>
  <c r="B301" i="19"/>
  <c r="B207" i="19"/>
  <c r="B194" i="19"/>
  <c r="B183" i="19"/>
  <c r="B172" i="19"/>
  <c r="B161" i="19"/>
  <c r="B150" i="19"/>
  <c r="B139" i="19"/>
  <c r="B128" i="19"/>
  <c r="B111" i="19"/>
  <c r="B97" i="19"/>
  <c r="B86" i="19"/>
  <c r="B75" i="19"/>
  <c r="B64" i="19"/>
  <c r="B53" i="19"/>
  <c r="B42" i="19"/>
  <c r="I266" i="19"/>
  <c r="G266" i="19"/>
  <c r="M23" i="19"/>
  <c r="L23" i="19"/>
  <c r="D63" i="8" l="1"/>
  <c r="E63" i="8"/>
  <c r="N59" i="8"/>
  <c r="F63" i="8"/>
  <c r="D92" i="8"/>
  <c r="N57" i="8"/>
  <c r="E93" i="8"/>
  <c r="N23" i="26"/>
  <c r="M15" i="26"/>
  <c r="M134" i="26" s="1"/>
  <c r="M135" i="26" s="1"/>
  <c r="G289" i="26" s="1"/>
  <c r="H295" i="26" s="1"/>
  <c r="M18" i="26"/>
  <c r="G573" i="19"/>
  <c r="H579" i="19" s="1"/>
  <c r="L83" i="19" s="1"/>
  <c r="R83" i="19" s="1"/>
  <c r="G431" i="19"/>
  <c r="H431" i="19" s="1"/>
  <c r="M168" i="19"/>
  <c r="G356" i="19"/>
  <c r="H362" i="19" s="1"/>
  <c r="L50" i="19" s="1"/>
  <c r="G498" i="19"/>
  <c r="H498" i="19" s="1"/>
  <c r="P23" i="26"/>
  <c r="P24" i="26" s="1"/>
  <c r="P137" i="26"/>
  <c r="R16" i="26"/>
  <c r="R20" i="26"/>
  <c r="R21" i="26"/>
  <c r="N146" i="26"/>
  <c r="N147" i="26" s="1"/>
  <c r="G370" i="26" s="1"/>
  <c r="H370" i="26" s="1"/>
  <c r="N51" i="26" s="1"/>
  <c r="N148" i="26" s="1"/>
  <c r="O23" i="26"/>
  <c r="M189" i="26"/>
  <c r="M190" i="26" s="1"/>
  <c r="G590" i="26" s="1"/>
  <c r="H596" i="26" s="1"/>
  <c r="M145" i="26"/>
  <c r="M146" i="26" s="1"/>
  <c r="G363" i="26" s="1"/>
  <c r="H369" i="26" s="1"/>
  <c r="M200" i="26"/>
  <c r="M201" i="26" s="1"/>
  <c r="G665" i="26" s="1"/>
  <c r="H671" i="26" s="1"/>
  <c r="G562" i="19"/>
  <c r="H572" i="19" s="1"/>
  <c r="K82" i="19" s="1"/>
  <c r="F18" i="30"/>
  <c r="F29" i="30" s="1"/>
  <c r="F42" i="30" s="1"/>
  <c r="B22" i="30"/>
  <c r="B33" i="30" s="1"/>
  <c r="B46" i="30" s="1"/>
  <c r="K13" i="29"/>
  <c r="B100" i="29"/>
  <c r="B124" i="29"/>
  <c r="B43" i="29"/>
  <c r="B61" i="29"/>
  <c r="B34" i="29"/>
  <c r="B79" i="29"/>
  <c r="B115" i="29"/>
  <c r="B133" i="29"/>
  <c r="B169" i="29"/>
  <c r="B180" i="29"/>
  <c r="B142" i="29"/>
  <c r="B88" i="29"/>
  <c r="B151" i="29"/>
  <c r="B70" i="29"/>
  <c r="B160" i="29"/>
  <c r="B52" i="29"/>
  <c r="K47" i="13"/>
  <c r="H63" i="8"/>
  <c r="L24" i="26" s="1"/>
  <c r="J24" i="26"/>
  <c r="H24" i="26"/>
  <c r="I24" i="26"/>
  <c r="G222" i="26"/>
  <c r="G583" i="26"/>
  <c r="H589" i="26" s="1"/>
  <c r="H431" i="26"/>
  <c r="K70" i="26" s="1"/>
  <c r="K167" i="26" s="1"/>
  <c r="H441" i="26"/>
  <c r="H370" i="19"/>
  <c r="H703" i="19"/>
  <c r="K103" i="19" s="1"/>
  <c r="K200" i="19" s="1"/>
  <c r="H713" i="19"/>
  <c r="K104" i="19" s="1"/>
  <c r="H487" i="19"/>
  <c r="K70" i="19" s="1"/>
  <c r="K167" i="19" s="1"/>
  <c r="H497" i="19"/>
  <c r="K71" i="19" s="1"/>
  <c r="H628" i="19"/>
  <c r="I628" i="19" s="1"/>
  <c r="G638" i="19" s="1"/>
  <c r="H638" i="19"/>
  <c r="K93" i="19" s="1"/>
  <c r="K331" i="26"/>
  <c r="K633" i="26"/>
  <c r="K558" i="26"/>
  <c r="K484" i="26"/>
  <c r="K477" i="26"/>
  <c r="J409" i="26"/>
  <c r="J402" i="26"/>
  <c r="K625" i="26"/>
  <c r="K492" i="26"/>
  <c r="J397" i="26"/>
  <c r="J618" i="26"/>
  <c r="J550" i="26"/>
  <c r="J633" i="26"/>
  <c r="J613" i="26"/>
  <c r="J558" i="26"/>
  <c r="J538" i="26"/>
  <c r="J484" i="26"/>
  <c r="J477" i="26"/>
  <c r="K417" i="26"/>
  <c r="K618" i="26"/>
  <c r="K550" i="26"/>
  <c r="K543" i="26"/>
  <c r="J417" i="26"/>
  <c r="J625" i="26"/>
  <c r="J543" i="26"/>
  <c r="J492" i="26"/>
  <c r="J472" i="26"/>
  <c r="K409" i="26"/>
  <c r="K402" i="26"/>
  <c r="G140" i="26"/>
  <c r="R140" i="26" s="1"/>
  <c r="G162" i="26"/>
  <c r="G398" i="26" s="1"/>
  <c r="I398" i="26" s="1"/>
  <c r="J398" i="26" s="1"/>
  <c r="R172" i="26"/>
  <c r="K257" i="26"/>
  <c r="G129" i="26"/>
  <c r="R129" i="26" s="1"/>
  <c r="G195" i="26"/>
  <c r="G614" i="26" s="1"/>
  <c r="I614" i="26" s="1"/>
  <c r="J614" i="26" s="1"/>
  <c r="J237" i="26"/>
  <c r="J257" i="26"/>
  <c r="J316" i="26"/>
  <c r="J323" i="26"/>
  <c r="K323" i="26"/>
  <c r="J242" i="26"/>
  <c r="J249" i="26"/>
  <c r="J311" i="26"/>
  <c r="J331" i="26"/>
  <c r="K316" i="26"/>
  <c r="K242" i="26"/>
  <c r="K249" i="26"/>
  <c r="I26" i="8"/>
  <c r="B195" i="26"/>
  <c r="B173" i="26"/>
  <c r="B162" i="26"/>
  <c r="B151" i="26"/>
  <c r="B140" i="26"/>
  <c r="B129" i="26"/>
  <c r="B208" i="26"/>
  <c r="B184" i="26"/>
  <c r="B98" i="26"/>
  <c r="G412" i="26"/>
  <c r="H442" i="26"/>
  <c r="L71" i="26" s="1"/>
  <c r="L168" i="26" s="1"/>
  <c r="G184" i="26"/>
  <c r="R183" i="26"/>
  <c r="G658" i="26"/>
  <c r="H664" i="26" s="1"/>
  <c r="I13" i="26"/>
  <c r="B65" i="26"/>
  <c r="B87" i="26"/>
  <c r="B112" i="26"/>
  <c r="P125" i="26"/>
  <c r="L125" i="26"/>
  <c r="M125" i="26" s="1"/>
  <c r="N125" i="26" s="1"/>
  <c r="O125" i="26" s="1"/>
  <c r="G252" i="26"/>
  <c r="H282" i="26"/>
  <c r="L38" i="26" s="1"/>
  <c r="L135" i="26" s="1"/>
  <c r="G487" i="26"/>
  <c r="G517" i="26"/>
  <c r="H523" i="26" s="1"/>
  <c r="H672" i="26"/>
  <c r="N106" i="26" s="1"/>
  <c r="N203" i="26" s="1"/>
  <c r="B54" i="26"/>
  <c r="G335" i="26"/>
  <c r="B32" i="26"/>
  <c r="B76" i="26"/>
  <c r="G326" i="26"/>
  <c r="H356" i="26"/>
  <c r="L49" i="26" s="1"/>
  <c r="L146" i="26" s="1"/>
  <c r="G404" i="26"/>
  <c r="G421" i="26"/>
  <c r="H456" i="26"/>
  <c r="N73" i="26" s="1"/>
  <c r="N170" i="26" s="1"/>
  <c r="G473" i="26"/>
  <c r="I473" i="26" s="1"/>
  <c r="J473" i="26" s="1"/>
  <c r="R173" i="26"/>
  <c r="G545" i="26"/>
  <c r="G572" i="26"/>
  <c r="H582" i="26" s="1"/>
  <c r="G318" i="26"/>
  <c r="B43" i="26"/>
  <c r="G244" i="26"/>
  <c r="G261" i="26"/>
  <c r="H296" i="26"/>
  <c r="N40" i="26" s="1"/>
  <c r="N137" i="26" s="1"/>
  <c r="G479" i="26"/>
  <c r="G496" i="26"/>
  <c r="G620" i="26"/>
  <c r="H271" i="26"/>
  <c r="K37" i="26" s="1"/>
  <c r="K134" i="26" s="1"/>
  <c r="H345" i="26"/>
  <c r="K48" i="26" s="1"/>
  <c r="K145" i="26" s="1"/>
  <c r="H506" i="26"/>
  <c r="K81" i="26" s="1"/>
  <c r="K178" i="26" s="1"/>
  <c r="H597" i="26"/>
  <c r="N95" i="26" s="1"/>
  <c r="N192" i="26" s="1"/>
  <c r="G647" i="26"/>
  <c r="H657" i="26" s="1"/>
  <c r="I52" i="8"/>
  <c r="I69" i="8" s="1"/>
  <c r="I89" i="8" s="1"/>
  <c r="J52" i="8"/>
  <c r="J69" i="8" s="1"/>
  <c r="J89" i="8" s="1"/>
  <c r="K52" i="8"/>
  <c r="K69" i="8" s="1"/>
  <c r="K89" i="8" s="1"/>
  <c r="G26" i="8"/>
  <c r="G42" i="8" s="1"/>
  <c r="G58" i="8" s="1"/>
  <c r="J26" i="8"/>
  <c r="J42" i="8" s="1"/>
  <c r="J61" i="8" s="1"/>
  <c r="J98" i="8" s="1"/>
  <c r="H52" i="8"/>
  <c r="H69" i="8" s="1"/>
  <c r="H89" i="8" s="1"/>
  <c r="L26" i="8"/>
  <c r="L42" i="8" s="1"/>
  <c r="K26" i="8"/>
  <c r="K42" i="8" s="1"/>
  <c r="K62" i="8" s="1"/>
  <c r="K99" i="8" s="1"/>
  <c r="H57" i="20"/>
  <c r="G41" i="20"/>
  <c r="G42" i="20" s="1"/>
  <c r="G29" i="20" s="1"/>
  <c r="E28" i="20"/>
  <c r="D28" i="20"/>
  <c r="K28" i="20"/>
  <c r="C28" i="20"/>
  <c r="G653" i="19"/>
  <c r="H653" i="19" s="1"/>
  <c r="N95" i="19" s="1"/>
  <c r="N192" i="19" s="1"/>
  <c r="G289" i="19"/>
  <c r="G363" i="19"/>
  <c r="G296" i="19"/>
  <c r="H296" i="19" s="1"/>
  <c r="N40" i="19" s="1"/>
  <c r="N137" i="19" s="1"/>
  <c r="G646" i="19"/>
  <c r="G345" i="19"/>
  <c r="G282" i="19"/>
  <c r="G721" i="19"/>
  <c r="G714" i="19"/>
  <c r="G639" i="19"/>
  <c r="I512" i="19"/>
  <c r="G420" i="19"/>
  <c r="I728" i="19"/>
  <c r="K66" i="7"/>
  <c r="J65" i="7"/>
  <c r="J66" i="7" s="1"/>
  <c r="I64" i="7"/>
  <c r="I65" i="7" s="1"/>
  <c r="K48" i="7"/>
  <c r="B43" i="7"/>
  <c r="B63" i="7" s="1"/>
  <c r="K37" i="7"/>
  <c r="K57" i="7" s="1"/>
  <c r="N29" i="7"/>
  <c r="N28" i="7"/>
  <c r="N26" i="7"/>
  <c r="N25" i="7"/>
  <c r="N24" i="7"/>
  <c r="N23" i="7"/>
  <c r="N22" i="7"/>
  <c r="K30" i="7"/>
  <c r="N30" i="7" s="1"/>
  <c r="N27" i="7"/>
  <c r="L31" i="7"/>
  <c r="J31" i="7"/>
  <c r="N24" i="19" s="1"/>
  <c r="I31" i="7"/>
  <c r="M24" i="19" s="1"/>
  <c r="G31" i="7"/>
  <c r="F31" i="7"/>
  <c r="E31" i="7"/>
  <c r="D31" i="7"/>
  <c r="B29" i="7"/>
  <c r="B46" i="7" s="1"/>
  <c r="B66" i="7" s="1"/>
  <c r="B28" i="7"/>
  <c r="B45" i="7" s="1"/>
  <c r="B65" i="7" s="1"/>
  <c r="B27" i="7"/>
  <c r="B44" i="7" s="1"/>
  <c r="B64" i="7" s="1"/>
  <c r="B26" i="7"/>
  <c r="H20" i="7"/>
  <c r="H37" i="7" s="1"/>
  <c r="H57" i="7" s="1"/>
  <c r="I20" i="7"/>
  <c r="I37" i="7" s="1"/>
  <c r="I57" i="7" s="1"/>
  <c r="J20" i="7"/>
  <c r="J37" i="7" s="1"/>
  <c r="J57" i="7" s="1"/>
  <c r="E119" i="5"/>
  <c r="D119" i="5"/>
  <c r="E116" i="5"/>
  <c r="D116" i="5"/>
  <c r="D71" i="5"/>
  <c r="E184" i="5"/>
  <c r="D184" i="5"/>
  <c r="E186" i="5"/>
  <c r="D186" i="5"/>
  <c r="E38" i="5"/>
  <c r="E107" i="5"/>
  <c r="E103" i="5"/>
  <c r="E14" i="5"/>
  <c r="E211" i="5" s="1"/>
  <c r="E13" i="5"/>
  <c r="E210" i="5" s="1"/>
  <c r="I42" i="8" l="1"/>
  <c r="I60" i="8" s="1"/>
  <c r="G95" i="8"/>
  <c r="G63" i="8"/>
  <c r="K24" i="26" s="1"/>
  <c r="N58" i="8"/>
  <c r="R15" i="26"/>
  <c r="K63" i="8"/>
  <c r="K64" i="8" s="1"/>
  <c r="N62" i="8"/>
  <c r="N61" i="8"/>
  <c r="J63" i="8"/>
  <c r="N24" i="26" s="1"/>
  <c r="H573" i="19"/>
  <c r="I573" i="19" s="1"/>
  <c r="G579" i="19" s="1"/>
  <c r="I579" i="19" s="1"/>
  <c r="M23" i="26"/>
  <c r="R23" i="26" s="1"/>
  <c r="R18" i="26"/>
  <c r="M167" i="26"/>
  <c r="M168" i="26" s="1"/>
  <c r="G449" i="26" s="1"/>
  <c r="H455" i="26" s="1"/>
  <c r="O24" i="26"/>
  <c r="K67" i="7"/>
  <c r="K31" i="7"/>
  <c r="K32" i="7" s="1"/>
  <c r="P24" i="19"/>
  <c r="K201" i="19"/>
  <c r="I370" i="19"/>
  <c r="N51" i="19"/>
  <c r="N148" i="19" s="1"/>
  <c r="H356" i="19"/>
  <c r="K168" i="19"/>
  <c r="I498" i="19"/>
  <c r="G504" i="19" s="1"/>
  <c r="L71" i="19"/>
  <c r="L168" i="19" s="1"/>
  <c r="I431" i="19"/>
  <c r="G437" i="19" s="1"/>
  <c r="L60" i="19"/>
  <c r="L157" i="19" s="1"/>
  <c r="H437" i="19"/>
  <c r="L61" i="19" s="1"/>
  <c r="G505" i="19"/>
  <c r="H504" i="19"/>
  <c r="L72" i="19" s="1"/>
  <c r="E235" i="5"/>
  <c r="D23" i="4" s="1"/>
  <c r="D29" i="4" s="1"/>
  <c r="E234" i="5"/>
  <c r="D26" i="4" s="1"/>
  <c r="E229" i="5"/>
  <c r="D20" i="4" s="1"/>
  <c r="H562" i="19"/>
  <c r="I562" i="19" s="1"/>
  <c r="G572" i="19" s="1"/>
  <c r="I487" i="19"/>
  <c r="G497" i="19" s="1"/>
  <c r="I497" i="19" s="1"/>
  <c r="K92" i="19"/>
  <c r="K189" i="19" s="1"/>
  <c r="K190" i="19" s="1"/>
  <c r="L13" i="29"/>
  <c r="B80" i="29"/>
  <c r="B125" i="29"/>
  <c r="B71" i="29"/>
  <c r="B161" i="29"/>
  <c r="B53" i="29"/>
  <c r="B35" i="29"/>
  <c r="B44" i="29"/>
  <c r="B170" i="29"/>
  <c r="B181" i="29"/>
  <c r="B89" i="29"/>
  <c r="B152" i="29"/>
  <c r="B134" i="29"/>
  <c r="B143" i="29"/>
  <c r="B62" i="29"/>
  <c r="B101" i="29"/>
  <c r="B116" i="29"/>
  <c r="E233" i="5"/>
  <c r="D25" i="4" s="1"/>
  <c r="E232" i="5"/>
  <c r="D24" i="4" s="1"/>
  <c r="E228" i="5"/>
  <c r="D19" i="4" s="1"/>
  <c r="E231" i="5"/>
  <c r="D22" i="4" s="1"/>
  <c r="E230" i="5"/>
  <c r="D21" i="4" s="1"/>
  <c r="R162" i="26"/>
  <c r="G312" i="26"/>
  <c r="I312" i="26" s="1"/>
  <c r="J312" i="26" s="1"/>
  <c r="K312" i="26" s="1"/>
  <c r="G317" i="26" s="1"/>
  <c r="L83" i="26"/>
  <c r="R83" i="26" s="1"/>
  <c r="R195" i="26"/>
  <c r="I431" i="26"/>
  <c r="G441" i="26" s="1"/>
  <c r="H583" i="26"/>
  <c r="L93" i="26" s="1"/>
  <c r="L190" i="26" s="1"/>
  <c r="H282" i="19"/>
  <c r="L38" i="19" s="1"/>
  <c r="L135" i="19" s="1"/>
  <c r="H288" i="19"/>
  <c r="L39" i="19" s="1"/>
  <c r="H289" i="19"/>
  <c r="H295" i="19"/>
  <c r="H345" i="19"/>
  <c r="I345" i="19" s="1"/>
  <c r="G355" i="19" s="1"/>
  <c r="H355" i="19"/>
  <c r="K49" i="19" s="1"/>
  <c r="H639" i="19"/>
  <c r="L93" i="19" s="1"/>
  <c r="L190" i="19" s="1"/>
  <c r="H645" i="19"/>
  <c r="L94" i="19" s="1"/>
  <c r="H646" i="19"/>
  <c r="M94" i="19" s="1"/>
  <c r="M191" i="19" s="1"/>
  <c r="H652" i="19"/>
  <c r="I703" i="19"/>
  <c r="G713" i="19" s="1"/>
  <c r="H420" i="19"/>
  <c r="I420" i="19" s="1"/>
  <c r="G430" i="19" s="1"/>
  <c r="H430" i="19"/>
  <c r="K60" i="19" s="1"/>
  <c r="H721" i="19"/>
  <c r="M105" i="19" s="1"/>
  <c r="M202" i="19" s="1"/>
  <c r="H727" i="19"/>
  <c r="M106" i="19" s="1"/>
  <c r="R106" i="19" s="1"/>
  <c r="H714" i="19"/>
  <c r="L104" i="19" s="1"/>
  <c r="L201" i="19" s="1"/>
  <c r="H720" i="19"/>
  <c r="L105" i="19" s="1"/>
  <c r="H363" i="19"/>
  <c r="H369" i="19"/>
  <c r="M51" i="19" s="1"/>
  <c r="G238" i="26"/>
  <c r="I238" i="26" s="1"/>
  <c r="J238" i="26" s="1"/>
  <c r="K238" i="26" s="1"/>
  <c r="G243" i="26" s="1"/>
  <c r="I370" i="26"/>
  <c r="I506" i="26"/>
  <c r="G516" i="26" s="1"/>
  <c r="I345" i="26"/>
  <c r="G355" i="26" s="1"/>
  <c r="K49" i="26" s="1"/>
  <c r="K146" i="26" s="1"/>
  <c r="I271" i="26"/>
  <c r="G281" i="26" s="1"/>
  <c r="I296" i="26"/>
  <c r="I456" i="26"/>
  <c r="I672" i="26"/>
  <c r="K614" i="26"/>
  <c r="G619" i="26" s="1"/>
  <c r="G99" i="26"/>
  <c r="K398" i="26"/>
  <c r="G403" i="26" s="1"/>
  <c r="G66" i="26"/>
  <c r="H363" i="26"/>
  <c r="M50" i="26" s="1"/>
  <c r="M147" i="26" s="1"/>
  <c r="H590" i="26"/>
  <c r="M94" i="26" s="1"/>
  <c r="M191" i="26" s="1"/>
  <c r="I597" i="26"/>
  <c r="K82" i="26"/>
  <c r="K179" i="26" s="1"/>
  <c r="K71" i="26"/>
  <c r="K168" i="26" s="1"/>
  <c r="H665" i="26"/>
  <c r="M105" i="26" s="1"/>
  <c r="M202" i="26" s="1"/>
  <c r="I356" i="26"/>
  <c r="G362" i="26" s="1"/>
  <c r="H289" i="26"/>
  <c r="M39" i="26" s="1"/>
  <c r="M136" i="26" s="1"/>
  <c r="H517" i="26"/>
  <c r="L82" i="26" s="1"/>
  <c r="L179" i="26" s="1"/>
  <c r="I282" i="26"/>
  <c r="G288" i="26" s="1"/>
  <c r="H658" i="26"/>
  <c r="L104" i="26" s="1"/>
  <c r="L201" i="26" s="1"/>
  <c r="G539" i="26"/>
  <c r="I539" i="26" s="1"/>
  <c r="J539" i="26" s="1"/>
  <c r="R184" i="26"/>
  <c r="H647" i="26"/>
  <c r="K103" i="26" s="1"/>
  <c r="K200" i="26" s="1"/>
  <c r="H572" i="26"/>
  <c r="K92" i="26" s="1"/>
  <c r="K189" i="26" s="1"/>
  <c r="K473" i="26"/>
  <c r="G478" i="26" s="1"/>
  <c r="G77" i="26"/>
  <c r="B174" i="26"/>
  <c r="B163" i="26"/>
  <c r="B152" i="26"/>
  <c r="B141" i="26"/>
  <c r="B130" i="26"/>
  <c r="B196" i="26"/>
  <c r="B185" i="26"/>
  <c r="B113" i="26"/>
  <c r="B209" i="26"/>
  <c r="B88" i="26"/>
  <c r="B66" i="26"/>
  <c r="B55" i="26"/>
  <c r="J13" i="26"/>
  <c r="B77" i="26"/>
  <c r="B33" i="26"/>
  <c r="B99" i="26"/>
  <c r="B44" i="26"/>
  <c r="I442" i="26"/>
  <c r="G448" i="26" s="1"/>
  <c r="I653" i="19"/>
  <c r="I296" i="19"/>
  <c r="H31" i="7"/>
  <c r="L24" i="19" s="1"/>
  <c r="H64" i="7"/>
  <c r="I638" i="19"/>
  <c r="L3" i="8"/>
  <c r="G3" i="8"/>
  <c r="F3" i="8"/>
  <c r="E3" i="8"/>
  <c r="D3" i="8"/>
  <c r="C3" i="8"/>
  <c r="J70" i="25"/>
  <c r="I70" i="25"/>
  <c r="I65" i="25"/>
  <c r="L70" i="25"/>
  <c r="K70" i="25"/>
  <c r="H70" i="25"/>
  <c r="G70" i="25"/>
  <c r="F70" i="25"/>
  <c r="J65" i="25"/>
  <c r="H65" i="25"/>
  <c r="G65" i="25"/>
  <c r="F65" i="25"/>
  <c r="L84" i="20"/>
  <c r="K84" i="20"/>
  <c r="J84" i="20"/>
  <c r="I84" i="20"/>
  <c r="G84" i="20"/>
  <c r="F84" i="20"/>
  <c r="L76" i="20"/>
  <c r="K76" i="20"/>
  <c r="J76" i="20"/>
  <c r="I76" i="20"/>
  <c r="G76" i="20"/>
  <c r="F76" i="20"/>
  <c r="L69" i="20"/>
  <c r="K69" i="20"/>
  <c r="J69" i="20"/>
  <c r="I69" i="20"/>
  <c r="G69" i="20"/>
  <c r="F69" i="20"/>
  <c r="J64" i="20"/>
  <c r="I64" i="20"/>
  <c r="G64" i="20"/>
  <c r="F64" i="20"/>
  <c r="M689" i="19"/>
  <c r="L689" i="19"/>
  <c r="K689" i="19"/>
  <c r="J689" i="19"/>
  <c r="I689" i="19"/>
  <c r="H689" i="19"/>
  <c r="G689" i="19"/>
  <c r="M681" i="19"/>
  <c r="L681" i="19"/>
  <c r="K681" i="19"/>
  <c r="J681" i="19"/>
  <c r="I681" i="19"/>
  <c r="H681" i="19"/>
  <c r="G681" i="19"/>
  <c r="M674" i="19"/>
  <c r="L674" i="19"/>
  <c r="K674" i="19"/>
  <c r="J674" i="19"/>
  <c r="I674" i="19"/>
  <c r="H674" i="19"/>
  <c r="G674" i="19"/>
  <c r="K669" i="19"/>
  <c r="J669" i="19"/>
  <c r="I669" i="19"/>
  <c r="H669" i="19"/>
  <c r="G669" i="19"/>
  <c r="M614" i="19"/>
  <c r="L614" i="19"/>
  <c r="K614" i="19"/>
  <c r="J614" i="19"/>
  <c r="I614" i="19"/>
  <c r="H614" i="19"/>
  <c r="G614" i="19"/>
  <c r="M606" i="19"/>
  <c r="L606" i="19"/>
  <c r="K606" i="19"/>
  <c r="J606" i="19"/>
  <c r="I606" i="19"/>
  <c r="H606" i="19"/>
  <c r="G606" i="19"/>
  <c r="M599" i="19"/>
  <c r="L599" i="19"/>
  <c r="K599" i="19"/>
  <c r="J599" i="19"/>
  <c r="I599" i="19"/>
  <c r="H599" i="19"/>
  <c r="G599" i="19"/>
  <c r="K594" i="19"/>
  <c r="J594" i="19"/>
  <c r="I594" i="19"/>
  <c r="H594" i="19"/>
  <c r="G594" i="19"/>
  <c r="M548" i="19"/>
  <c r="L548" i="19"/>
  <c r="K548" i="19"/>
  <c r="J548" i="19"/>
  <c r="I548" i="19"/>
  <c r="H548" i="19"/>
  <c r="G548" i="19"/>
  <c r="M540" i="19"/>
  <c r="L540" i="19"/>
  <c r="K540" i="19"/>
  <c r="J540" i="19"/>
  <c r="I540" i="19"/>
  <c r="H540" i="19"/>
  <c r="G540" i="19"/>
  <c r="M533" i="19"/>
  <c r="L533" i="19"/>
  <c r="K533" i="19"/>
  <c r="J533" i="19"/>
  <c r="I533" i="19"/>
  <c r="H533" i="19"/>
  <c r="G533" i="19"/>
  <c r="K528" i="19"/>
  <c r="J528" i="19"/>
  <c r="I528" i="19"/>
  <c r="H528" i="19"/>
  <c r="G528" i="19"/>
  <c r="M473" i="19"/>
  <c r="L473" i="19"/>
  <c r="K473" i="19"/>
  <c r="J473" i="19"/>
  <c r="I473" i="19"/>
  <c r="H473" i="19"/>
  <c r="G473" i="19"/>
  <c r="M465" i="19"/>
  <c r="L465" i="19"/>
  <c r="K465" i="19"/>
  <c r="J465" i="19"/>
  <c r="I465" i="19"/>
  <c r="H465" i="19"/>
  <c r="G465" i="19"/>
  <c r="M458" i="19"/>
  <c r="L458" i="19"/>
  <c r="K458" i="19"/>
  <c r="J458" i="19"/>
  <c r="I458" i="19"/>
  <c r="H458" i="19"/>
  <c r="G458" i="19"/>
  <c r="K453" i="19"/>
  <c r="J453" i="19"/>
  <c r="I453" i="19"/>
  <c r="H453" i="19"/>
  <c r="G453" i="19"/>
  <c r="M406" i="19"/>
  <c r="L406" i="19"/>
  <c r="K406" i="19"/>
  <c r="J406" i="19"/>
  <c r="I406" i="19"/>
  <c r="H406" i="19"/>
  <c r="G406" i="19"/>
  <c r="M398" i="19"/>
  <c r="L398" i="19"/>
  <c r="K398" i="19"/>
  <c r="J398" i="19"/>
  <c r="I398" i="19"/>
  <c r="H398" i="19"/>
  <c r="G398" i="19"/>
  <c r="M391" i="19"/>
  <c r="L391" i="19"/>
  <c r="K391" i="19"/>
  <c r="J391" i="19"/>
  <c r="I391" i="19"/>
  <c r="H391" i="19"/>
  <c r="G391" i="19"/>
  <c r="K386" i="19"/>
  <c r="J386" i="19"/>
  <c r="I386" i="19"/>
  <c r="H386" i="19"/>
  <c r="G386" i="19"/>
  <c r="K242" i="19"/>
  <c r="H331" i="19"/>
  <c r="H323" i="19"/>
  <c r="H316" i="19"/>
  <c r="H311" i="19"/>
  <c r="H257" i="19"/>
  <c r="H249" i="19"/>
  <c r="H242" i="19"/>
  <c r="H237" i="19"/>
  <c r="M331" i="19"/>
  <c r="L331" i="19"/>
  <c r="K331" i="19"/>
  <c r="J331" i="19"/>
  <c r="I331" i="19"/>
  <c r="G331" i="19"/>
  <c r="M323" i="19"/>
  <c r="L323" i="19"/>
  <c r="K323" i="19"/>
  <c r="J323" i="19"/>
  <c r="I323" i="19"/>
  <c r="G323" i="19"/>
  <c r="M316" i="19"/>
  <c r="L316" i="19"/>
  <c r="K316" i="19"/>
  <c r="J316" i="19"/>
  <c r="I316" i="19"/>
  <c r="G316" i="19"/>
  <c r="K311" i="19"/>
  <c r="J311" i="19"/>
  <c r="I311" i="19"/>
  <c r="G311" i="19"/>
  <c r="M257" i="19"/>
  <c r="L257" i="19"/>
  <c r="K257" i="19"/>
  <c r="J257" i="19"/>
  <c r="I257" i="19"/>
  <c r="G257" i="19"/>
  <c r="M249" i="19"/>
  <c r="L249" i="19"/>
  <c r="K249" i="19"/>
  <c r="J249" i="19"/>
  <c r="I249" i="19"/>
  <c r="G249" i="19"/>
  <c r="M242" i="19"/>
  <c r="L242" i="19"/>
  <c r="J242" i="19"/>
  <c r="I242" i="19"/>
  <c r="G242" i="19"/>
  <c r="K237" i="19"/>
  <c r="J237" i="19"/>
  <c r="I237" i="19"/>
  <c r="G237" i="19"/>
  <c r="G693" i="19"/>
  <c r="G684" i="19"/>
  <c r="H196" i="19"/>
  <c r="I186" i="19"/>
  <c r="G609" i="19" s="1"/>
  <c r="H185" i="19"/>
  <c r="J176" i="19"/>
  <c r="I175" i="19"/>
  <c r="H174" i="19"/>
  <c r="J165" i="19"/>
  <c r="I164" i="19"/>
  <c r="H163" i="19"/>
  <c r="J154" i="19"/>
  <c r="I153" i="19"/>
  <c r="H152" i="19"/>
  <c r="J143" i="19"/>
  <c r="I142" i="19"/>
  <c r="H141" i="19"/>
  <c r="K132" i="19"/>
  <c r="J131" i="19"/>
  <c r="I130" i="19"/>
  <c r="H129" i="19"/>
  <c r="J187" i="19"/>
  <c r="E35" i="22"/>
  <c r="D35" i="22"/>
  <c r="A37" i="1"/>
  <c r="H205" i="19"/>
  <c r="I205" i="19" s="1"/>
  <c r="J205" i="19" s="1"/>
  <c r="K205" i="19" s="1"/>
  <c r="L205" i="19" s="1"/>
  <c r="M205" i="19" s="1"/>
  <c r="N205" i="19" s="1"/>
  <c r="O205" i="19" s="1"/>
  <c r="P205" i="19" s="1"/>
  <c r="H109" i="19"/>
  <c r="I109" i="19" s="1"/>
  <c r="J109" i="19" s="1"/>
  <c r="K109" i="19" s="1"/>
  <c r="L109" i="19" s="1"/>
  <c r="M109" i="19" s="1"/>
  <c r="N109" i="19" s="1"/>
  <c r="O109" i="19" s="1"/>
  <c r="P109" i="19" s="1"/>
  <c r="R31" i="19"/>
  <c r="B31" i="19"/>
  <c r="R21" i="19"/>
  <c r="R20" i="19"/>
  <c r="R18" i="19"/>
  <c r="R16" i="19"/>
  <c r="R15" i="19"/>
  <c r="E52" i="22"/>
  <c r="D52" i="22"/>
  <c r="C52" i="22"/>
  <c r="A29" i="5"/>
  <c r="A32" i="5" s="1"/>
  <c r="A35" i="5" s="1"/>
  <c r="D7" i="25"/>
  <c r="E7" i="25" s="1"/>
  <c r="F7" i="25" s="1"/>
  <c r="B22" i="25" s="1"/>
  <c r="B37" i="25" s="1"/>
  <c r="B54" i="25" s="1"/>
  <c r="E53" i="25"/>
  <c r="E54" i="25" s="1"/>
  <c r="E55" i="25" s="1"/>
  <c r="E56" i="25" s="1"/>
  <c r="D52" i="25"/>
  <c r="D53" i="25" s="1"/>
  <c r="C51" i="25"/>
  <c r="L51" i="25" s="1"/>
  <c r="E28" i="25"/>
  <c r="L34" i="25"/>
  <c r="C27" i="25"/>
  <c r="L19" i="25"/>
  <c r="L27" i="25" s="1"/>
  <c r="B19" i="25"/>
  <c r="B34" i="25" s="1"/>
  <c r="B51" i="25" s="1"/>
  <c r="L17" i="8"/>
  <c r="G17" i="8"/>
  <c r="F17" i="8"/>
  <c r="E17" i="8"/>
  <c r="D17" i="8"/>
  <c r="C17" i="8"/>
  <c r="L8" i="8"/>
  <c r="G8" i="8"/>
  <c r="F8" i="8"/>
  <c r="E8" i="8"/>
  <c r="D8" i="8"/>
  <c r="C8" i="8"/>
  <c r="E8" i="22"/>
  <c r="D8" i="22"/>
  <c r="C8" i="22"/>
  <c r="E115" i="22"/>
  <c r="D114" i="22"/>
  <c r="C113" i="22"/>
  <c r="L113" i="22" s="1"/>
  <c r="L95" i="22"/>
  <c r="L80" i="22"/>
  <c r="B87" i="22"/>
  <c r="B102" i="22" s="1"/>
  <c r="B120" i="22" s="1"/>
  <c r="J79" i="22"/>
  <c r="J94" i="22" s="1"/>
  <c r="J112" i="22" s="1"/>
  <c r="B82" i="22"/>
  <c r="B97" i="22" s="1"/>
  <c r="B115" i="22" s="1"/>
  <c r="D79" i="22"/>
  <c r="D94" i="22" s="1"/>
  <c r="D112" i="22" s="1"/>
  <c r="C68" i="22"/>
  <c r="C79" i="22" s="1"/>
  <c r="C94" i="22" s="1"/>
  <c r="C112" i="22" s="1"/>
  <c r="C5" i="22"/>
  <c r="C4" i="22"/>
  <c r="Q3" i="22"/>
  <c r="O3" i="22"/>
  <c r="E2" i="19"/>
  <c r="L41" i="8"/>
  <c r="L52" i="8" s="1"/>
  <c r="L69" i="8" s="1"/>
  <c r="L89" i="8" s="1"/>
  <c r="G41" i="8"/>
  <c r="B57" i="8" s="1"/>
  <c r="B74" i="8" s="1"/>
  <c r="B94" i="8" s="1"/>
  <c r="F41" i="8"/>
  <c r="F52" i="8" s="1"/>
  <c r="F69" i="8" s="1"/>
  <c r="F89" i="8" s="1"/>
  <c r="E41" i="8"/>
  <c r="B55" i="8" s="1"/>
  <c r="B72" i="8" s="1"/>
  <c r="B92" i="8" s="1"/>
  <c r="D41" i="8"/>
  <c r="B54" i="8" s="1"/>
  <c r="B71" i="8" s="1"/>
  <c r="B91" i="8" s="1"/>
  <c r="C41" i="8"/>
  <c r="B53" i="8" s="1"/>
  <c r="B70" i="8" s="1"/>
  <c r="B81" i="22"/>
  <c r="B96" i="22" s="1"/>
  <c r="B114" i="22" s="1"/>
  <c r="G55" i="20"/>
  <c r="F54" i="20"/>
  <c r="F55" i="20" s="1"/>
  <c r="E53" i="20"/>
  <c r="E54" i="20" s="1"/>
  <c r="D52" i="20"/>
  <c r="D53" i="20" s="1"/>
  <c r="C51" i="20"/>
  <c r="K51" i="20" s="1"/>
  <c r="K35" i="20"/>
  <c r="M35" i="20" s="1"/>
  <c r="B41" i="20"/>
  <c r="B57" i="20" s="1"/>
  <c r="B39" i="20"/>
  <c r="B55" i="20" s="1"/>
  <c r="B38" i="20"/>
  <c r="B54" i="20" s="1"/>
  <c r="B37" i="20"/>
  <c r="B53" i="20" s="1"/>
  <c r="F65" i="20"/>
  <c r="B36" i="20"/>
  <c r="B52" i="20" s="1"/>
  <c r="B35" i="20"/>
  <c r="B51" i="20" s="1"/>
  <c r="G34" i="20"/>
  <c r="G50" i="20" s="1"/>
  <c r="F34" i="20"/>
  <c r="F50" i="20" s="1"/>
  <c r="E34" i="20"/>
  <c r="E50" i="20" s="1"/>
  <c r="D34" i="20"/>
  <c r="D50" i="20" s="1"/>
  <c r="C34" i="20"/>
  <c r="C50" i="20" s="1"/>
  <c r="C7" i="20"/>
  <c r="C6" i="20"/>
  <c r="D2" i="19"/>
  <c r="B2" i="19"/>
  <c r="G162" i="19"/>
  <c r="G140" i="19"/>
  <c r="G128" i="19"/>
  <c r="H125" i="19"/>
  <c r="I125" i="19" s="1"/>
  <c r="J125" i="19" s="1"/>
  <c r="K125" i="19" s="1"/>
  <c r="H28" i="19"/>
  <c r="I28" i="19" s="1"/>
  <c r="J28" i="19" s="1"/>
  <c r="K28" i="19" s="1"/>
  <c r="L28" i="19" s="1"/>
  <c r="M28" i="19" s="1"/>
  <c r="N28" i="19" s="1"/>
  <c r="O28" i="19" s="1"/>
  <c r="P28" i="19" s="1"/>
  <c r="H13" i="19"/>
  <c r="I13" i="19" s="1"/>
  <c r="K23" i="19"/>
  <c r="J23" i="19"/>
  <c r="J24" i="19" s="1"/>
  <c r="I23" i="19"/>
  <c r="I24" i="19" s="1"/>
  <c r="H23" i="19"/>
  <c r="H24" i="19" s="1"/>
  <c r="G23" i="19"/>
  <c r="B7" i="19"/>
  <c r="B4" i="19"/>
  <c r="N21" i="7"/>
  <c r="F30" i="13"/>
  <c r="F47" i="13" s="1"/>
  <c r="D107" i="5"/>
  <c r="D103" i="5"/>
  <c r="W16" i="16"/>
  <c r="V16" i="16"/>
  <c r="S16" i="16"/>
  <c r="S15" i="16"/>
  <c r="U15" i="15"/>
  <c r="T15" i="15"/>
  <c r="Q15" i="15"/>
  <c r="R1" i="13"/>
  <c r="U2" i="13"/>
  <c r="T2" i="13"/>
  <c r="R2" i="13"/>
  <c r="S4" i="8"/>
  <c r="R4" i="8"/>
  <c r="Q4" i="8"/>
  <c r="S4" i="7"/>
  <c r="R4" i="7"/>
  <c r="Q4" i="7"/>
  <c r="S1" i="5"/>
  <c r="O1" i="5"/>
  <c r="Q2" i="2"/>
  <c r="P2" i="2"/>
  <c r="E19" i="16"/>
  <c r="E36" i="16" s="1"/>
  <c r="E32" i="15"/>
  <c r="R71" i="2"/>
  <c r="R69" i="2"/>
  <c r="R67" i="2"/>
  <c r="R59" i="2"/>
  <c r="R57" i="2"/>
  <c r="R56" i="2"/>
  <c r="R54" i="2"/>
  <c r="R51" i="2"/>
  <c r="R49" i="2"/>
  <c r="R48" i="2"/>
  <c r="R47" i="2"/>
  <c r="R32" i="2"/>
  <c r="R30" i="2"/>
  <c r="R27" i="2"/>
  <c r="R19" i="2"/>
  <c r="R18" i="2"/>
  <c r="R17" i="2"/>
  <c r="R14" i="2"/>
  <c r="D14" i="5"/>
  <c r="D211" i="5" s="1"/>
  <c r="D13" i="5"/>
  <c r="D210" i="5" s="1"/>
  <c r="C7" i="7"/>
  <c r="C6" i="7"/>
  <c r="C5" i="8"/>
  <c r="C4" i="8"/>
  <c r="E6" i="4"/>
  <c r="L67" i="7"/>
  <c r="G62" i="7"/>
  <c r="G63" i="7" s="1"/>
  <c r="F61" i="7"/>
  <c r="F62" i="7" s="1"/>
  <c r="E60" i="7"/>
  <c r="E61" i="7" s="1"/>
  <c r="N70" i="8"/>
  <c r="B21" i="7"/>
  <c r="B38" i="7" s="1"/>
  <c r="B58" i="7" s="1"/>
  <c r="C20" i="7"/>
  <c r="N39" i="7"/>
  <c r="P39" i="7" s="1"/>
  <c r="N38" i="7"/>
  <c r="A12" i="4"/>
  <c r="A9" i="4"/>
  <c r="D6" i="4"/>
  <c r="D4" i="4"/>
  <c r="D3" i="4"/>
  <c r="L48" i="7"/>
  <c r="L32" i="7" s="1"/>
  <c r="B22" i="7"/>
  <c r="B39" i="7" s="1"/>
  <c r="B59" i="7" s="1"/>
  <c r="B23" i="7"/>
  <c r="B40" i="7" s="1"/>
  <c r="B60" i="7" s="1"/>
  <c r="E20" i="7"/>
  <c r="D20" i="7"/>
  <c r="N30" i="13"/>
  <c r="P30" i="13"/>
  <c r="D59" i="7"/>
  <c r="D60" i="7" s="1"/>
  <c r="D38" i="5"/>
  <c r="F20" i="7"/>
  <c r="B24" i="7"/>
  <c r="B41" i="7" s="1"/>
  <c r="B61" i="7" s="1"/>
  <c r="B25" i="7"/>
  <c r="B42" i="7" s="1"/>
  <c r="B62" i="7" s="1"/>
  <c r="G20" i="7"/>
  <c r="B30" i="7"/>
  <c r="B47" i="7" s="1"/>
  <c r="B67" i="7" s="1"/>
  <c r="L20" i="7"/>
  <c r="C58" i="7"/>
  <c r="N58" i="7" s="1"/>
  <c r="C31" i="7"/>
  <c r="N90" i="8"/>
  <c r="N53" i="8"/>
  <c r="C18" i="25"/>
  <c r="C33" i="25" s="1"/>
  <c r="C50" i="25" s="1"/>
  <c r="H66" i="25"/>
  <c r="I66" i="25" s="1"/>
  <c r="C36" i="25" s="1"/>
  <c r="L36" i="25" s="1"/>
  <c r="N36" i="25" s="1"/>
  <c r="B20" i="25"/>
  <c r="B35" i="25" s="1"/>
  <c r="B52" i="25" s="1"/>
  <c r="F72" i="25"/>
  <c r="F71" i="20"/>
  <c r="F88" i="20"/>
  <c r="O19" i="16"/>
  <c r="O36" i="16" s="1"/>
  <c r="G52" i="8"/>
  <c r="G69" i="8" s="1"/>
  <c r="G89" i="8" s="1"/>
  <c r="A48" i="22" l="1"/>
  <c r="F46" i="22"/>
  <c r="E46" i="22"/>
  <c r="B62" i="8"/>
  <c r="B79" i="8" s="1"/>
  <c r="B99" i="8" s="1"/>
  <c r="D52" i="8"/>
  <c r="D69" i="8" s="1"/>
  <c r="D89" i="8" s="1"/>
  <c r="O24" i="19"/>
  <c r="R12" i="2"/>
  <c r="R45" i="2"/>
  <c r="C52" i="25"/>
  <c r="I63" i="8"/>
  <c r="M24" i="26" s="1"/>
  <c r="N60" i="8"/>
  <c r="I97" i="8"/>
  <c r="L82" i="19"/>
  <c r="L179" i="19" s="1"/>
  <c r="L180" i="19" s="1"/>
  <c r="R180" i="19" s="1"/>
  <c r="N79" i="2"/>
  <c r="O79" i="2"/>
  <c r="G79" i="2"/>
  <c r="H449" i="26"/>
  <c r="M72" i="26" s="1"/>
  <c r="M169" i="26" s="1"/>
  <c r="J79" i="2"/>
  <c r="D12" i="5"/>
  <c r="E17" i="4"/>
  <c r="C18" i="4"/>
  <c r="B18" i="4"/>
  <c r="D17" i="4"/>
  <c r="A38" i="5"/>
  <c r="D28" i="4"/>
  <c r="D30" i="4" s="1"/>
  <c r="L169" i="19"/>
  <c r="D37" i="7"/>
  <c r="D57" i="7" s="1"/>
  <c r="C37" i="7"/>
  <c r="C57" i="7" s="1"/>
  <c r="F37" i="7"/>
  <c r="F57" i="7" s="1"/>
  <c r="G37" i="7"/>
  <c r="G57" i="7" s="1"/>
  <c r="E37" i="7"/>
  <c r="E57" i="7" s="1"/>
  <c r="L37" i="7"/>
  <c r="L57" i="7" s="1"/>
  <c r="G506" i="19"/>
  <c r="M203" i="19"/>
  <c r="R203" i="19" s="1"/>
  <c r="R51" i="19"/>
  <c r="O217" i="19"/>
  <c r="P217" i="19"/>
  <c r="I504" i="19"/>
  <c r="H654" i="19"/>
  <c r="C662" i="19" s="1"/>
  <c r="M95" i="19"/>
  <c r="R95" i="19" s="1"/>
  <c r="R105" i="19"/>
  <c r="L136" i="19"/>
  <c r="L158" i="19"/>
  <c r="H364" i="19"/>
  <c r="C378" i="19" s="1"/>
  <c r="M50" i="19"/>
  <c r="L202" i="19"/>
  <c r="R202" i="19" s="1"/>
  <c r="R94" i="19"/>
  <c r="H297" i="19"/>
  <c r="C304" i="19" s="1"/>
  <c r="M40" i="19"/>
  <c r="R40" i="19" s="1"/>
  <c r="I437" i="19"/>
  <c r="L191" i="19"/>
  <c r="R191" i="19" s="1"/>
  <c r="I289" i="19"/>
  <c r="G295" i="19" s="1"/>
  <c r="G297" i="19" s="1"/>
  <c r="M39" i="19"/>
  <c r="M136" i="19" s="1"/>
  <c r="M137" i="19" s="1"/>
  <c r="R137" i="19" s="1"/>
  <c r="I356" i="19"/>
  <c r="G362" i="19" s="1"/>
  <c r="L49" i="19"/>
  <c r="L146" i="19" s="1"/>
  <c r="L147" i="19" s="1"/>
  <c r="H511" i="19"/>
  <c r="H505" i="19"/>
  <c r="M72" i="19" s="1"/>
  <c r="M169" i="19" s="1"/>
  <c r="G438" i="19"/>
  <c r="K81" i="19"/>
  <c r="K178" i="19" s="1"/>
  <c r="K179" i="19" s="1"/>
  <c r="G56" i="20"/>
  <c r="G57" i="20" s="1"/>
  <c r="I639" i="19"/>
  <c r="G645" i="19" s="1"/>
  <c r="G647" i="19" s="1"/>
  <c r="B80" i="22"/>
  <c r="B95" i="22" s="1"/>
  <c r="B113" i="22" s="1"/>
  <c r="L180" i="26"/>
  <c r="R180" i="26" s="1"/>
  <c r="B56" i="8"/>
  <c r="B73" i="8" s="1"/>
  <c r="B93" i="8" s="1"/>
  <c r="B90" i="8"/>
  <c r="G44" i="26"/>
  <c r="G141" i="26" s="1"/>
  <c r="I355" i="19"/>
  <c r="I282" i="19"/>
  <c r="G288" i="19" s="1"/>
  <c r="I288" i="19" s="1"/>
  <c r="B184" i="5"/>
  <c r="T1" i="5"/>
  <c r="E72" i="5" s="1"/>
  <c r="E73" i="5"/>
  <c r="H101" i="22"/>
  <c r="G101" i="22"/>
  <c r="I102" i="22"/>
  <c r="I103" i="22" s="1"/>
  <c r="H102" i="22"/>
  <c r="H31" i="30"/>
  <c r="J31" i="30" s="1"/>
  <c r="B21" i="25"/>
  <c r="B36" i="25" s="1"/>
  <c r="B53" i="25" s="1"/>
  <c r="E18" i="25"/>
  <c r="E33" i="25" s="1"/>
  <c r="E50" i="25" s="1"/>
  <c r="D18" i="25"/>
  <c r="D33" i="25" s="1"/>
  <c r="D50" i="25" s="1"/>
  <c r="L52" i="25"/>
  <c r="N34" i="25"/>
  <c r="G7" i="25"/>
  <c r="H7" i="25" s="1"/>
  <c r="F18" i="25"/>
  <c r="F33" i="25" s="1"/>
  <c r="F50" i="25" s="1"/>
  <c r="M13" i="29"/>
  <c r="B171" i="29"/>
  <c r="B135" i="29"/>
  <c r="B90" i="29"/>
  <c r="B63" i="29"/>
  <c r="B45" i="29"/>
  <c r="B144" i="29"/>
  <c r="B36" i="29"/>
  <c r="B126" i="29"/>
  <c r="B102" i="29"/>
  <c r="B54" i="29"/>
  <c r="B72" i="29"/>
  <c r="B162" i="29"/>
  <c r="B117" i="29"/>
  <c r="B81" i="29"/>
  <c r="B153" i="29"/>
  <c r="B182" i="29"/>
  <c r="N95" i="22"/>
  <c r="G48" i="22"/>
  <c r="N15" i="29"/>
  <c r="M15" i="29"/>
  <c r="L15" i="29"/>
  <c r="D46" i="22"/>
  <c r="G49" i="22"/>
  <c r="E79" i="22"/>
  <c r="E94" i="22" s="1"/>
  <c r="E112" i="22" s="1"/>
  <c r="C53" i="22"/>
  <c r="Q19" i="16"/>
  <c r="Q36" i="16" s="1"/>
  <c r="O32" i="15"/>
  <c r="E227" i="5"/>
  <c r="E226" i="5" s="1"/>
  <c r="I46" i="7"/>
  <c r="H46" i="7"/>
  <c r="J47" i="7"/>
  <c r="I47" i="7"/>
  <c r="I665" i="26"/>
  <c r="G671" i="26" s="1"/>
  <c r="I671" i="26" s="1"/>
  <c r="I673" i="26" s="1"/>
  <c r="I583" i="26"/>
  <c r="G589" i="26" s="1"/>
  <c r="G591" i="26" s="1"/>
  <c r="H404" i="26"/>
  <c r="I404" i="26" s="1"/>
  <c r="I721" i="19"/>
  <c r="G727" i="19" s="1"/>
  <c r="G729" i="19" s="1"/>
  <c r="I646" i="19"/>
  <c r="G652" i="19" s="1"/>
  <c r="G654" i="19" s="1"/>
  <c r="K59" i="19"/>
  <c r="K156" i="19" s="1"/>
  <c r="K157" i="19" s="1"/>
  <c r="K48" i="19"/>
  <c r="K145" i="19" s="1"/>
  <c r="K146" i="19" s="1"/>
  <c r="I714" i="19"/>
  <c r="G720" i="19" s="1"/>
  <c r="G722" i="19" s="1"/>
  <c r="I363" i="19"/>
  <c r="G369" i="19" s="1"/>
  <c r="G371" i="19" s="1"/>
  <c r="G222" i="19"/>
  <c r="G33" i="26"/>
  <c r="G130" i="26" s="1"/>
  <c r="H403" i="26"/>
  <c r="H619" i="26"/>
  <c r="I619" i="26" s="1"/>
  <c r="I516" i="26"/>
  <c r="I363" i="26"/>
  <c r="G369" i="26" s="1"/>
  <c r="G371" i="26" s="1"/>
  <c r="I517" i="26"/>
  <c r="G523" i="26" s="1"/>
  <c r="I523" i="26" s="1"/>
  <c r="I441" i="26"/>
  <c r="J79" i="8"/>
  <c r="J99" i="8" s="1"/>
  <c r="H78" i="8"/>
  <c r="I79" i="8"/>
  <c r="I78" i="8"/>
  <c r="I98" i="8" s="1"/>
  <c r="P70" i="8"/>
  <c r="G245" i="26"/>
  <c r="R77" i="26"/>
  <c r="G174" i="26"/>
  <c r="I449" i="26"/>
  <c r="G455" i="26" s="1"/>
  <c r="I658" i="26"/>
  <c r="G664" i="26" s="1"/>
  <c r="G319" i="26"/>
  <c r="H478" i="26"/>
  <c r="I478" i="26" s="1"/>
  <c r="I355" i="26"/>
  <c r="G163" i="26"/>
  <c r="R66" i="26"/>
  <c r="G621" i="26"/>
  <c r="B197" i="26"/>
  <c r="B186" i="26"/>
  <c r="B100" i="26"/>
  <c r="B210" i="26"/>
  <c r="B114" i="26"/>
  <c r="B142" i="26"/>
  <c r="B78" i="26"/>
  <c r="B34" i="26"/>
  <c r="K13" i="26"/>
  <c r="B175" i="26"/>
  <c r="B131" i="26"/>
  <c r="B89" i="26"/>
  <c r="B67" i="26"/>
  <c r="B45" i="26"/>
  <c r="B164" i="26"/>
  <c r="B56" i="26"/>
  <c r="B153" i="26"/>
  <c r="G480" i="26"/>
  <c r="I647" i="26"/>
  <c r="G657" i="26" s="1"/>
  <c r="K539" i="26"/>
  <c r="G88" i="26"/>
  <c r="H479" i="26"/>
  <c r="I479" i="26" s="1"/>
  <c r="I590" i="26"/>
  <c r="G596" i="26" s="1"/>
  <c r="G405" i="26"/>
  <c r="K38" i="26"/>
  <c r="K135" i="26" s="1"/>
  <c r="I572" i="26"/>
  <c r="G582" i="26" s="1"/>
  <c r="I288" i="26"/>
  <c r="G290" i="26"/>
  <c r="I289" i="26"/>
  <c r="G295" i="26" s="1"/>
  <c r="H317" i="26"/>
  <c r="I317" i="26" s="1"/>
  <c r="H243" i="26"/>
  <c r="I243" i="26" s="1"/>
  <c r="G450" i="26"/>
  <c r="I362" i="26"/>
  <c r="G364" i="26"/>
  <c r="H318" i="26"/>
  <c r="I318" i="26" s="1"/>
  <c r="R99" i="26"/>
  <c r="G196" i="26"/>
  <c r="H244" i="26"/>
  <c r="I244" i="26" s="1"/>
  <c r="E52" i="8"/>
  <c r="E69" i="8" s="1"/>
  <c r="E89" i="8" s="1"/>
  <c r="C52" i="8"/>
  <c r="C69" i="8" s="1"/>
  <c r="C89" i="8" s="1"/>
  <c r="C26" i="8"/>
  <c r="C42" i="8" s="1"/>
  <c r="H65" i="20"/>
  <c r="I65" i="20" s="1"/>
  <c r="C52" i="20"/>
  <c r="K52" i="20" s="1"/>
  <c r="I572" i="19"/>
  <c r="C59" i="7"/>
  <c r="N59" i="7" s="1"/>
  <c r="G24" i="19"/>
  <c r="R128" i="19"/>
  <c r="I131" i="19"/>
  <c r="G326" i="19"/>
  <c r="G410" i="19"/>
  <c r="G535" i="19"/>
  <c r="G312" i="19"/>
  <c r="I312" i="19" s="1"/>
  <c r="J312" i="19" s="1"/>
  <c r="K312" i="19" s="1"/>
  <c r="R140" i="19"/>
  <c r="J132" i="19"/>
  <c r="G335" i="19"/>
  <c r="G543" i="19"/>
  <c r="H722" i="19"/>
  <c r="C736" i="19" s="1"/>
  <c r="G460" i="19"/>
  <c r="G454" i="19"/>
  <c r="I454" i="19" s="1"/>
  <c r="J454" i="19" s="1"/>
  <c r="G66" i="19" s="1"/>
  <c r="R66" i="19" s="1"/>
  <c r="R162" i="19"/>
  <c r="G618" i="19"/>
  <c r="K133" i="19"/>
  <c r="G393" i="19"/>
  <c r="G468" i="19"/>
  <c r="G552" i="19"/>
  <c r="H130" i="19"/>
  <c r="G318" i="19"/>
  <c r="G401" i="19"/>
  <c r="G477" i="19"/>
  <c r="G601" i="19"/>
  <c r="G676" i="19"/>
  <c r="H729" i="19"/>
  <c r="C737" i="19" s="1"/>
  <c r="I713" i="19"/>
  <c r="I430" i="19"/>
  <c r="L125" i="19"/>
  <c r="M125" i="19" s="1"/>
  <c r="N125" i="19" s="1"/>
  <c r="O125" i="19" s="1"/>
  <c r="G195" i="19"/>
  <c r="B173" i="19"/>
  <c r="B129" i="19"/>
  <c r="B112" i="19"/>
  <c r="B184" i="19"/>
  <c r="B162" i="19"/>
  <c r="B140" i="19"/>
  <c r="B98" i="19"/>
  <c r="B87" i="19"/>
  <c r="B65" i="19"/>
  <c r="B43" i="19"/>
  <c r="B195" i="19"/>
  <c r="B151" i="19"/>
  <c r="B54" i="19"/>
  <c r="B208" i="19"/>
  <c r="B76" i="19"/>
  <c r="B185" i="19"/>
  <c r="B163" i="19"/>
  <c r="B141" i="19"/>
  <c r="B99" i="19"/>
  <c r="B88" i="19"/>
  <c r="B66" i="19"/>
  <c r="B44" i="19"/>
  <c r="B209" i="19"/>
  <c r="B196" i="19"/>
  <c r="B174" i="19"/>
  <c r="B152" i="19"/>
  <c r="B130" i="19"/>
  <c r="B113" i="19"/>
  <c r="B77" i="19"/>
  <c r="B55" i="19"/>
  <c r="G129" i="19"/>
  <c r="B33" i="19"/>
  <c r="G184" i="19"/>
  <c r="G151" i="19"/>
  <c r="G173" i="19"/>
  <c r="G529" i="19" s="1"/>
  <c r="J13" i="19"/>
  <c r="B32" i="19"/>
  <c r="R23" i="19"/>
  <c r="P38" i="7"/>
  <c r="Q79" i="2"/>
  <c r="P79" i="2"/>
  <c r="K79" i="2"/>
  <c r="M79" i="2"/>
  <c r="B49" i="5"/>
  <c r="B183" i="5"/>
  <c r="B50" i="5"/>
  <c r="N31" i="7"/>
  <c r="N17" i="13"/>
  <c r="N47" i="13" s="1"/>
  <c r="M32" i="15"/>
  <c r="H79" i="2"/>
  <c r="L79" i="2"/>
  <c r="J66" i="25"/>
  <c r="P17" i="13"/>
  <c r="P47" i="13" s="1"/>
  <c r="F79" i="20"/>
  <c r="B73" i="5" l="1"/>
  <c r="D33" i="5"/>
  <c r="D180" i="5"/>
  <c r="R169" i="19"/>
  <c r="R78" i="2"/>
  <c r="R74" i="2"/>
  <c r="R35" i="2"/>
  <c r="R77" i="2"/>
  <c r="C69" i="22"/>
  <c r="C81" i="22" s="1"/>
  <c r="C54" i="8"/>
  <c r="I79" i="2"/>
  <c r="G54" i="22"/>
  <c r="K15" i="29" s="1"/>
  <c r="D209" i="5"/>
  <c r="B237" i="5" s="1"/>
  <c r="D36" i="5"/>
  <c r="E36" i="5" s="1"/>
  <c r="B54" i="5"/>
  <c r="B71" i="5"/>
  <c r="B59" i="5"/>
  <c r="B60" i="5"/>
  <c r="E12" i="5"/>
  <c r="E209" i="5" s="1"/>
  <c r="B55" i="5"/>
  <c r="B66" i="5"/>
  <c r="B56" i="5"/>
  <c r="B61" i="5"/>
  <c r="B68" i="5"/>
  <c r="B46" i="5"/>
  <c r="B53" i="5"/>
  <c r="B65" i="5"/>
  <c r="B62" i="5"/>
  <c r="B74" i="5"/>
  <c r="B67" i="5"/>
  <c r="B72" i="5"/>
  <c r="B43" i="5"/>
  <c r="B39" i="5"/>
  <c r="B44" i="5"/>
  <c r="B42" i="5"/>
  <c r="B40" i="5"/>
  <c r="B45" i="5"/>
  <c r="B41" i="5"/>
  <c r="I295" i="19"/>
  <c r="I297" i="19" s="1"/>
  <c r="G57" i="22"/>
  <c r="K18" i="29" s="1"/>
  <c r="K143" i="29" s="1"/>
  <c r="G428" i="29" s="1"/>
  <c r="G55" i="22"/>
  <c r="K16" i="29" s="1"/>
  <c r="K125" i="29" s="1"/>
  <c r="G302" i="29" s="1"/>
  <c r="G365" i="29"/>
  <c r="G60" i="22"/>
  <c r="K21" i="29" s="1"/>
  <c r="K170" i="29" s="1"/>
  <c r="G602" i="29" s="1"/>
  <c r="G59" i="22"/>
  <c r="K20" i="29" s="1"/>
  <c r="K161" i="29" s="1"/>
  <c r="G539" i="29" s="1"/>
  <c r="I7" i="25"/>
  <c r="H18" i="25"/>
  <c r="H33" i="25" s="1"/>
  <c r="H50" i="25" s="1"/>
  <c r="B24" i="25"/>
  <c r="B39" i="25" s="1"/>
  <c r="B56" i="25" s="1"/>
  <c r="B23" i="25"/>
  <c r="B38" i="25" s="1"/>
  <c r="B55" i="25" s="1"/>
  <c r="R158" i="19"/>
  <c r="R61" i="19"/>
  <c r="M192" i="19"/>
  <c r="R192" i="19" s="1"/>
  <c r="H513" i="19"/>
  <c r="C521" i="19" s="1"/>
  <c r="M73" i="19"/>
  <c r="R73" i="19" s="1"/>
  <c r="R136" i="19"/>
  <c r="R39" i="19"/>
  <c r="R72" i="19"/>
  <c r="M147" i="19"/>
  <c r="M148" i="19" s="1"/>
  <c r="R148" i="19" s="1"/>
  <c r="R50" i="19"/>
  <c r="G364" i="19"/>
  <c r="I362" i="19"/>
  <c r="I364" i="19" s="1"/>
  <c r="I505" i="19"/>
  <c r="H506" i="19"/>
  <c r="C520" i="19" s="1"/>
  <c r="H438" i="19"/>
  <c r="C445" i="19" s="1"/>
  <c r="I99" i="8"/>
  <c r="N46" i="7"/>
  <c r="P46" i="7" s="1"/>
  <c r="M118" i="29"/>
  <c r="G253" i="29" s="1"/>
  <c r="N119" i="29"/>
  <c r="D56" i="22"/>
  <c r="H17" i="29" s="1"/>
  <c r="D55" i="22"/>
  <c r="H16" i="29" s="1"/>
  <c r="D59" i="22"/>
  <c r="H20" i="29" s="1"/>
  <c r="D54" i="22"/>
  <c r="H15" i="29" s="1"/>
  <c r="D58" i="22"/>
  <c r="H19" i="29" s="1"/>
  <c r="D57" i="22"/>
  <c r="H18" i="29" s="1"/>
  <c r="D60" i="22"/>
  <c r="H21" i="29" s="1"/>
  <c r="F56" i="22"/>
  <c r="J17" i="29" s="1"/>
  <c r="J133" i="29" s="1"/>
  <c r="G355" i="29" s="1"/>
  <c r="F57" i="22"/>
  <c r="J18" i="29" s="1"/>
  <c r="J142" i="29" s="1"/>
  <c r="G418" i="29" s="1"/>
  <c r="F60" i="22"/>
  <c r="J21" i="29" s="1"/>
  <c r="J169" i="29" s="1"/>
  <c r="G592" i="29" s="1"/>
  <c r="F54" i="22"/>
  <c r="J15" i="29" s="1"/>
  <c r="F58" i="22"/>
  <c r="J19" i="29" s="1"/>
  <c r="J151" i="29" s="1"/>
  <c r="G481" i="29" s="1"/>
  <c r="F55" i="22"/>
  <c r="J16" i="29" s="1"/>
  <c r="J124" i="29" s="1"/>
  <c r="G292" i="29" s="1"/>
  <c r="F59" i="22"/>
  <c r="J20" i="29" s="1"/>
  <c r="J160" i="29" s="1"/>
  <c r="G529" i="29" s="1"/>
  <c r="E57" i="22"/>
  <c r="I18" i="29" s="1"/>
  <c r="I141" i="29" s="1"/>
  <c r="G409" i="29" s="1"/>
  <c r="E60" i="22"/>
  <c r="I21" i="29" s="1"/>
  <c r="I168" i="29" s="1"/>
  <c r="G583" i="29" s="1"/>
  <c r="E56" i="22"/>
  <c r="I17" i="29" s="1"/>
  <c r="I132" i="29" s="1"/>
  <c r="G346" i="29" s="1"/>
  <c r="E55" i="22"/>
  <c r="I16" i="29" s="1"/>
  <c r="I123" i="29" s="1"/>
  <c r="G283" i="29" s="1"/>
  <c r="E59" i="22"/>
  <c r="I20" i="29" s="1"/>
  <c r="I159" i="29" s="1"/>
  <c r="G520" i="29" s="1"/>
  <c r="E54" i="22"/>
  <c r="I15" i="29" s="1"/>
  <c r="E58" i="22"/>
  <c r="I19" i="29" s="1"/>
  <c r="I150" i="29" s="1"/>
  <c r="G472" i="29" s="1"/>
  <c r="L117" i="29"/>
  <c r="I589" i="26"/>
  <c r="I591" i="26" s="1"/>
  <c r="R44" i="26"/>
  <c r="G673" i="26"/>
  <c r="P217" i="26"/>
  <c r="L101" i="22"/>
  <c r="O217" i="26"/>
  <c r="N47" i="7"/>
  <c r="P47" i="7" s="1"/>
  <c r="I727" i="19"/>
  <c r="I729" i="19" s="1"/>
  <c r="H103" i="22"/>
  <c r="L102" i="22"/>
  <c r="H30" i="30"/>
  <c r="G18" i="25"/>
  <c r="G33" i="25" s="1"/>
  <c r="G50" i="25" s="1"/>
  <c r="N13" i="29"/>
  <c r="B163" i="29"/>
  <c r="B154" i="29"/>
  <c r="B91" i="29"/>
  <c r="B183" i="29"/>
  <c r="B145" i="29"/>
  <c r="B37" i="29"/>
  <c r="B73" i="29"/>
  <c r="B64" i="29"/>
  <c r="B172" i="29"/>
  <c r="B127" i="29"/>
  <c r="B103" i="29"/>
  <c r="B136" i="29"/>
  <c r="B82" i="29"/>
  <c r="B118" i="29"/>
  <c r="B55" i="29"/>
  <c r="B46" i="29"/>
  <c r="L20" i="29"/>
  <c r="L162" i="29" s="1"/>
  <c r="G546" i="29" s="1"/>
  <c r="L16" i="29"/>
  <c r="L126" i="29" s="1"/>
  <c r="G309" i="29" s="1"/>
  <c r="L21" i="29"/>
  <c r="L171" i="29" s="1"/>
  <c r="G609" i="29" s="1"/>
  <c r="L18" i="29"/>
  <c r="L144" i="29" s="1"/>
  <c r="N21" i="29"/>
  <c r="N173" i="29" s="1"/>
  <c r="N20" i="29"/>
  <c r="N164" i="29" s="1"/>
  <c r="N18" i="29"/>
  <c r="N146" i="29" s="1"/>
  <c r="N16" i="29"/>
  <c r="N128" i="29" s="1"/>
  <c r="M21" i="29"/>
  <c r="M172" i="29" s="1"/>
  <c r="G616" i="29" s="1"/>
  <c r="M20" i="29"/>
  <c r="M163" i="29" s="1"/>
  <c r="G553" i="29" s="1"/>
  <c r="M18" i="29"/>
  <c r="M145" i="29" s="1"/>
  <c r="G442" i="29" s="1"/>
  <c r="M16" i="29"/>
  <c r="M127" i="29" s="1"/>
  <c r="G316" i="29" s="1"/>
  <c r="G379" i="29"/>
  <c r="J48" i="7"/>
  <c r="J32" i="7" s="1"/>
  <c r="N217" i="19" s="1"/>
  <c r="J67" i="7"/>
  <c r="I48" i="7"/>
  <c r="I32" i="7" s="1"/>
  <c r="I66" i="7"/>
  <c r="I67" i="7" s="1"/>
  <c r="H620" i="26"/>
  <c r="I620" i="26" s="1"/>
  <c r="I621" i="26" s="1"/>
  <c r="J621" i="26" s="1"/>
  <c r="K619" i="26" s="1"/>
  <c r="I364" i="26"/>
  <c r="R33" i="26"/>
  <c r="H405" i="26"/>
  <c r="I403" i="26"/>
  <c r="I405" i="26" s="1"/>
  <c r="J405" i="26" s="1"/>
  <c r="K403" i="26" s="1"/>
  <c r="I652" i="19"/>
  <c r="I654" i="19" s="1"/>
  <c r="I290" i="26"/>
  <c r="I281" i="26"/>
  <c r="L94" i="26"/>
  <c r="L191" i="26" s="1"/>
  <c r="R191" i="26" s="1"/>
  <c r="H591" i="26"/>
  <c r="C605" i="26" s="1"/>
  <c r="I80" i="8"/>
  <c r="I64" i="8" s="1"/>
  <c r="N79" i="8"/>
  <c r="P79" i="8" s="1"/>
  <c r="J80" i="8"/>
  <c r="J64" i="8" s="1"/>
  <c r="N217" i="26" s="1"/>
  <c r="N78" i="8"/>
  <c r="P78" i="8" s="1"/>
  <c r="I319" i="26"/>
  <c r="J319" i="26" s="1"/>
  <c r="K317" i="26" s="1"/>
  <c r="K318" i="26" s="1"/>
  <c r="I245" i="26"/>
  <c r="J245" i="26" s="1"/>
  <c r="K243" i="26" s="1"/>
  <c r="G297" i="26"/>
  <c r="B198" i="26"/>
  <c r="B101" i="26"/>
  <c r="B176" i="26"/>
  <c r="B165" i="26"/>
  <c r="B154" i="26"/>
  <c r="B143" i="26"/>
  <c r="B132" i="26"/>
  <c r="B211" i="26"/>
  <c r="B187" i="26"/>
  <c r="B115" i="26"/>
  <c r="B79" i="26"/>
  <c r="B35" i="26"/>
  <c r="B90" i="26"/>
  <c r="B68" i="26"/>
  <c r="L13" i="26"/>
  <c r="B57" i="26"/>
  <c r="B46" i="26"/>
  <c r="R130" i="26"/>
  <c r="H371" i="26"/>
  <c r="C379" i="26" s="1"/>
  <c r="M51" i="26"/>
  <c r="G457" i="26"/>
  <c r="R141" i="26"/>
  <c r="H364" i="26"/>
  <c r="C378" i="26" s="1"/>
  <c r="L50" i="26"/>
  <c r="H450" i="26"/>
  <c r="C464" i="26" s="1"/>
  <c r="L72" i="26"/>
  <c r="H245" i="26"/>
  <c r="I582" i="26"/>
  <c r="K93" i="26"/>
  <c r="K190" i="26" s="1"/>
  <c r="R88" i="26"/>
  <c r="G185" i="26"/>
  <c r="H480" i="26"/>
  <c r="R174" i="26"/>
  <c r="I657" i="26"/>
  <c r="K104" i="26"/>
  <c r="K201" i="26" s="1"/>
  <c r="G666" i="26"/>
  <c r="R196" i="26"/>
  <c r="H673" i="26"/>
  <c r="C681" i="26" s="1"/>
  <c r="M106" i="26"/>
  <c r="I448" i="26"/>
  <c r="I450" i="26" s="1"/>
  <c r="I369" i="26"/>
  <c r="I371" i="26" s="1"/>
  <c r="H319" i="26"/>
  <c r="H290" i="26"/>
  <c r="C303" i="26" s="1"/>
  <c r="L39" i="26"/>
  <c r="G598" i="26"/>
  <c r="I596" i="26"/>
  <c r="I598" i="26" s="1"/>
  <c r="G544" i="26"/>
  <c r="H545" i="26"/>
  <c r="I545" i="26" s="1"/>
  <c r="H544" i="26"/>
  <c r="I480" i="26"/>
  <c r="J480" i="26" s="1"/>
  <c r="K478" i="26" s="1"/>
  <c r="R163" i="26"/>
  <c r="R61" i="26"/>
  <c r="R158" i="26"/>
  <c r="C37" i="20"/>
  <c r="K37" i="20" s="1"/>
  <c r="M37" i="20" s="1"/>
  <c r="J65" i="20"/>
  <c r="H371" i="19"/>
  <c r="C379" i="19" s="1"/>
  <c r="I369" i="19"/>
  <c r="I371" i="19" s="1"/>
  <c r="K454" i="19"/>
  <c r="H460" i="19" s="1"/>
  <c r="I460" i="19" s="1"/>
  <c r="G44" i="19"/>
  <c r="R44" i="19" s="1"/>
  <c r="I720" i="19"/>
  <c r="I722" i="19" s="1"/>
  <c r="R184" i="19"/>
  <c r="R195" i="19"/>
  <c r="G252" i="19"/>
  <c r="G244" i="19"/>
  <c r="G271" i="19"/>
  <c r="G261" i="19"/>
  <c r="G387" i="19"/>
  <c r="I387" i="19" s="1"/>
  <c r="J387" i="19" s="1"/>
  <c r="G55" i="19" s="1"/>
  <c r="R55" i="19" s="1"/>
  <c r="R151" i="19"/>
  <c r="R173" i="19"/>
  <c r="G238" i="19"/>
  <c r="I238" i="19" s="1"/>
  <c r="J238" i="19" s="1"/>
  <c r="G33" i="19" s="1"/>
  <c r="R33" i="19" s="1"/>
  <c r="R129" i="19"/>
  <c r="G163" i="19"/>
  <c r="H647" i="19"/>
  <c r="C661" i="19" s="1"/>
  <c r="I645" i="19"/>
  <c r="I647" i="19" s="1"/>
  <c r="G670" i="19"/>
  <c r="I670" i="19" s="1"/>
  <c r="J670" i="19" s="1"/>
  <c r="G99" i="19" s="1"/>
  <c r="R99" i="19" s="1"/>
  <c r="G595" i="19"/>
  <c r="I595" i="19" s="1"/>
  <c r="J595" i="19" s="1"/>
  <c r="G88" i="19" s="1"/>
  <c r="R88" i="19" s="1"/>
  <c r="I529" i="19"/>
  <c r="J529" i="19" s="1"/>
  <c r="G77" i="19" s="1"/>
  <c r="R77" i="19" s="1"/>
  <c r="B210" i="19"/>
  <c r="B186" i="19"/>
  <c r="B197" i="19"/>
  <c r="B175" i="19"/>
  <c r="B153" i="19"/>
  <c r="B131" i="19"/>
  <c r="B114" i="19"/>
  <c r="B78" i="19"/>
  <c r="B56" i="19"/>
  <c r="B89" i="19"/>
  <c r="B67" i="19"/>
  <c r="B45" i="19"/>
  <c r="B164" i="19"/>
  <c r="B142" i="19"/>
  <c r="B100" i="19"/>
  <c r="B34" i="19"/>
  <c r="K13" i="19"/>
  <c r="A48" i="5"/>
  <c r="A52" i="5" s="1"/>
  <c r="A58" i="5" s="1"/>
  <c r="A64" i="5" s="1"/>
  <c r="A70" i="5" s="1"/>
  <c r="E71" i="5"/>
  <c r="R24" i="19"/>
  <c r="G71" i="25"/>
  <c r="F71" i="25"/>
  <c r="G72" i="25"/>
  <c r="H72" i="25" s="1"/>
  <c r="K24" i="19"/>
  <c r="C53" i="25"/>
  <c r="G317" i="19"/>
  <c r="H317" i="19" s="1"/>
  <c r="H318" i="19" s="1"/>
  <c r="I318" i="19" s="1"/>
  <c r="R79" i="2" l="1"/>
  <c r="L81" i="22"/>
  <c r="C88" i="22"/>
  <c r="G24" i="29" s="1"/>
  <c r="C63" i="8"/>
  <c r="G24" i="26" s="1"/>
  <c r="N54" i="8"/>
  <c r="C91" i="8"/>
  <c r="N91" i="8" s="1"/>
  <c r="K23" i="29"/>
  <c r="P17" i="29"/>
  <c r="A79" i="5"/>
  <c r="A82" i="5" s="1"/>
  <c r="A85" i="5" s="1"/>
  <c r="B25" i="25"/>
  <c r="B40" i="25" s="1"/>
  <c r="B57" i="25" s="1"/>
  <c r="J7" i="25"/>
  <c r="I18" i="25"/>
  <c r="I33" i="25" s="1"/>
  <c r="I50" i="25" s="1"/>
  <c r="M170" i="19"/>
  <c r="R170" i="19" s="1"/>
  <c r="R147" i="19"/>
  <c r="G511" i="19"/>
  <c r="I506" i="19"/>
  <c r="I438" i="19"/>
  <c r="H459" i="19"/>
  <c r="H461" i="19" s="1"/>
  <c r="H434" i="29"/>
  <c r="H428" i="29"/>
  <c r="K63" i="29" s="1"/>
  <c r="K144" i="29" s="1"/>
  <c r="I114" i="29"/>
  <c r="G220" i="29" s="1"/>
  <c r="I23" i="29"/>
  <c r="H538" i="29"/>
  <c r="J81" i="29" s="1"/>
  <c r="H529" i="29"/>
  <c r="J80" i="29" s="1"/>
  <c r="J161" i="29" s="1"/>
  <c r="H601" i="29"/>
  <c r="J90" i="29" s="1"/>
  <c r="H592" i="29"/>
  <c r="J89" i="29" s="1"/>
  <c r="J170" i="29" s="1"/>
  <c r="H158" i="29"/>
  <c r="P20" i="29"/>
  <c r="N23" i="29"/>
  <c r="N24" i="29" s="1"/>
  <c r="H316" i="29"/>
  <c r="M47" i="29" s="1"/>
  <c r="M128" i="29" s="1"/>
  <c r="H302" i="29"/>
  <c r="K45" i="29" s="1"/>
  <c r="K126" i="29" s="1"/>
  <c r="H308" i="29"/>
  <c r="G372" i="29"/>
  <c r="H315" i="29"/>
  <c r="H309" i="29"/>
  <c r="L46" i="29" s="1"/>
  <c r="L127" i="29" s="1"/>
  <c r="L23" i="29"/>
  <c r="H301" i="29"/>
  <c r="J45" i="29" s="1"/>
  <c r="H292" i="29"/>
  <c r="J44" i="29" s="1"/>
  <c r="J125" i="29" s="1"/>
  <c r="H427" i="29"/>
  <c r="J63" i="29" s="1"/>
  <c r="H418" i="29"/>
  <c r="J62" i="29" s="1"/>
  <c r="J143" i="29" s="1"/>
  <c r="H140" i="29"/>
  <c r="P18" i="29"/>
  <c r="H122" i="29"/>
  <c r="P16" i="29"/>
  <c r="H442" i="29"/>
  <c r="M65" i="29" s="1"/>
  <c r="M146" i="29" s="1"/>
  <c r="H371" i="29"/>
  <c r="H365" i="29"/>
  <c r="H539" i="29"/>
  <c r="K81" i="29" s="1"/>
  <c r="K162" i="29" s="1"/>
  <c r="H545" i="29"/>
  <c r="G435" i="29"/>
  <c r="H546" i="29"/>
  <c r="L82" i="29" s="1"/>
  <c r="L163" i="29" s="1"/>
  <c r="H552" i="29"/>
  <c r="G246" i="29"/>
  <c r="H490" i="29"/>
  <c r="J72" i="29" s="1"/>
  <c r="H481" i="29"/>
  <c r="J71" i="29" s="1"/>
  <c r="J152" i="29" s="1"/>
  <c r="H149" i="29"/>
  <c r="G464" i="29" s="1"/>
  <c r="P19" i="29"/>
  <c r="M23" i="29"/>
  <c r="H616" i="29"/>
  <c r="M92" i="29" s="1"/>
  <c r="M173" i="29" s="1"/>
  <c r="H167" i="29"/>
  <c r="P21" i="29"/>
  <c r="H379" i="29"/>
  <c r="H553" i="29"/>
  <c r="M83" i="29" s="1"/>
  <c r="M164" i="29" s="1"/>
  <c r="H615" i="29"/>
  <c r="H609" i="29"/>
  <c r="L91" i="29" s="1"/>
  <c r="L172" i="29" s="1"/>
  <c r="K116" i="29"/>
  <c r="J115" i="29"/>
  <c r="J23" i="29"/>
  <c r="H364" i="29"/>
  <c r="J54" i="29" s="1"/>
  <c r="H355" i="29"/>
  <c r="J53" i="29" s="1"/>
  <c r="J134" i="29" s="1"/>
  <c r="H113" i="29"/>
  <c r="P15" i="29"/>
  <c r="H23" i="29"/>
  <c r="H131" i="29"/>
  <c r="H253" i="29"/>
  <c r="M38" i="29" s="1"/>
  <c r="M119" i="29" s="1"/>
  <c r="G459" i="19"/>
  <c r="G461" i="19" s="1"/>
  <c r="J30" i="30"/>
  <c r="J34" i="30" s="1"/>
  <c r="H34" i="30"/>
  <c r="H24" i="30" s="1"/>
  <c r="H44" i="30"/>
  <c r="L53" i="25"/>
  <c r="B164" i="29"/>
  <c r="B47" i="29"/>
  <c r="B119" i="29"/>
  <c r="B128" i="29"/>
  <c r="B83" i="29"/>
  <c r="B137" i="29"/>
  <c r="B74" i="29"/>
  <c r="B104" i="29"/>
  <c r="B173" i="29"/>
  <c r="B92" i="29"/>
  <c r="B184" i="29"/>
  <c r="B38" i="29"/>
  <c r="B56" i="29"/>
  <c r="B65" i="29"/>
  <c r="B155" i="29"/>
  <c r="B146" i="29"/>
  <c r="G53" i="22"/>
  <c r="G69" i="22" s="1"/>
  <c r="I87" i="22"/>
  <c r="I120" i="22" s="1"/>
  <c r="H86" i="22"/>
  <c r="E53" i="22"/>
  <c r="D53" i="22"/>
  <c r="F53" i="22"/>
  <c r="F69" i="22" s="1"/>
  <c r="H621" i="26"/>
  <c r="R94" i="26"/>
  <c r="H546" i="26"/>
  <c r="H271" i="19"/>
  <c r="K37" i="19" s="1"/>
  <c r="K134" i="19" s="1"/>
  <c r="H281" i="19"/>
  <c r="K38" i="19" s="1"/>
  <c r="G141" i="19"/>
  <c r="R141" i="19" s="1"/>
  <c r="K479" i="26"/>
  <c r="K480" i="26" s="1"/>
  <c r="K404" i="26"/>
  <c r="K405" i="26" s="1"/>
  <c r="K620" i="26"/>
  <c r="K621" i="26" s="1"/>
  <c r="K319" i="26"/>
  <c r="L318" i="26"/>
  <c r="K244" i="26"/>
  <c r="K245" i="26" s="1"/>
  <c r="N99" i="8"/>
  <c r="L478" i="26"/>
  <c r="G78" i="26" s="1"/>
  <c r="M478" i="26"/>
  <c r="L243" i="26"/>
  <c r="G34" i="26" s="1"/>
  <c r="M243" i="26"/>
  <c r="L317" i="26"/>
  <c r="G45" i="26" s="1"/>
  <c r="M317" i="26"/>
  <c r="R106" i="26"/>
  <c r="M203" i="26"/>
  <c r="R203" i="26" s="1"/>
  <c r="H666" i="26"/>
  <c r="C680" i="26" s="1"/>
  <c r="L105" i="26"/>
  <c r="R50" i="26"/>
  <c r="L147" i="26"/>
  <c r="R147" i="26" s="1"/>
  <c r="H457" i="26"/>
  <c r="C465" i="26" s="1"/>
  <c r="M73" i="26"/>
  <c r="L619" i="26"/>
  <c r="G100" i="26" s="1"/>
  <c r="H297" i="26"/>
  <c r="C304" i="26" s="1"/>
  <c r="M40" i="26"/>
  <c r="I544" i="26"/>
  <c r="G546" i="26"/>
  <c r="I664" i="26"/>
  <c r="I666" i="26" s="1"/>
  <c r="R185" i="26"/>
  <c r="I455" i="26"/>
  <c r="I457" i="26" s="1"/>
  <c r="B212" i="26"/>
  <c r="B116" i="26"/>
  <c r="B199" i="26"/>
  <c r="B177" i="26"/>
  <c r="B166" i="26"/>
  <c r="B155" i="26"/>
  <c r="B144" i="26"/>
  <c r="B133" i="26"/>
  <c r="B188" i="26"/>
  <c r="B91" i="26"/>
  <c r="B69" i="26"/>
  <c r="B58" i="26"/>
  <c r="B102" i="26"/>
  <c r="B80" i="26"/>
  <c r="B36" i="26"/>
  <c r="B47" i="26"/>
  <c r="M13" i="26"/>
  <c r="R72" i="26"/>
  <c r="L169" i="26"/>
  <c r="R169" i="26" s="1"/>
  <c r="R51" i="26"/>
  <c r="M148" i="26"/>
  <c r="R148" i="26" s="1"/>
  <c r="M619" i="26"/>
  <c r="I295" i="26"/>
  <c r="I297" i="26" s="1"/>
  <c r="H598" i="26"/>
  <c r="C606" i="26" s="1"/>
  <c r="M95" i="26"/>
  <c r="R39" i="26"/>
  <c r="L136" i="26"/>
  <c r="R136" i="26" s="1"/>
  <c r="C53" i="20"/>
  <c r="K53" i="20" s="1"/>
  <c r="F70" i="20"/>
  <c r="G70" i="20"/>
  <c r="G71" i="20"/>
  <c r="H71" i="20" s="1"/>
  <c r="K387" i="19"/>
  <c r="H392" i="19" s="1"/>
  <c r="G152" i="19"/>
  <c r="R152" i="19" s="1"/>
  <c r="K238" i="19"/>
  <c r="H244" i="19" s="1"/>
  <c r="I244" i="19" s="1"/>
  <c r="G196" i="19"/>
  <c r="G174" i="19"/>
  <c r="G185" i="19"/>
  <c r="R163" i="19"/>
  <c r="K595" i="19"/>
  <c r="H600" i="19" s="1"/>
  <c r="K670" i="19"/>
  <c r="H676" i="19" s="1"/>
  <c r="I676" i="19" s="1"/>
  <c r="K529" i="19"/>
  <c r="H535" i="19" s="1"/>
  <c r="I535" i="19" s="1"/>
  <c r="B198" i="19"/>
  <c r="B176" i="19"/>
  <c r="B154" i="19"/>
  <c r="B132" i="19"/>
  <c r="B115" i="19"/>
  <c r="B79" i="19"/>
  <c r="B57" i="19"/>
  <c r="B211" i="19"/>
  <c r="B187" i="19"/>
  <c r="B165" i="19"/>
  <c r="B143" i="19"/>
  <c r="B101" i="19"/>
  <c r="B90" i="19"/>
  <c r="B68" i="19"/>
  <c r="B46" i="19"/>
  <c r="G130" i="19"/>
  <c r="L13" i="19"/>
  <c r="B35" i="19"/>
  <c r="G73" i="25"/>
  <c r="I317" i="19"/>
  <c r="G319" i="19"/>
  <c r="H71" i="25"/>
  <c r="F73" i="25"/>
  <c r="H319" i="19"/>
  <c r="A94" i="5" l="1"/>
  <c r="A97" i="5" s="1"/>
  <c r="A100" i="5" s="1"/>
  <c r="A103" i="5" s="1"/>
  <c r="A112" i="5" s="1"/>
  <c r="A116" i="5" s="1"/>
  <c r="A123" i="5" s="1"/>
  <c r="A125" i="5" s="1"/>
  <c r="A127" i="5" s="1"/>
  <c r="A131" i="5" s="1"/>
  <c r="A135" i="5" s="1"/>
  <c r="A139" i="5" s="1"/>
  <c r="A151" i="5" s="1"/>
  <c r="E69" i="22"/>
  <c r="E83" i="22" s="1"/>
  <c r="D69" i="22"/>
  <c r="D82" i="22" s="1"/>
  <c r="P71" i="8"/>
  <c r="N63" i="8"/>
  <c r="R24" i="26" s="1"/>
  <c r="I271" i="19"/>
  <c r="G281" i="19" s="1"/>
  <c r="G85" i="22"/>
  <c r="J18" i="25"/>
  <c r="J33" i="25" s="1"/>
  <c r="J50" i="25" s="1"/>
  <c r="B26" i="25"/>
  <c r="B41" i="25" s="1"/>
  <c r="B58" i="25" s="1"/>
  <c r="K135" i="19"/>
  <c r="I511" i="19"/>
  <c r="I513" i="19" s="1"/>
  <c r="G513" i="19"/>
  <c r="I459" i="19"/>
  <c r="I461" i="19" s="1"/>
  <c r="J461" i="19" s="1"/>
  <c r="K459" i="19" s="1"/>
  <c r="H393" i="19"/>
  <c r="I393" i="19" s="1"/>
  <c r="G392" i="19"/>
  <c r="G394" i="19" s="1"/>
  <c r="H119" i="22"/>
  <c r="H120" i="22" s="1"/>
  <c r="L120" i="22" s="1"/>
  <c r="I553" i="29"/>
  <c r="I355" i="29"/>
  <c r="G364" i="29" s="1"/>
  <c r="I364" i="29" s="1"/>
  <c r="I616" i="29"/>
  <c r="J126" i="29"/>
  <c r="I302" i="29"/>
  <c r="G308" i="29" s="1"/>
  <c r="I308" i="29" s="1"/>
  <c r="I379" i="29"/>
  <c r="J162" i="29"/>
  <c r="I481" i="29"/>
  <c r="G490" i="29" s="1"/>
  <c r="I490" i="29" s="1"/>
  <c r="I546" i="29"/>
  <c r="G552" i="29" s="1"/>
  <c r="G554" i="29" s="1"/>
  <c r="I442" i="29"/>
  <c r="I418" i="29"/>
  <c r="G427" i="29" s="1"/>
  <c r="I427" i="29" s="1"/>
  <c r="I592" i="29"/>
  <c r="G601" i="29" s="1"/>
  <c r="I601" i="29" s="1"/>
  <c r="I529" i="29"/>
  <c r="G538" i="29" s="1"/>
  <c r="I538" i="29" s="1"/>
  <c r="H246" i="29"/>
  <c r="L37" i="29" s="1"/>
  <c r="L118" i="29" s="1"/>
  <c r="H252" i="29"/>
  <c r="I253" i="29"/>
  <c r="P23" i="29"/>
  <c r="J135" i="29"/>
  <c r="L92" i="29"/>
  <c r="P92" i="29" s="1"/>
  <c r="H617" i="29"/>
  <c r="C624" i="29" s="1"/>
  <c r="G575" i="29"/>
  <c r="G576" i="29" s="1"/>
  <c r="P167" i="29"/>
  <c r="J153" i="29"/>
  <c r="H441" i="29"/>
  <c r="H435" i="29"/>
  <c r="L64" i="29" s="1"/>
  <c r="L145" i="29" s="1"/>
  <c r="I365" i="29"/>
  <c r="G371" i="29" s="1"/>
  <c r="G275" i="29"/>
  <c r="P122" i="29"/>
  <c r="J144" i="29"/>
  <c r="L47" i="29"/>
  <c r="P47" i="29" s="1"/>
  <c r="H317" i="29"/>
  <c r="C324" i="29" s="1"/>
  <c r="K46" i="29"/>
  <c r="P46" i="29" s="1"/>
  <c r="H310" i="29"/>
  <c r="C323" i="29" s="1"/>
  <c r="J171" i="29"/>
  <c r="K64" i="29"/>
  <c r="G239" i="29"/>
  <c r="H554" i="29"/>
  <c r="C561" i="29" s="1"/>
  <c r="L83" i="29"/>
  <c r="P83" i="29" s="1"/>
  <c r="I539" i="29"/>
  <c r="G545" i="29" s="1"/>
  <c r="G338" i="29"/>
  <c r="P131" i="29"/>
  <c r="G229" i="29"/>
  <c r="G212" i="29"/>
  <c r="P113" i="29"/>
  <c r="I609" i="29"/>
  <c r="G615" i="29" s="1"/>
  <c r="K82" i="29"/>
  <c r="P82" i="29" s="1"/>
  <c r="H547" i="29"/>
  <c r="C560" i="29" s="1"/>
  <c r="G401" i="29"/>
  <c r="P140" i="29"/>
  <c r="I292" i="29"/>
  <c r="G301" i="29" s="1"/>
  <c r="I301" i="29" s="1"/>
  <c r="I309" i="29"/>
  <c r="G315" i="29" s="1"/>
  <c r="H378" i="29"/>
  <c r="H372" i="29"/>
  <c r="I316" i="29"/>
  <c r="G512" i="29"/>
  <c r="I428" i="29"/>
  <c r="G434" i="29" s="1"/>
  <c r="P97" i="29"/>
  <c r="M104" i="29"/>
  <c r="H601" i="19"/>
  <c r="I601" i="19" s="1"/>
  <c r="G243" i="19"/>
  <c r="G245" i="19" s="1"/>
  <c r="F84" i="22"/>
  <c r="F88" i="22" s="1"/>
  <c r="J24" i="29" s="1"/>
  <c r="I179" i="29"/>
  <c r="N184" i="29"/>
  <c r="M184" i="29"/>
  <c r="J180" i="29"/>
  <c r="K181" i="29"/>
  <c r="G177" i="29"/>
  <c r="H178" i="29"/>
  <c r="M183" i="29"/>
  <c r="L182" i="29"/>
  <c r="L87" i="22"/>
  <c r="N102" i="22" s="1"/>
  <c r="I88" i="22"/>
  <c r="M24" i="29" s="1"/>
  <c r="H88" i="22"/>
  <c r="L24" i="29" s="1"/>
  <c r="L86" i="22"/>
  <c r="N101" i="22" s="1"/>
  <c r="L404" i="26"/>
  <c r="H67" i="26" s="1"/>
  <c r="H164" i="26" s="1"/>
  <c r="M404" i="26"/>
  <c r="G411" i="26" s="1"/>
  <c r="B213" i="26"/>
  <c r="B200" i="26"/>
  <c r="B103" i="26"/>
  <c r="B178" i="26"/>
  <c r="B167" i="26"/>
  <c r="B156" i="26"/>
  <c r="B145" i="26"/>
  <c r="B134" i="26"/>
  <c r="B48" i="26"/>
  <c r="B189" i="26"/>
  <c r="B117" i="26"/>
  <c r="B81" i="26"/>
  <c r="B37" i="26"/>
  <c r="N13" i="26"/>
  <c r="B92" i="26"/>
  <c r="B70" i="26"/>
  <c r="B59" i="26"/>
  <c r="R73" i="26"/>
  <c r="M170" i="26"/>
  <c r="R170" i="26" s="1"/>
  <c r="L479" i="26"/>
  <c r="H78" i="26" s="1"/>
  <c r="H175" i="26" s="1"/>
  <c r="M479" i="26"/>
  <c r="G486" i="26" s="1"/>
  <c r="G142" i="26"/>
  <c r="G131" i="26"/>
  <c r="G485" i="26"/>
  <c r="R95" i="26"/>
  <c r="M192" i="26"/>
  <c r="R192" i="26" s="1"/>
  <c r="I546" i="26"/>
  <c r="J546" i="26" s="1"/>
  <c r="K544" i="26" s="1"/>
  <c r="L620" i="26"/>
  <c r="H100" i="26" s="1"/>
  <c r="H197" i="26" s="1"/>
  <c r="M620" i="26"/>
  <c r="G627" i="26" s="1"/>
  <c r="R105" i="26"/>
  <c r="L202" i="26"/>
  <c r="R202" i="26" s="1"/>
  <c r="H45" i="26"/>
  <c r="H142" i="26" s="1"/>
  <c r="M318" i="26"/>
  <c r="G325" i="26" s="1"/>
  <c r="G250" i="26"/>
  <c r="L403" i="26"/>
  <c r="G67" i="26" s="1"/>
  <c r="M403" i="26"/>
  <c r="G626" i="26"/>
  <c r="R40" i="26"/>
  <c r="M137" i="26"/>
  <c r="R137" i="26" s="1"/>
  <c r="G197" i="26"/>
  <c r="G324" i="26"/>
  <c r="L244" i="26"/>
  <c r="H34" i="26" s="1"/>
  <c r="M244" i="26"/>
  <c r="G251" i="26" s="1"/>
  <c r="G175" i="26"/>
  <c r="G72" i="20"/>
  <c r="H70" i="20"/>
  <c r="H72" i="20" s="1"/>
  <c r="I72" i="20" s="1"/>
  <c r="F72" i="20"/>
  <c r="H243" i="19"/>
  <c r="H675" i="19"/>
  <c r="H677" i="19" s="1"/>
  <c r="G675" i="19"/>
  <c r="G677" i="19" s="1"/>
  <c r="H534" i="19"/>
  <c r="H536" i="19" s="1"/>
  <c r="G600" i="19"/>
  <c r="I600" i="19" s="1"/>
  <c r="I281" i="19"/>
  <c r="R196" i="19"/>
  <c r="R130" i="19"/>
  <c r="R174" i="19"/>
  <c r="R185" i="19"/>
  <c r="G534" i="19"/>
  <c r="B212" i="19"/>
  <c r="B199" i="19"/>
  <c r="B58" i="19"/>
  <c r="B188" i="19"/>
  <c r="B166" i="19"/>
  <c r="B144" i="19"/>
  <c r="B102" i="19"/>
  <c r="B91" i="19"/>
  <c r="B69" i="19"/>
  <c r="B47" i="19"/>
  <c r="B80" i="19"/>
  <c r="B177" i="19"/>
  <c r="B155" i="19"/>
  <c r="B133" i="19"/>
  <c r="B116" i="19"/>
  <c r="M13" i="19"/>
  <c r="N13" i="19" s="1"/>
  <c r="B36" i="19"/>
  <c r="H73" i="25"/>
  <c r="I73" i="25" s="1"/>
  <c r="J71" i="25" s="1"/>
  <c r="I319" i="19"/>
  <c r="J319" i="19" s="1"/>
  <c r="K317" i="19" s="1"/>
  <c r="D88" i="22" l="1"/>
  <c r="H24" i="29" s="1"/>
  <c r="L82" i="22"/>
  <c r="L83" i="22"/>
  <c r="E88" i="22"/>
  <c r="I24" i="29" s="1"/>
  <c r="A154" i="5"/>
  <c r="A157" i="5" s="1"/>
  <c r="A163" i="5" s="1"/>
  <c r="A166" i="5" s="1"/>
  <c r="A169" i="5" s="1"/>
  <c r="L85" i="22"/>
  <c r="G88" i="22"/>
  <c r="K24" i="29" s="1"/>
  <c r="I243" i="19"/>
  <c r="I245" i="19" s="1"/>
  <c r="J245" i="19" s="1"/>
  <c r="K243" i="19" s="1"/>
  <c r="L243" i="19" s="1"/>
  <c r="G34" i="19" s="1"/>
  <c r="G131" i="19" s="1"/>
  <c r="B104" i="19"/>
  <c r="B60" i="19"/>
  <c r="B214" i="19"/>
  <c r="B168" i="19"/>
  <c r="B71" i="19"/>
  <c r="B179" i="19"/>
  <c r="B135" i="19"/>
  <c r="O13" i="19"/>
  <c r="B118" i="19"/>
  <c r="B82" i="19"/>
  <c r="B38" i="19"/>
  <c r="B190" i="19"/>
  <c r="B146" i="19"/>
  <c r="B93" i="19"/>
  <c r="B49" i="19"/>
  <c r="B201" i="19"/>
  <c r="B157" i="19"/>
  <c r="I392" i="19"/>
  <c r="I602" i="19"/>
  <c r="J602" i="19" s="1"/>
  <c r="K600" i="19" s="1"/>
  <c r="K601" i="19" s="1"/>
  <c r="H602" i="19"/>
  <c r="H394" i="19"/>
  <c r="H245" i="19"/>
  <c r="G310" i="29"/>
  <c r="I675" i="19"/>
  <c r="I677" i="19" s="1"/>
  <c r="J677" i="19" s="1"/>
  <c r="L183" i="29"/>
  <c r="H574" i="29"/>
  <c r="H575" i="29"/>
  <c r="I575" i="29" s="1"/>
  <c r="H436" i="29"/>
  <c r="C449" i="29" s="1"/>
  <c r="P64" i="29"/>
  <c r="H373" i="29"/>
  <c r="C386" i="29" s="1"/>
  <c r="I552" i="29"/>
  <c r="I554" i="29" s="1"/>
  <c r="I372" i="29"/>
  <c r="G378" i="29" s="1"/>
  <c r="G380" i="29" s="1"/>
  <c r="L173" i="29"/>
  <c r="K127" i="29"/>
  <c r="P127" i="29" s="1"/>
  <c r="L103" i="29"/>
  <c r="G373" i="29"/>
  <c r="I371" i="29"/>
  <c r="I315" i="29"/>
  <c r="I317" i="29" s="1"/>
  <c r="G317" i="29"/>
  <c r="L164" i="29"/>
  <c r="H229" i="29"/>
  <c r="J35" i="29" s="1"/>
  <c r="H238" i="29"/>
  <c r="J36" i="29" s="1"/>
  <c r="J102" i="29" s="1"/>
  <c r="F100" i="22" s="1"/>
  <c r="I545" i="29"/>
  <c r="I547" i="29" s="1"/>
  <c r="G547" i="29"/>
  <c r="I435" i="29"/>
  <c r="G441" i="29" s="1"/>
  <c r="K163" i="29"/>
  <c r="H380" i="29"/>
  <c r="C387" i="29" s="1"/>
  <c r="G617" i="29"/>
  <c r="I615" i="29"/>
  <c r="I617" i="29" s="1"/>
  <c r="L128" i="29"/>
  <c r="P128" i="29" s="1"/>
  <c r="I434" i="29"/>
  <c r="G436" i="29"/>
  <c r="I246" i="29"/>
  <c r="G252" i="29" s="1"/>
  <c r="G213" i="29"/>
  <c r="H212" i="29"/>
  <c r="I212" i="29" s="1"/>
  <c r="H211" i="29"/>
  <c r="G339" i="29"/>
  <c r="H337" i="29"/>
  <c r="H338" i="29"/>
  <c r="I338" i="29" s="1"/>
  <c r="H245" i="29"/>
  <c r="H239" i="29"/>
  <c r="K36" i="29" s="1"/>
  <c r="K117" i="29" s="1"/>
  <c r="G276" i="29"/>
  <c r="H274" i="29"/>
  <c r="H275" i="29"/>
  <c r="I275" i="29" s="1"/>
  <c r="L65" i="29"/>
  <c r="P65" i="29" s="1"/>
  <c r="H443" i="29"/>
  <c r="C450" i="29" s="1"/>
  <c r="K145" i="29"/>
  <c r="P145" i="29" s="1"/>
  <c r="I310" i="29"/>
  <c r="L38" i="29"/>
  <c r="H254" i="29"/>
  <c r="C261" i="29" s="1"/>
  <c r="G602" i="19"/>
  <c r="L84" i="22"/>
  <c r="I89" i="22"/>
  <c r="M185" i="29" s="1"/>
  <c r="H89" i="22"/>
  <c r="L185" i="29" s="1"/>
  <c r="M480" i="26"/>
  <c r="H485" i="26" s="1"/>
  <c r="K545" i="26"/>
  <c r="K546" i="26" s="1"/>
  <c r="M621" i="26"/>
  <c r="H628" i="26" s="1"/>
  <c r="I628" i="26" s="1"/>
  <c r="R78" i="26"/>
  <c r="R100" i="26"/>
  <c r="M319" i="26"/>
  <c r="M245" i="26"/>
  <c r="L544" i="26"/>
  <c r="G89" i="26" s="1"/>
  <c r="G488" i="26"/>
  <c r="R142" i="26"/>
  <c r="G327" i="26"/>
  <c r="G253" i="26"/>
  <c r="R45" i="26"/>
  <c r="B201" i="26"/>
  <c r="B190" i="26"/>
  <c r="B214" i="26"/>
  <c r="B118" i="26"/>
  <c r="B168" i="26"/>
  <c r="B157" i="26"/>
  <c r="B146" i="26"/>
  <c r="B135" i="26"/>
  <c r="B179" i="26"/>
  <c r="B104" i="26"/>
  <c r="B60" i="26"/>
  <c r="O13" i="26"/>
  <c r="B49" i="26"/>
  <c r="B93" i="26"/>
  <c r="B71" i="26"/>
  <c r="B82" i="26"/>
  <c r="B38" i="26"/>
  <c r="R175" i="26"/>
  <c r="R197" i="26"/>
  <c r="G629" i="26"/>
  <c r="G410" i="26"/>
  <c r="M405" i="26"/>
  <c r="M544" i="26"/>
  <c r="H131" i="26"/>
  <c r="R67" i="26"/>
  <c r="G164" i="26"/>
  <c r="R34" i="26"/>
  <c r="J70" i="20"/>
  <c r="J71" i="20" s="1"/>
  <c r="I534" i="19"/>
  <c r="I536" i="19" s="1"/>
  <c r="J536" i="19" s="1"/>
  <c r="G536" i="19"/>
  <c r="B189" i="19"/>
  <c r="B167" i="19"/>
  <c r="B145" i="19"/>
  <c r="B103" i="19"/>
  <c r="B92" i="19"/>
  <c r="B70" i="19"/>
  <c r="B48" i="19"/>
  <c r="B200" i="19"/>
  <c r="B178" i="19"/>
  <c r="B156" i="19"/>
  <c r="B134" i="19"/>
  <c r="B117" i="19"/>
  <c r="B81" i="19"/>
  <c r="B59" i="19"/>
  <c r="B213" i="19"/>
  <c r="B37" i="19"/>
  <c r="L317" i="19"/>
  <c r="G45" i="19" s="1"/>
  <c r="K71" i="25"/>
  <c r="C37" i="25" s="1"/>
  <c r="L459" i="19"/>
  <c r="G67" i="19" s="1"/>
  <c r="M317" i="19"/>
  <c r="K318" i="19"/>
  <c r="K319" i="19" s="1"/>
  <c r="M459" i="19"/>
  <c r="L71" i="25"/>
  <c r="F78" i="25" s="1"/>
  <c r="G86" i="25" s="1"/>
  <c r="C39" i="25" s="1"/>
  <c r="K460" i="19"/>
  <c r="K461" i="19" s="1"/>
  <c r="J72" i="25"/>
  <c r="A172" i="5" l="1"/>
  <c r="A180" i="5" s="1"/>
  <c r="A182" i="5" s="1"/>
  <c r="A186" i="5" s="1"/>
  <c r="A203" i="5" s="1"/>
  <c r="A204" i="5" s="1"/>
  <c r="K244" i="19"/>
  <c r="K245" i="19" s="1"/>
  <c r="M243" i="19"/>
  <c r="G250" i="19" s="1"/>
  <c r="L88" i="22"/>
  <c r="P24" i="29" s="1"/>
  <c r="B94" i="19"/>
  <c r="B50" i="19"/>
  <c r="B202" i="19"/>
  <c r="B158" i="19"/>
  <c r="B61" i="19"/>
  <c r="B215" i="19"/>
  <c r="B147" i="19"/>
  <c r="B105" i="19"/>
  <c r="B169" i="19"/>
  <c r="P13" i="19"/>
  <c r="B72" i="19"/>
  <c r="B119" i="19"/>
  <c r="B180" i="19"/>
  <c r="B136" i="19"/>
  <c r="B83" i="19"/>
  <c r="B39" i="19"/>
  <c r="B191" i="19"/>
  <c r="I394" i="19"/>
  <c r="J394" i="19" s="1"/>
  <c r="K392" i="19" s="1"/>
  <c r="L392" i="19" s="1"/>
  <c r="G56" i="19" s="1"/>
  <c r="G153" i="19" s="1"/>
  <c r="K675" i="19"/>
  <c r="K676" i="19" s="1"/>
  <c r="L676" i="19" s="1"/>
  <c r="H100" i="19" s="1"/>
  <c r="H197" i="19" s="1"/>
  <c r="H576" i="29"/>
  <c r="I574" i="29"/>
  <c r="I576" i="29" s="1"/>
  <c r="J576" i="29" s="1"/>
  <c r="I378" i="29"/>
  <c r="I380" i="29" s="1"/>
  <c r="I239" i="29"/>
  <c r="G245" i="29" s="1"/>
  <c r="I245" i="29" s="1"/>
  <c r="I247" i="29" s="1"/>
  <c r="I373" i="29"/>
  <c r="P38" i="29"/>
  <c r="P104" i="29" s="1"/>
  <c r="L104" i="29"/>
  <c r="L119" i="29"/>
  <c r="I252" i="29"/>
  <c r="I254" i="29" s="1"/>
  <c r="G254" i="29"/>
  <c r="G443" i="29"/>
  <c r="I441" i="29"/>
  <c r="I443" i="29" s="1"/>
  <c r="J101" i="29"/>
  <c r="F99" i="22" s="1"/>
  <c r="F117" i="22" s="1"/>
  <c r="F118" i="22" s="1"/>
  <c r="J116" i="29"/>
  <c r="I337" i="29"/>
  <c r="I339" i="29" s="1"/>
  <c r="J339" i="29" s="1"/>
  <c r="K337" i="29" s="1"/>
  <c r="H339" i="29"/>
  <c r="L146" i="29"/>
  <c r="P146" i="29" s="1"/>
  <c r="I436" i="29"/>
  <c r="I274" i="29"/>
  <c r="H276" i="29"/>
  <c r="I229" i="29"/>
  <c r="G238" i="29" s="1"/>
  <c r="I506" i="29" s="1"/>
  <c r="J506" i="29" s="1"/>
  <c r="K37" i="29"/>
  <c r="P37" i="29" s="1"/>
  <c r="H247" i="29"/>
  <c r="C260" i="29" s="1"/>
  <c r="I211" i="29"/>
  <c r="H213" i="29"/>
  <c r="C54" i="25"/>
  <c r="G78" i="25"/>
  <c r="C38" i="25" s="1"/>
  <c r="H401" i="29"/>
  <c r="I401" i="29" s="1"/>
  <c r="H400" i="29"/>
  <c r="G402" i="29"/>
  <c r="J89" i="22"/>
  <c r="N185" i="29" s="1"/>
  <c r="H486" i="26"/>
  <c r="I486" i="26" s="1"/>
  <c r="H487" i="26"/>
  <c r="I487" i="26" s="1"/>
  <c r="H626" i="26"/>
  <c r="I626" i="26" s="1"/>
  <c r="H627" i="26"/>
  <c r="I627" i="26" s="1"/>
  <c r="H324" i="26"/>
  <c r="I324" i="26" s="1"/>
  <c r="L545" i="26"/>
  <c r="H89" i="26" s="1"/>
  <c r="H186" i="26" s="1"/>
  <c r="M545" i="26"/>
  <c r="G552" i="26" s="1"/>
  <c r="R164" i="26"/>
  <c r="H410" i="26"/>
  <c r="I410" i="26" s="1"/>
  <c r="G186" i="26"/>
  <c r="H252" i="26"/>
  <c r="I252" i="26" s="1"/>
  <c r="H250" i="26"/>
  <c r="H251" i="26"/>
  <c r="I251" i="26" s="1"/>
  <c r="R131" i="26"/>
  <c r="G413" i="26"/>
  <c r="B215" i="26"/>
  <c r="B119" i="26"/>
  <c r="B202" i="26"/>
  <c r="B180" i="26"/>
  <c r="B105" i="26"/>
  <c r="B169" i="26"/>
  <c r="B61" i="26"/>
  <c r="B136" i="26"/>
  <c r="B158" i="26"/>
  <c r="B50" i="26"/>
  <c r="B94" i="26"/>
  <c r="B72" i="26"/>
  <c r="P13" i="26"/>
  <c r="B147" i="26"/>
  <c r="B83" i="26"/>
  <c r="B39" i="26"/>
  <c r="B191" i="26"/>
  <c r="I485" i="26"/>
  <c r="G551" i="26"/>
  <c r="K71" i="20"/>
  <c r="D38" i="20" s="1"/>
  <c r="D54" i="20" s="1"/>
  <c r="L71" i="20"/>
  <c r="F78" i="20" s="1"/>
  <c r="L70" i="20"/>
  <c r="J72" i="20"/>
  <c r="K70" i="20"/>
  <c r="C38" i="20" s="1"/>
  <c r="K38" i="20" s="1"/>
  <c r="M38" i="20" s="1"/>
  <c r="G164" i="19"/>
  <c r="G142" i="19"/>
  <c r="N67" i="7"/>
  <c r="K72" i="25"/>
  <c r="D37" i="25" s="1"/>
  <c r="L72" i="25"/>
  <c r="G324" i="19"/>
  <c r="J73" i="25"/>
  <c r="K534" i="19"/>
  <c r="L601" i="19"/>
  <c r="H89" i="19" s="1"/>
  <c r="H186" i="19" s="1"/>
  <c r="M601" i="19"/>
  <c r="G608" i="19" s="1"/>
  <c r="L600" i="19"/>
  <c r="G89" i="19" s="1"/>
  <c r="K602" i="19"/>
  <c r="M600" i="19"/>
  <c r="L460" i="19"/>
  <c r="H67" i="19" s="1"/>
  <c r="H164" i="19" s="1"/>
  <c r="M460" i="19"/>
  <c r="G467" i="19" s="1"/>
  <c r="G466" i="19"/>
  <c r="L318" i="19"/>
  <c r="H45" i="19" s="1"/>
  <c r="H142" i="19" s="1"/>
  <c r="M318" i="19"/>
  <c r="G325" i="19" s="1"/>
  <c r="L244" i="19" l="1"/>
  <c r="H34" i="19" s="1"/>
  <c r="R34" i="19" s="1"/>
  <c r="M244" i="19"/>
  <c r="G251" i="19" s="1"/>
  <c r="G253" i="19" s="1"/>
  <c r="G247" i="29"/>
  <c r="K393" i="19"/>
  <c r="K394" i="19" s="1"/>
  <c r="M676" i="19"/>
  <c r="G683" i="19" s="1"/>
  <c r="B84" i="19"/>
  <c r="B40" i="19"/>
  <c r="B192" i="19"/>
  <c r="O215" i="19" s="1"/>
  <c r="B148" i="19"/>
  <c r="B95" i="19"/>
  <c r="B51" i="19"/>
  <c r="B203" i="19"/>
  <c r="B159" i="19"/>
  <c r="B181" i="19"/>
  <c r="B137" i="19"/>
  <c r="B106" i="19"/>
  <c r="B62" i="19"/>
  <c r="B216" i="19"/>
  <c r="B170" i="19"/>
  <c r="B73" i="19"/>
  <c r="B120" i="19"/>
  <c r="M392" i="19"/>
  <c r="G399" i="19" s="1"/>
  <c r="L675" i="19"/>
  <c r="G100" i="19" s="1"/>
  <c r="G197" i="19" s="1"/>
  <c r="R197" i="19" s="1"/>
  <c r="M675" i="19"/>
  <c r="K677" i="19"/>
  <c r="M245" i="19"/>
  <c r="H250" i="19" s="1"/>
  <c r="H251" i="19" s="1"/>
  <c r="I251" i="19" s="1"/>
  <c r="G77" i="29"/>
  <c r="K506" i="29"/>
  <c r="P119" i="29"/>
  <c r="L184" i="29"/>
  <c r="K338" i="29"/>
  <c r="K118" i="29"/>
  <c r="P118" i="29" s="1"/>
  <c r="F103" i="22"/>
  <c r="F89" i="22" s="1"/>
  <c r="I213" i="29"/>
  <c r="J213" i="29" s="1"/>
  <c r="I276" i="29"/>
  <c r="J276" i="29" s="1"/>
  <c r="K274" i="29" s="1"/>
  <c r="M274" i="29" s="1"/>
  <c r="M337" i="29"/>
  <c r="L337" i="29"/>
  <c r="G51" i="29" s="1"/>
  <c r="J117" i="29"/>
  <c r="J182" i="29" s="1"/>
  <c r="J181" i="29"/>
  <c r="D54" i="25"/>
  <c r="L54" i="25" s="1"/>
  <c r="C42" i="25"/>
  <c r="C28" i="25" s="1"/>
  <c r="C55" i="25"/>
  <c r="C56" i="25" s="1"/>
  <c r="H78" i="25"/>
  <c r="F86" i="25" s="1"/>
  <c r="L37" i="25"/>
  <c r="N37" i="25" s="1"/>
  <c r="L73" i="25"/>
  <c r="F79" i="25"/>
  <c r="G87" i="25" s="1"/>
  <c r="H608" i="29"/>
  <c r="H602" i="29"/>
  <c r="K574" i="29"/>
  <c r="H402" i="29"/>
  <c r="I400" i="29"/>
  <c r="H488" i="26"/>
  <c r="H411" i="26"/>
  <c r="I411" i="26" s="1"/>
  <c r="H325" i="26"/>
  <c r="I629" i="26"/>
  <c r="J629" i="26" s="1"/>
  <c r="H629" i="26"/>
  <c r="R89" i="26"/>
  <c r="B203" i="26"/>
  <c r="B192" i="26"/>
  <c r="B216" i="26"/>
  <c r="B120" i="26"/>
  <c r="B181" i="26"/>
  <c r="B170" i="26"/>
  <c r="B159" i="26"/>
  <c r="B148" i="26"/>
  <c r="B137" i="26"/>
  <c r="B106" i="26"/>
  <c r="B62" i="26"/>
  <c r="B84" i="26"/>
  <c r="B51" i="26"/>
  <c r="B95" i="26"/>
  <c r="B73" i="26"/>
  <c r="B40" i="26"/>
  <c r="I488" i="26"/>
  <c r="J488" i="26" s="1"/>
  <c r="R186" i="26"/>
  <c r="M546" i="26"/>
  <c r="G554" i="26"/>
  <c r="H253" i="26"/>
  <c r="I250" i="26"/>
  <c r="C54" i="20"/>
  <c r="F77" i="20"/>
  <c r="L72" i="20"/>
  <c r="H131" i="19"/>
  <c r="R131" i="19" s="1"/>
  <c r="R45" i="19"/>
  <c r="R89" i="19"/>
  <c r="G186" i="19"/>
  <c r="R164" i="19"/>
  <c r="R142" i="19"/>
  <c r="R67" i="19"/>
  <c r="M461" i="19"/>
  <c r="M319" i="19"/>
  <c r="G469" i="19"/>
  <c r="G327" i="19"/>
  <c r="G607" i="19"/>
  <c r="M602" i="19"/>
  <c r="L534" i="19"/>
  <c r="G78" i="19" s="1"/>
  <c r="M534" i="19"/>
  <c r="K535" i="19"/>
  <c r="M393" i="19" l="1"/>
  <c r="M677" i="19"/>
  <c r="H682" i="19" s="1"/>
  <c r="L393" i="19"/>
  <c r="H56" i="19" s="1"/>
  <c r="H153" i="19" s="1"/>
  <c r="R153" i="19" s="1"/>
  <c r="K118" i="19"/>
  <c r="N215" i="19"/>
  <c r="G682" i="19"/>
  <c r="G685" i="19" s="1"/>
  <c r="G90" i="25"/>
  <c r="B110" i="25" s="1"/>
  <c r="D39" i="25"/>
  <c r="L39" i="25" s="1"/>
  <c r="N39" i="25" s="1"/>
  <c r="H86" i="25"/>
  <c r="D66" i="5"/>
  <c r="E66" i="5"/>
  <c r="P216" i="19"/>
  <c r="N216" i="19"/>
  <c r="O216" i="19"/>
  <c r="M216" i="19"/>
  <c r="R100" i="19"/>
  <c r="M394" i="19"/>
  <c r="N120" i="19"/>
  <c r="M120" i="19"/>
  <c r="L214" i="19"/>
  <c r="N214" i="19"/>
  <c r="M214" i="19"/>
  <c r="K214" i="19"/>
  <c r="L215" i="19"/>
  <c r="M215" i="19"/>
  <c r="M119" i="19"/>
  <c r="L118" i="19"/>
  <c r="L119" i="19"/>
  <c r="G400" i="19"/>
  <c r="G402" i="19" s="1"/>
  <c r="I250" i="19"/>
  <c r="H252" i="19"/>
  <c r="I252" i="19" s="1"/>
  <c r="M213" i="19"/>
  <c r="M217" i="19" s="1"/>
  <c r="G511" i="29"/>
  <c r="H511" i="29"/>
  <c r="H512" i="29"/>
  <c r="I512" i="29" s="1"/>
  <c r="P77" i="29"/>
  <c r="G158" i="29"/>
  <c r="P158" i="29" s="1"/>
  <c r="K211" i="29"/>
  <c r="K212" i="29" s="1"/>
  <c r="J185" i="29"/>
  <c r="K339" i="29"/>
  <c r="L338" i="29"/>
  <c r="H51" i="29" s="1"/>
  <c r="H132" i="29" s="1"/>
  <c r="M338" i="29"/>
  <c r="G345" i="29" s="1"/>
  <c r="L274" i="29"/>
  <c r="G42" i="29" s="1"/>
  <c r="G132" i="29"/>
  <c r="K275" i="29"/>
  <c r="G281" i="29"/>
  <c r="G344" i="29"/>
  <c r="K213" i="26"/>
  <c r="H114" i="26"/>
  <c r="D73" i="8" s="1"/>
  <c r="D93" i="8" s="1"/>
  <c r="I602" i="29"/>
  <c r="G608" i="29" s="1"/>
  <c r="G610" i="29" s="1"/>
  <c r="K90" i="29"/>
  <c r="H610" i="29"/>
  <c r="C623" i="29" s="1"/>
  <c r="K91" i="29"/>
  <c r="G79" i="25"/>
  <c r="D38" i="25" s="1"/>
  <c r="D55" i="25" s="1"/>
  <c r="F81" i="25"/>
  <c r="L574" i="29"/>
  <c r="G87" i="29" s="1"/>
  <c r="M574" i="29"/>
  <c r="K575" i="29"/>
  <c r="K576" i="29" s="1"/>
  <c r="I402" i="29"/>
  <c r="J402" i="29" s="1"/>
  <c r="H412" i="26"/>
  <c r="I412" i="26" s="1"/>
  <c r="I413" i="26" s="1"/>
  <c r="J413" i="26" s="1"/>
  <c r="K410" i="26" s="1"/>
  <c r="M410" i="26" s="1"/>
  <c r="G418" i="26" s="1"/>
  <c r="I325" i="26"/>
  <c r="H326" i="26"/>
  <c r="K626" i="26"/>
  <c r="K485" i="26"/>
  <c r="L485" i="26" s="1"/>
  <c r="G79" i="26" s="1"/>
  <c r="G210" i="26"/>
  <c r="K211" i="26"/>
  <c r="M119" i="26"/>
  <c r="R114" i="26"/>
  <c r="R209" i="26"/>
  <c r="N215" i="26"/>
  <c r="R207" i="26"/>
  <c r="L215" i="26"/>
  <c r="J211" i="26"/>
  <c r="R210" i="26"/>
  <c r="M215" i="26"/>
  <c r="R215" i="26"/>
  <c r="H209" i="26"/>
  <c r="L119" i="26"/>
  <c r="K117" i="26"/>
  <c r="G76" i="8" s="1"/>
  <c r="G96" i="8" s="1"/>
  <c r="M213" i="26"/>
  <c r="M217" i="26" s="1"/>
  <c r="O215" i="26"/>
  <c r="G209" i="26"/>
  <c r="I253" i="26"/>
  <c r="J253" i="26" s="1"/>
  <c r="H552" i="26"/>
  <c r="I552" i="26" s="1"/>
  <c r="H553" i="26"/>
  <c r="I553" i="26" s="1"/>
  <c r="H551" i="26"/>
  <c r="R119" i="26"/>
  <c r="R111" i="26"/>
  <c r="R113" i="26"/>
  <c r="R112" i="26"/>
  <c r="L118" i="26"/>
  <c r="H77" i="8" s="1"/>
  <c r="H97" i="8" s="1"/>
  <c r="H98" i="8" s="1"/>
  <c r="G114" i="26"/>
  <c r="C73" i="8" s="1"/>
  <c r="K118" i="26"/>
  <c r="G77" i="8" s="1"/>
  <c r="G113" i="26"/>
  <c r="C72" i="8" s="1"/>
  <c r="I209" i="26"/>
  <c r="J210" i="26"/>
  <c r="L214" i="26"/>
  <c r="I210" i="26"/>
  <c r="G208" i="26"/>
  <c r="M214" i="26"/>
  <c r="L213" i="26"/>
  <c r="L212" i="26"/>
  <c r="R208" i="26"/>
  <c r="H208" i="26"/>
  <c r="N214" i="26"/>
  <c r="H210" i="26"/>
  <c r="K212" i="26"/>
  <c r="K214" i="26"/>
  <c r="R120" i="26"/>
  <c r="N120" i="26"/>
  <c r="M120" i="26"/>
  <c r="G207" i="26"/>
  <c r="O216" i="26"/>
  <c r="R216" i="26"/>
  <c r="P216" i="26"/>
  <c r="N216" i="26"/>
  <c r="M216" i="26"/>
  <c r="K54" i="20"/>
  <c r="G77" i="20"/>
  <c r="H77" i="20" s="1"/>
  <c r="G79" i="20"/>
  <c r="H79" i="20" s="1"/>
  <c r="G78" i="20"/>
  <c r="H78" i="20" s="1"/>
  <c r="F80" i="20"/>
  <c r="G175" i="19"/>
  <c r="R186" i="19"/>
  <c r="H684" i="19"/>
  <c r="I684" i="19" s="1"/>
  <c r="H683" i="19"/>
  <c r="I683" i="19" s="1"/>
  <c r="I682" i="19"/>
  <c r="H399" i="19"/>
  <c r="H400" i="19" s="1"/>
  <c r="I400" i="19" s="1"/>
  <c r="H324" i="19"/>
  <c r="I324" i="19" s="1"/>
  <c r="H466" i="19"/>
  <c r="I466" i="19" s="1"/>
  <c r="L535" i="19"/>
  <c r="H78" i="19" s="1"/>
  <c r="M535" i="19"/>
  <c r="G542" i="19" s="1"/>
  <c r="G610" i="19"/>
  <c r="G541" i="19"/>
  <c r="K536" i="19"/>
  <c r="H607" i="19"/>
  <c r="H608" i="19"/>
  <c r="I608" i="19" s="1"/>
  <c r="H609" i="19"/>
  <c r="I609" i="19" s="1"/>
  <c r="R56" i="19" l="1"/>
  <c r="I253" i="19"/>
  <c r="J253" i="19" s="1"/>
  <c r="L55" i="25"/>
  <c r="D67" i="5" s="1"/>
  <c r="D65" i="5" s="1"/>
  <c r="D64" i="5" s="1"/>
  <c r="D56" i="25"/>
  <c r="L56" i="25" s="1"/>
  <c r="E67" i="5"/>
  <c r="E65" i="5" s="1"/>
  <c r="E64" i="5" s="1"/>
  <c r="H253" i="19"/>
  <c r="I608" i="29"/>
  <c r="I610" i="29" s="1"/>
  <c r="N73" i="8"/>
  <c r="P73" i="8" s="1"/>
  <c r="M339" i="29"/>
  <c r="G97" i="8"/>
  <c r="H513" i="29"/>
  <c r="G513" i="29"/>
  <c r="I511" i="29"/>
  <c r="P51" i="29"/>
  <c r="L212" i="29"/>
  <c r="H33" i="29" s="1"/>
  <c r="H114" i="29" s="1"/>
  <c r="M212" i="29"/>
  <c r="G219" i="29" s="1"/>
  <c r="G347" i="29"/>
  <c r="P132" i="29"/>
  <c r="G123" i="29"/>
  <c r="L275" i="29"/>
  <c r="H42" i="29" s="1"/>
  <c r="H123" i="29" s="1"/>
  <c r="M275" i="29"/>
  <c r="K276" i="29"/>
  <c r="K213" i="29"/>
  <c r="L211" i="29"/>
  <c r="G33" i="29" s="1"/>
  <c r="M211" i="29"/>
  <c r="H413" i="26"/>
  <c r="P91" i="29"/>
  <c r="P103" i="29" s="1"/>
  <c r="K103" i="29"/>
  <c r="K171" i="29"/>
  <c r="K102" i="29"/>
  <c r="G100" i="22" s="1"/>
  <c r="G118" i="22" s="1"/>
  <c r="G119" i="22" s="1"/>
  <c r="J211" i="19"/>
  <c r="L213" i="19"/>
  <c r="L38" i="25"/>
  <c r="H79" i="25"/>
  <c r="F87" i="25" s="1"/>
  <c r="G81" i="25"/>
  <c r="B109" i="25" s="1"/>
  <c r="G168" i="29"/>
  <c r="G581" i="29"/>
  <c r="L575" i="29"/>
  <c r="H87" i="29" s="1"/>
  <c r="H168" i="29" s="1"/>
  <c r="M575" i="29"/>
  <c r="G582" i="29" s="1"/>
  <c r="K400" i="29"/>
  <c r="P177" i="29"/>
  <c r="I326" i="26"/>
  <c r="I327" i="26" s="1"/>
  <c r="J327" i="26" s="1"/>
  <c r="K324" i="26" s="1"/>
  <c r="L324" i="26" s="1"/>
  <c r="G46" i="26" s="1"/>
  <c r="G143" i="26" s="1"/>
  <c r="H327" i="26"/>
  <c r="R208" i="19"/>
  <c r="M626" i="26"/>
  <c r="G634" i="26" s="1"/>
  <c r="L626" i="26"/>
  <c r="G101" i="26" s="1"/>
  <c r="G198" i="26" s="1"/>
  <c r="K627" i="26"/>
  <c r="K628" i="26" s="1"/>
  <c r="M485" i="26"/>
  <c r="G493" i="26" s="1"/>
  <c r="K486" i="26"/>
  <c r="K411" i="26"/>
  <c r="L410" i="26"/>
  <c r="G68" i="26" s="1"/>
  <c r="G165" i="26" s="1"/>
  <c r="G80" i="8"/>
  <c r="G64" i="8" s="1"/>
  <c r="K250" i="26"/>
  <c r="L250" i="26" s="1"/>
  <c r="G35" i="26" s="1"/>
  <c r="N98" i="8"/>
  <c r="H80" i="8"/>
  <c r="H64" i="8" s="1"/>
  <c r="L217" i="26" s="1"/>
  <c r="C92" i="8"/>
  <c r="N72" i="8"/>
  <c r="H554" i="26"/>
  <c r="I551" i="26"/>
  <c r="G176" i="26"/>
  <c r="H80" i="20"/>
  <c r="I80" i="20" s="1"/>
  <c r="G80" i="20"/>
  <c r="R209" i="19"/>
  <c r="K211" i="19"/>
  <c r="G114" i="19"/>
  <c r="C41" i="7" s="1"/>
  <c r="L212" i="19"/>
  <c r="K212" i="19"/>
  <c r="H45" i="7"/>
  <c r="K117" i="19"/>
  <c r="G44" i="7" s="1"/>
  <c r="J210" i="19"/>
  <c r="I209" i="19"/>
  <c r="G207" i="19"/>
  <c r="H209" i="19"/>
  <c r="I210" i="19"/>
  <c r="G208" i="19"/>
  <c r="H208" i="19"/>
  <c r="R207" i="19"/>
  <c r="R111" i="19"/>
  <c r="R112" i="19"/>
  <c r="R113" i="19"/>
  <c r="G113" i="19"/>
  <c r="C40" i="7" s="1"/>
  <c r="K213" i="19"/>
  <c r="G209" i="19"/>
  <c r="G45" i="7"/>
  <c r="H114" i="19"/>
  <c r="D41" i="7" s="1"/>
  <c r="H175" i="19"/>
  <c r="R175" i="19" s="1"/>
  <c r="R210" i="19" s="1"/>
  <c r="G210" i="19"/>
  <c r="R78" i="19"/>
  <c r="R114" i="19" s="1"/>
  <c r="I685" i="19"/>
  <c r="J685" i="19" s="1"/>
  <c r="K682" i="19" s="1"/>
  <c r="M682" i="19" s="1"/>
  <c r="H685" i="19"/>
  <c r="H467" i="19"/>
  <c r="I467" i="19" s="1"/>
  <c r="H401" i="19"/>
  <c r="I401" i="19" s="1"/>
  <c r="H325" i="19"/>
  <c r="I325" i="19" s="1"/>
  <c r="I399" i="19"/>
  <c r="G544" i="19"/>
  <c r="H610" i="19"/>
  <c r="I607" i="19"/>
  <c r="K250" i="19"/>
  <c r="M536" i="19"/>
  <c r="H87" i="25" l="1"/>
  <c r="H90" i="25" s="1"/>
  <c r="F90" i="25"/>
  <c r="E33" i="5"/>
  <c r="H344" i="29"/>
  <c r="I344" i="29" s="1"/>
  <c r="I513" i="29"/>
  <c r="J513" i="29" s="1"/>
  <c r="K511" i="29" s="1"/>
  <c r="P42" i="29"/>
  <c r="G114" i="29"/>
  <c r="P33" i="29"/>
  <c r="G282" i="29"/>
  <c r="M276" i="29"/>
  <c r="P123" i="29"/>
  <c r="G218" i="29"/>
  <c r="M213" i="29"/>
  <c r="K172" i="29"/>
  <c r="K183" i="29" s="1"/>
  <c r="K182" i="29"/>
  <c r="G103" i="22"/>
  <c r="G89" i="22" s="1"/>
  <c r="K185" i="29" s="1"/>
  <c r="L119" i="22"/>
  <c r="N38" i="25"/>
  <c r="N42" i="25" s="1"/>
  <c r="L42" i="25"/>
  <c r="L28" i="25" s="1"/>
  <c r="D42" i="25"/>
  <c r="D28" i="25" s="1"/>
  <c r="H81" i="25"/>
  <c r="P168" i="29"/>
  <c r="P87" i="29"/>
  <c r="M576" i="29"/>
  <c r="G584" i="29"/>
  <c r="L400" i="29"/>
  <c r="G60" i="29" s="1"/>
  <c r="M400" i="29"/>
  <c r="K401" i="29"/>
  <c r="M324" i="26"/>
  <c r="G332" i="26" s="1"/>
  <c r="K325" i="26"/>
  <c r="K326" i="26" s="1"/>
  <c r="M326" i="26" s="1"/>
  <c r="G334" i="26" s="1"/>
  <c r="K217" i="26"/>
  <c r="K683" i="19"/>
  <c r="M683" i="19" s="1"/>
  <c r="G691" i="19" s="1"/>
  <c r="L682" i="19"/>
  <c r="G101" i="19" s="1"/>
  <c r="K487" i="26"/>
  <c r="K488" i="26" s="1"/>
  <c r="L628" i="26"/>
  <c r="I101" i="26" s="1"/>
  <c r="I198" i="26" s="1"/>
  <c r="M628" i="26"/>
  <c r="G636" i="26" s="1"/>
  <c r="L627" i="26"/>
  <c r="H101" i="26" s="1"/>
  <c r="M627" i="26"/>
  <c r="K629" i="26"/>
  <c r="M486" i="26"/>
  <c r="G494" i="26" s="1"/>
  <c r="L486" i="26"/>
  <c r="H79" i="26" s="1"/>
  <c r="H176" i="26" s="1"/>
  <c r="K412" i="26"/>
  <c r="K413" i="26" s="1"/>
  <c r="L411" i="26"/>
  <c r="H68" i="26" s="1"/>
  <c r="M411" i="26"/>
  <c r="M250" i="26"/>
  <c r="G258" i="26" s="1"/>
  <c r="K251" i="26"/>
  <c r="L251" i="26" s="1"/>
  <c r="H35" i="26" s="1"/>
  <c r="P72" i="8"/>
  <c r="N92" i="8"/>
  <c r="C93" i="8"/>
  <c r="I554" i="26"/>
  <c r="J554" i="26" s="1"/>
  <c r="G132" i="26"/>
  <c r="J77" i="20"/>
  <c r="H48" i="7"/>
  <c r="H32" i="7" s="1"/>
  <c r="H65" i="7"/>
  <c r="H66" i="7" s="1"/>
  <c r="N66" i="7" s="1"/>
  <c r="C60" i="7"/>
  <c r="N40" i="7"/>
  <c r="P40" i="7" s="1"/>
  <c r="G64" i="7"/>
  <c r="G65" i="7" s="1"/>
  <c r="G48" i="7"/>
  <c r="G32" i="7" s="1"/>
  <c r="I402" i="19"/>
  <c r="J402" i="19" s="1"/>
  <c r="K399" i="19" s="1"/>
  <c r="L399" i="19" s="1"/>
  <c r="G57" i="19" s="1"/>
  <c r="G198" i="19"/>
  <c r="H210" i="19"/>
  <c r="H402" i="19"/>
  <c r="H326" i="19"/>
  <c r="I326" i="19" s="1"/>
  <c r="I327" i="19" s="1"/>
  <c r="J327" i="19" s="1"/>
  <c r="H468" i="19"/>
  <c r="D61" i="7"/>
  <c r="N41" i="7"/>
  <c r="P41" i="7" s="1"/>
  <c r="H542" i="19"/>
  <c r="I542" i="19" s="1"/>
  <c r="H543" i="19"/>
  <c r="I543" i="19" s="1"/>
  <c r="H541" i="19"/>
  <c r="L250" i="19"/>
  <c r="G35" i="19" s="1"/>
  <c r="M250" i="19"/>
  <c r="K251" i="19"/>
  <c r="I610" i="19"/>
  <c r="J610" i="19" s="1"/>
  <c r="K607" i="19" s="1"/>
  <c r="G690" i="19"/>
  <c r="H345" i="29" l="1"/>
  <c r="L683" i="19"/>
  <c r="H101" i="19" s="1"/>
  <c r="H198" i="19" s="1"/>
  <c r="K684" i="19"/>
  <c r="K685" i="19" s="1"/>
  <c r="K512" i="29"/>
  <c r="K513" i="29" s="1"/>
  <c r="M511" i="29"/>
  <c r="L511" i="29"/>
  <c r="G78" i="29" s="1"/>
  <c r="H218" i="29"/>
  <c r="I218" i="29" s="1"/>
  <c r="H219" i="29"/>
  <c r="I219" i="29" s="1"/>
  <c r="H220" i="29"/>
  <c r="I220" i="29" s="1"/>
  <c r="G221" i="29"/>
  <c r="H281" i="29"/>
  <c r="H282" i="29"/>
  <c r="I282" i="29" s="1"/>
  <c r="H283" i="29"/>
  <c r="I283" i="29" s="1"/>
  <c r="G284" i="29"/>
  <c r="P114" i="29"/>
  <c r="H581" i="29"/>
  <c r="I581" i="29" s="1"/>
  <c r="G141" i="29"/>
  <c r="G407" i="29"/>
  <c r="L401" i="29"/>
  <c r="H60" i="29" s="1"/>
  <c r="M401" i="29"/>
  <c r="G408" i="29" s="1"/>
  <c r="K402" i="29"/>
  <c r="L326" i="26"/>
  <c r="I46" i="26" s="1"/>
  <c r="I143" i="26" s="1"/>
  <c r="K327" i="26"/>
  <c r="L487" i="26"/>
  <c r="I79" i="26" s="1"/>
  <c r="I176" i="26" s="1"/>
  <c r="R176" i="26" s="1"/>
  <c r="M325" i="26"/>
  <c r="G333" i="26" s="1"/>
  <c r="G336" i="26" s="1"/>
  <c r="L325" i="26"/>
  <c r="H46" i="26" s="1"/>
  <c r="H143" i="26" s="1"/>
  <c r="M487" i="26"/>
  <c r="G495" i="26" s="1"/>
  <c r="G497" i="26" s="1"/>
  <c r="M251" i="26"/>
  <c r="G259" i="26" s="1"/>
  <c r="L217" i="19"/>
  <c r="K217" i="19"/>
  <c r="G635" i="26"/>
  <c r="G638" i="26" s="1"/>
  <c r="M629" i="26"/>
  <c r="H198" i="26"/>
  <c r="R198" i="26" s="1"/>
  <c r="R101" i="26"/>
  <c r="K551" i="26"/>
  <c r="G419" i="26"/>
  <c r="M412" i="26"/>
  <c r="G420" i="26" s="1"/>
  <c r="L412" i="26"/>
  <c r="I68" i="26" s="1"/>
  <c r="I165" i="26" s="1"/>
  <c r="H165" i="26"/>
  <c r="K252" i="26"/>
  <c r="N93" i="8"/>
  <c r="H132" i="26"/>
  <c r="J78" i="20"/>
  <c r="L77" i="20"/>
  <c r="K77" i="20"/>
  <c r="C39" i="20" s="1"/>
  <c r="N60" i="7"/>
  <c r="C61" i="7"/>
  <c r="N61" i="7" s="1"/>
  <c r="M399" i="19"/>
  <c r="G407" i="19" s="1"/>
  <c r="K400" i="19"/>
  <c r="K401" i="19" s="1"/>
  <c r="H327" i="19"/>
  <c r="G154" i="19"/>
  <c r="K324" i="19"/>
  <c r="I468" i="19"/>
  <c r="I469" i="19" s="1"/>
  <c r="J469" i="19" s="1"/>
  <c r="K466" i="19" s="1"/>
  <c r="L466" i="19" s="1"/>
  <c r="G68" i="19" s="1"/>
  <c r="H469" i="19"/>
  <c r="L607" i="19"/>
  <c r="G90" i="19" s="1"/>
  <c r="L251" i="19"/>
  <c r="H35" i="19" s="1"/>
  <c r="M251" i="19"/>
  <c r="G259" i="19" s="1"/>
  <c r="G132" i="19"/>
  <c r="K252" i="19"/>
  <c r="K253" i="19" s="1"/>
  <c r="K608" i="19"/>
  <c r="G258" i="19"/>
  <c r="H544" i="19"/>
  <c r="I541" i="19"/>
  <c r="M607" i="19"/>
  <c r="L684" i="19"/>
  <c r="I101" i="19" s="1"/>
  <c r="I198" i="19" s="1"/>
  <c r="I345" i="29" l="1"/>
  <c r="H346" i="29"/>
  <c r="H582" i="29"/>
  <c r="R198" i="19"/>
  <c r="M400" i="19"/>
  <c r="G408" i="19" s="1"/>
  <c r="M684" i="19"/>
  <c r="G692" i="19" s="1"/>
  <c r="G694" i="19" s="1"/>
  <c r="R79" i="26"/>
  <c r="L512" i="29"/>
  <c r="H78" i="29" s="1"/>
  <c r="H159" i="29" s="1"/>
  <c r="M512" i="29"/>
  <c r="G519" i="29" s="1"/>
  <c r="G159" i="29"/>
  <c r="G518" i="29"/>
  <c r="I281" i="29"/>
  <c r="H284" i="29"/>
  <c r="I221" i="29"/>
  <c r="J221" i="29" s="1"/>
  <c r="K218" i="29" s="1"/>
  <c r="M218" i="29" s="1"/>
  <c r="H221" i="29"/>
  <c r="H141" i="29"/>
  <c r="P141" i="29" s="1"/>
  <c r="P60" i="29"/>
  <c r="M402" i="29"/>
  <c r="G410" i="29"/>
  <c r="R143" i="26"/>
  <c r="R46" i="26"/>
  <c r="M327" i="26"/>
  <c r="M488" i="26"/>
  <c r="H636" i="26"/>
  <c r="I636" i="26" s="1"/>
  <c r="H635" i="26"/>
  <c r="I635" i="26" s="1"/>
  <c r="H634" i="26"/>
  <c r="H637" i="26"/>
  <c r="I637" i="26" s="1"/>
  <c r="K552" i="26"/>
  <c r="L552" i="26" s="1"/>
  <c r="H90" i="26" s="1"/>
  <c r="R68" i="26"/>
  <c r="M413" i="26"/>
  <c r="R165" i="26"/>
  <c r="G422" i="26"/>
  <c r="L252" i="26"/>
  <c r="I35" i="26" s="1"/>
  <c r="M252" i="26"/>
  <c r="K253" i="26"/>
  <c r="L551" i="26"/>
  <c r="G90" i="26" s="1"/>
  <c r="G115" i="26" s="1"/>
  <c r="M551" i="26"/>
  <c r="C55" i="20"/>
  <c r="F85" i="20"/>
  <c r="K78" i="20"/>
  <c r="D39" i="20" s="1"/>
  <c r="D55" i="20" s="1"/>
  <c r="L78" i="20"/>
  <c r="F86" i="20" s="1"/>
  <c r="J79" i="20"/>
  <c r="L400" i="19"/>
  <c r="H57" i="19" s="1"/>
  <c r="H154" i="19" s="1"/>
  <c r="K467" i="19"/>
  <c r="K468" i="19" s="1"/>
  <c r="K469" i="19" s="1"/>
  <c r="M466" i="19"/>
  <c r="G474" i="19" s="1"/>
  <c r="G165" i="19"/>
  <c r="G187" i="19"/>
  <c r="R101" i="19"/>
  <c r="K325" i="19"/>
  <c r="L324" i="19"/>
  <c r="G46" i="19" s="1"/>
  <c r="M324" i="19"/>
  <c r="G332" i="19" s="1"/>
  <c r="L401" i="19"/>
  <c r="I57" i="19" s="1"/>
  <c r="I154" i="19" s="1"/>
  <c r="M401" i="19"/>
  <c r="K402" i="19"/>
  <c r="L608" i="19"/>
  <c r="H90" i="19" s="1"/>
  <c r="H187" i="19" s="1"/>
  <c r="M608" i="19"/>
  <c r="G616" i="19" s="1"/>
  <c r="H132" i="19"/>
  <c r="I544" i="19"/>
  <c r="J544" i="19" s="1"/>
  <c r="K541" i="19" s="1"/>
  <c r="L252" i="19"/>
  <c r="I35" i="19" s="1"/>
  <c r="R35" i="19" s="1"/>
  <c r="M252" i="19"/>
  <c r="G260" i="19" s="1"/>
  <c r="G262" i="19" s="1"/>
  <c r="G615" i="19"/>
  <c r="K609" i="19"/>
  <c r="K610" i="19" s="1"/>
  <c r="I346" i="29" l="1"/>
  <c r="I347" i="29" s="1"/>
  <c r="J347" i="29" s="1"/>
  <c r="H347" i="29"/>
  <c r="I582" i="29"/>
  <c r="H583" i="29"/>
  <c r="M467" i="19"/>
  <c r="G475" i="19" s="1"/>
  <c r="L467" i="19"/>
  <c r="H68" i="19" s="1"/>
  <c r="H165" i="19" s="1"/>
  <c r="M685" i="19"/>
  <c r="H690" i="19" s="1"/>
  <c r="M513" i="29"/>
  <c r="P159" i="29"/>
  <c r="P78" i="29"/>
  <c r="G226" i="29"/>
  <c r="H235" i="29" s="1"/>
  <c r="G36" i="29" s="1"/>
  <c r="K219" i="29"/>
  <c r="L218" i="29"/>
  <c r="G34" i="29" s="1"/>
  <c r="I284" i="29"/>
  <c r="J284" i="29" s="1"/>
  <c r="K281" i="29" s="1"/>
  <c r="M281" i="29" s="1"/>
  <c r="H407" i="29"/>
  <c r="H408" i="29" s="1"/>
  <c r="I408" i="29" s="1"/>
  <c r="H333" i="26"/>
  <c r="I333" i="26" s="1"/>
  <c r="H332" i="26"/>
  <c r="I332" i="26" s="1"/>
  <c r="H493" i="26"/>
  <c r="I634" i="26"/>
  <c r="H638" i="26"/>
  <c r="K553" i="26"/>
  <c r="K554" i="26" s="1"/>
  <c r="M552" i="26"/>
  <c r="G560" i="26" s="1"/>
  <c r="H418" i="26"/>
  <c r="H419" i="26" s="1"/>
  <c r="I419" i="26" s="1"/>
  <c r="G260" i="26"/>
  <c r="G262" i="26" s="1"/>
  <c r="M253" i="26"/>
  <c r="R35" i="26"/>
  <c r="I132" i="26"/>
  <c r="R132" i="26" s="1"/>
  <c r="H187" i="26"/>
  <c r="H115" i="26"/>
  <c r="D74" i="8" s="1"/>
  <c r="G559" i="26"/>
  <c r="G187" i="26"/>
  <c r="C74" i="8"/>
  <c r="K79" i="20"/>
  <c r="E39" i="20" s="1"/>
  <c r="E55" i="20" s="1"/>
  <c r="K55" i="20" s="1"/>
  <c r="L79" i="20"/>
  <c r="F87" i="20" s="1"/>
  <c r="F89" i="20" s="1"/>
  <c r="J80" i="20"/>
  <c r="G143" i="19"/>
  <c r="R154" i="19"/>
  <c r="R57" i="19"/>
  <c r="L325" i="19"/>
  <c r="H46" i="19" s="1"/>
  <c r="H143" i="19" s="1"/>
  <c r="M325" i="19"/>
  <c r="K326" i="19"/>
  <c r="K327" i="19" s="1"/>
  <c r="L541" i="19"/>
  <c r="G79" i="19" s="1"/>
  <c r="K542" i="19"/>
  <c r="M541" i="19"/>
  <c r="L609" i="19"/>
  <c r="I90" i="19" s="1"/>
  <c r="R90" i="19" s="1"/>
  <c r="M609" i="19"/>
  <c r="I132" i="19"/>
  <c r="M253" i="19"/>
  <c r="G409" i="19"/>
  <c r="M402" i="19"/>
  <c r="L468" i="19"/>
  <c r="I68" i="19" s="1"/>
  <c r="I165" i="19" s="1"/>
  <c r="M468" i="19"/>
  <c r="R165" i="19" l="1"/>
  <c r="H692" i="19"/>
  <c r="I692" i="19" s="1"/>
  <c r="K344" i="29"/>
  <c r="K345" i="29" s="1"/>
  <c r="K346" i="29" s="1"/>
  <c r="K347" i="29" s="1"/>
  <c r="I583" i="29"/>
  <c r="I584" i="29" s="1"/>
  <c r="J584" i="29" s="1"/>
  <c r="H584" i="29"/>
  <c r="H691" i="19"/>
  <c r="I691" i="19" s="1"/>
  <c r="H693" i="19"/>
  <c r="I693" i="19" s="1"/>
  <c r="H334" i="26"/>
  <c r="I334" i="26" s="1"/>
  <c r="H335" i="26"/>
  <c r="I335" i="26" s="1"/>
  <c r="H420" i="26"/>
  <c r="I420" i="26" s="1"/>
  <c r="K282" i="29"/>
  <c r="K283" i="29" s="1"/>
  <c r="L281" i="29"/>
  <c r="G43" i="29" s="1"/>
  <c r="G115" i="29"/>
  <c r="G289" i="29"/>
  <c r="L219" i="29"/>
  <c r="H34" i="29" s="1"/>
  <c r="H115" i="29" s="1"/>
  <c r="K220" i="29"/>
  <c r="M219" i="29"/>
  <c r="H409" i="29"/>
  <c r="I409" i="29" s="1"/>
  <c r="I407" i="29"/>
  <c r="H226" i="29"/>
  <c r="G35" i="29" s="1"/>
  <c r="I493" i="26"/>
  <c r="H494" i="26"/>
  <c r="I494" i="26" s="1"/>
  <c r="M553" i="26"/>
  <c r="G561" i="26" s="1"/>
  <c r="G563" i="26" s="1"/>
  <c r="L553" i="26"/>
  <c r="I90" i="26" s="1"/>
  <c r="I187" i="26" s="1"/>
  <c r="R187" i="26" s="1"/>
  <c r="I638" i="26"/>
  <c r="I418" i="26"/>
  <c r="H261" i="26"/>
  <c r="I261" i="26" s="1"/>
  <c r="H259" i="26"/>
  <c r="I259" i="26" s="1"/>
  <c r="H260" i="26"/>
  <c r="I260" i="26" s="1"/>
  <c r="H258" i="26"/>
  <c r="C94" i="8"/>
  <c r="D94" i="8"/>
  <c r="H211" i="26"/>
  <c r="G211" i="26"/>
  <c r="K39" i="20"/>
  <c r="M39" i="20" s="1"/>
  <c r="L80" i="20"/>
  <c r="G85" i="20" s="1"/>
  <c r="R68" i="19"/>
  <c r="R132" i="19"/>
  <c r="G115" i="19"/>
  <c r="C42" i="7" s="1"/>
  <c r="G176" i="19"/>
  <c r="G211" i="19" s="1"/>
  <c r="G333" i="19"/>
  <c r="L326" i="19"/>
  <c r="I46" i="19" s="1"/>
  <c r="I143" i="19" s="1"/>
  <c r="M326" i="19"/>
  <c r="G334" i="19" s="1"/>
  <c r="I690" i="19"/>
  <c r="L542" i="19"/>
  <c r="H79" i="19" s="1"/>
  <c r="H176" i="19" s="1"/>
  <c r="M542" i="19"/>
  <c r="G550" i="19" s="1"/>
  <c r="G476" i="19"/>
  <c r="M469" i="19"/>
  <c r="G411" i="19"/>
  <c r="I187" i="19"/>
  <c r="G549" i="19"/>
  <c r="K543" i="19"/>
  <c r="K544" i="19" s="1"/>
  <c r="H260" i="19"/>
  <c r="I260" i="19" s="1"/>
  <c r="H259" i="19"/>
  <c r="I259" i="19" s="1"/>
  <c r="H258" i="19"/>
  <c r="H261" i="19"/>
  <c r="I261" i="19" s="1"/>
  <c r="H407" i="19"/>
  <c r="H409" i="19"/>
  <c r="I409" i="19" s="1"/>
  <c r="H410" i="19"/>
  <c r="I410" i="19" s="1"/>
  <c r="H408" i="19"/>
  <c r="I408" i="19" s="1"/>
  <c r="G617" i="19"/>
  <c r="M610" i="19"/>
  <c r="K581" i="29" l="1"/>
  <c r="K582" i="29" s="1"/>
  <c r="L346" i="29"/>
  <c r="I52" i="29" s="1"/>
  <c r="I133" i="29" s="1"/>
  <c r="M346" i="29"/>
  <c r="G354" i="29" s="1"/>
  <c r="H363" i="29" s="1"/>
  <c r="M345" i="29"/>
  <c r="G353" i="29" s="1"/>
  <c r="L345" i="29"/>
  <c r="H52" i="29" s="1"/>
  <c r="H133" i="29" s="1"/>
  <c r="L344" i="29"/>
  <c r="G52" i="29" s="1"/>
  <c r="M344" i="29"/>
  <c r="G352" i="29" s="1"/>
  <c r="H694" i="19"/>
  <c r="H336" i="26"/>
  <c r="I336" i="26"/>
  <c r="J336" i="26" s="1"/>
  <c r="K332" i="26" s="1"/>
  <c r="L332" i="26" s="1"/>
  <c r="G47" i="26" s="1"/>
  <c r="H421" i="26"/>
  <c r="H410" i="29"/>
  <c r="H298" i="29"/>
  <c r="H289" i="29"/>
  <c r="L283" i="29"/>
  <c r="I43" i="29" s="1"/>
  <c r="I124" i="29" s="1"/>
  <c r="M283" i="29"/>
  <c r="G291" i="29" s="1"/>
  <c r="K221" i="29"/>
  <c r="L220" i="29"/>
  <c r="I34" i="29" s="1"/>
  <c r="I115" i="29" s="1"/>
  <c r="P115" i="29" s="1"/>
  <c r="M220" i="29"/>
  <c r="G228" i="29" s="1"/>
  <c r="H237" i="29" s="1"/>
  <c r="I36" i="29" s="1"/>
  <c r="K284" i="29"/>
  <c r="G227" i="29"/>
  <c r="H236" i="29" s="1"/>
  <c r="H36" i="29" s="1"/>
  <c r="G124" i="29"/>
  <c r="L282" i="29"/>
  <c r="H43" i="29" s="1"/>
  <c r="H124" i="29" s="1"/>
  <c r="M282" i="29"/>
  <c r="G116" i="29"/>
  <c r="I410" i="29"/>
  <c r="J410" i="29" s="1"/>
  <c r="I226" i="29"/>
  <c r="G235" i="29" s="1"/>
  <c r="I115" i="26"/>
  <c r="E74" i="8" s="1"/>
  <c r="N74" i="8" s="1"/>
  <c r="I211" i="26"/>
  <c r="R90" i="26"/>
  <c r="R115" i="26" s="1"/>
  <c r="H495" i="26"/>
  <c r="M554" i="26"/>
  <c r="H562" i="26" s="1"/>
  <c r="I562" i="26" s="1"/>
  <c r="J638" i="26"/>
  <c r="I258" i="26"/>
  <c r="H262" i="26"/>
  <c r="R211" i="26"/>
  <c r="G87" i="20"/>
  <c r="H87" i="20" s="1"/>
  <c r="G88" i="20"/>
  <c r="H88" i="20" s="1"/>
  <c r="G86" i="20"/>
  <c r="H86" i="20" s="1"/>
  <c r="H85" i="20"/>
  <c r="H115" i="19"/>
  <c r="D42" i="7" s="1"/>
  <c r="R46" i="19"/>
  <c r="R187" i="19"/>
  <c r="R143" i="19"/>
  <c r="H211" i="19"/>
  <c r="M327" i="19"/>
  <c r="G336" i="19"/>
  <c r="C62" i="7"/>
  <c r="G619" i="19"/>
  <c r="L543" i="19"/>
  <c r="I79" i="19" s="1"/>
  <c r="I176" i="19" s="1"/>
  <c r="R176" i="19" s="1"/>
  <c r="M543" i="19"/>
  <c r="H262" i="19"/>
  <c r="I258" i="19"/>
  <c r="H475" i="19"/>
  <c r="I475" i="19" s="1"/>
  <c r="H476" i="19"/>
  <c r="I476" i="19" s="1"/>
  <c r="H477" i="19"/>
  <c r="I477" i="19" s="1"/>
  <c r="H474" i="19"/>
  <c r="I694" i="19"/>
  <c r="J694" i="19" s="1"/>
  <c r="K690" i="19" s="1"/>
  <c r="H615" i="19"/>
  <c r="H616" i="19"/>
  <c r="I616" i="19" s="1"/>
  <c r="H411" i="19"/>
  <c r="I407" i="19"/>
  <c r="G478" i="19"/>
  <c r="K583" i="29" l="1"/>
  <c r="K584" i="29" s="1"/>
  <c r="L582" i="29"/>
  <c r="H88" i="29" s="1"/>
  <c r="H169" i="29" s="1"/>
  <c r="M582" i="29"/>
  <c r="G590" i="29" s="1"/>
  <c r="H599" i="29" s="1"/>
  <c r="H90" i="29" s="1"/>
  <c r="L581" i="29"/>
  <c r="G88" i="29" s="1"/>
  <c r="G169" i="29" s="1"/>
  <c r="M581" i="29"/>
  <c r="G589" i="29" s="1"/>
  <c r="H598" i="29" s="1"/>
  <c r="G90" i="29" s="1"/>
  <c r="H362" i="29"/>
  <c r="H54" i="29" s="1"/>
  <c r="H353" i="29"/>
  <c r="H53" i="29" s="1"/>
  <c r="H134" i="29" s="1"/>
  <c r="H361" i="29"/>
  <c r="G54" i="29" s="1"/>
  <c r="H352" i="29"/>
  <c r="M347" i="29"/>
  <c r="G133" i="29"/>
  <c r="P52" i="29"/>
  <c r="M332" i="26"/>
  <c r="G341" i="26" s="1"/>
  <c r="H351" i="26" s="1"/>
  <c r="K333" i="26"/>
  <c r="K334" i="26" s="1"/>
  <c r="L334" i="26" s="1"/>
  <c r="I47" i="26" s="1"/>
  <c r="I144" i="26" s="1"/>
  <c r="H354" i="29"/>
  <c r="G356" i="29"/>
  <c r="I421" i="26"/>
  <c r="I422" i="26" s="1"/>
  <c r="J422" i="26" s="1"/>
  <c r="K418" i="26" s="1"/>
  <c r="H422" i="26"/>
  <c r="P36" i="29"/>
  <c r="M221" i="29"/>
  <c r="P34" i="29"/>
  <c r="H227" i="29"/>
  <c r="H35" i="29" s="1"/>
  <c r="I54" i="29"/>
  <c r="G44" i="29"/>
  <c r="P43" i="29"/>
  <c r="H291" i="29"/>
  <c r="I44" i="29" s="1"/>
  <c r="I125" i="29" s="1"/>
  <c r="H300" i="29"/>
  <c r="I45" i="29" s="1"/>
  <c r="G45" i="29"/>
  <c r="G290" i="29"/>
  <c r="M284" i="29"/>
  <c r="P124" i="29"/>
  <c r="I289" i="29"/>
  <c r="G117" i="29"/>
  <c r="L583" i="29"/>
  <c r="I88" i="29" s="1"/>
  <c r="M583" i="29"/>
  <c r="H589" i="29"/>
  <c r="K407" i="29"/>
  <c r="H228" i="29"/>
  <c r="I458" i="29"/>
  <c r="J458" i="29" s="1"/>
  <c r="E94" i="8"/>
  <c r="H559" i="26"/>
  <c r="I559" i="26" s="1"/>
  <c r="H561" i="26"/>
  <c r="I561" i="26" s="1"/>
  <c r="H560" i="26"/>
  <c r="I560" i="26" s="1"/>
  <c r="I495" i="26"/>
  <c r="H496" i="26"/>
  <c r="I496" i="26" s="1"/>
  <c r="K634" i="26"/>
  <c r="I262" i="26"/>
  <c r="P74" i="8"/>
  <c r="G144" i="26"/>
  <c r="G89" i="20"/>
  <c r="H89" i="20"/>
  <c r="I89" i="20" s="1"/>
  <c r="J85" i="20" s="1"/>
  <c r="I115" i="19"/>
  <c r="E42" i="7" s="1"/>
  <c r="R211" i="19"/>
  <c r="I211" i="19"/>
  <c r="R79" i="19"/>
  <c r="R115" i="19" s="1"/>
  <c r="H333" i="19"/>
  <c r="I333" i="19" s="1"/>
  <c r="H334" i="19"/>
  <c r="I334" i="19" s="1"/>
  <c r="H335" i="19"/>
  <c r="I335" i="19" s="1"/>
  <c r="H332" i="19"/>
  <c r="H617" i="19"/>
  <c r="I617" i="19" s="1"/>
  <c r="I411" i="19"/>
  <c r="J411" i="19" s="1"/>
  <c r="K407" i="19" s="1"/>
  <c r="L690" i="19"/>
  <c r="G102" i="19" s="1"/>
  <c r="G551" i="19"/>
  <c r="M544" i="19"/>
  <c r="I615" i="19"/>
  <c r="K691" i="19"/>
  <c r="K692" i="19" s="1"/>
  <c r="H478" i="19"/>
  <c r="I474" i="19"/>
  <c r="I262" i="19"/>
  <c r="J262" i="19" s="1"/>
  <c r="M690" i="19"/>
  <c r="G699" i="19" s="1"/>
  <c r="H709" i="19" s="1"/>
  <c r="G104" i="19" s="1"/>
  <c r="H590" i="29" l="1"/>
  <c r="H89" i="29" s="1"/>
  <c r="H170" i="29" s="1"/>
  <c r="H171" i="29" s="1"/>
  <c r="H366" i="29"/>
  <c r="C385" i="29" s="1"/>
  <c r="H356" i="29"/>
  <c r="C384" i="29" s="1"/>
  <c r="I353" i="29"/>
  <c r="G362" i="29" s="1"/>
  <c r="I362" i="29" s="1"/>
  <c r="P54" i="29"/>
  <c r="H135" i="29"/>
  <c r="I352" i="29"/>
  <c r="G361" i="29" s="1"/>
  <c r="I361" i="29" s="1"/>
  <c r="G53" i="29"/>
  <c r="G134" i="29" s="1"/>
  <c r="G135" i="29" s="1"/>
  <c r="P133" i="29"/>
  <c r="I53" i="29"/>
  <c r="I134" i="29" s="1"/>
  <c r="M334" i="26"/>
  <c r="G343" i="26" s="1"/>
  <c r="H353" i="26" s="1"/>
  <c r="K335" i="26"/>
  <c r="K336" i="26" s="1"/>
  <c r="M333" i="26"/>
  <c r="G342" i="26" s="1"/>
  <c r="H352" i="26" s="1"/>
  <c r="L333" i="26"/>
  <c r="H47" i="26" s="1"/>
  <c r="H144" i="26" s="1"/>
  <c r="I354" i="29"/>
  <c r="G363" i="29" s="1"/>
  <c r="N94" i="8"/>
  <c r="I227" i="29"/>
  <c r="G236" i="29" s="1"/>
  <c r="I126" i="29"/>
  <c r="H290" i="29"/>
  <c r="I290" i="29" s="1"/>
  <c r="G299" i="29" s="1"/>
  <c r="H299" i="29"/>
  <c r="G293" i="29"/>
  <c r="G125" i="29"/>
  <c r="G298" i="29"/>
  <c r="I291" i="29"/>
  <c r="G300" i="29" s="1"/>
  <c r="I300" i="29" s="1"/>
  <c r="I590" i="29"/>
  <c r="G599" i="29" s="1"/>
  <c r="I599" i="29" s="1"/>
  <c r="H116" i="29"/>
  <c r="I169" i="29"/>
  <c r="P88" i="29"/>
  <c r="I589" i="29"/>
  <c r="G598" i="29" s="1"/>
  <c r="G89" i="29"/>
  <c r="K458" i="29"/>
  <c r="G463" i="29" s="1"/>
  <c r="G68" i="29"/>
  <c r="I228" i="29"/>
  <c r="G237" i="29" s="1"/>
  <c r="I237" i="29" s="1"/>
  <c r="I35" i="29"/>
  <c r="G591" i="29"/>
  <c r="M584" i="29"/>
  <c r="L407" i="29"/>
  <c r="G61" i="29" s="1"/>
  <c r="M407" i="29"/>
  <c r="K408" i="29"/>
  <c r="K409" i="29" s="1"/>
  <c r="I238" i="29"/>
  <c r="I235" i="29"/>
  <c r="P173" i="29"/>
  <c r="P172" i="29"/>
  <c r="H497" i="26"/>
  <c r="I497" i="26"/>
  <c r="J497" i="26" s="1"/>
  <c r="K493" i="26" s="1"/>
  <c r="H563" i="26"/>
  <c r="L634" i="26"/>
  <c r="G102" i="26" s="1"/>
  <c r="M634" i="26"/>
  <c r="K635" i="26"/>
  <c r="M418" i="26"/>
  <c r="G427" i="26" s="1"/>
  <c r="H437" i="26" s="1"/>
  <c r="L418" i="26"/>
  <c r="G69" i="26" s="1"/>
  <c r="G166" i="26" s="1"/>
  <c r="K419" i="26"/>
  <c r="L419" i="26" s="1"/>
  <c r="H69" i="26" s="1"/>
  <c r="H166" i="26" s="1"/>
  <c r="J262" i="26"/>
  <c r="I563" i="26"/>
  <c r="J563" i="26" s="1"/>
  <c r="H341" i="26"/>
  <c r="K85" i="20"/>
  <c r="C40" i="20" s="1"/>
  <c r="C56" i="20" s="1"/>
  <c r="L85" i="20"/>
  <c r="F94" i="20" s="1"/>
  <c r="J86" i="20"/>
  <c r="G199" i="19"/>
  <c r="H336" i="19"/>
  <c r="I332" i="19"/>
  <c r="H699" i="19"/>
  <c r="G103" i="19" s="1"/>
  <c r="H618" i="19"/>
  <c r="D62" i="7"/>
  <c r="N42" i="7"/>
  <c r="P42" i="7" s="1"/>
  <c r="L692" i="19"/>
  <c r="M692" i="19"/>
  <c r="G701" i="19" s="1"/>
  <c r="L691" i="19"/>
  <c r="M691" i="19"/>
  <c r="G700" i="19" s="1"/>
  <c r="H710" i="19" s="1"/>
  <c r="H104" i="19" s="1"/>
  <c r="K408" i="19"/>
  <c r="G553" i="19"/>
  <c r="L407" i="19"/>
  <c r="G58" i="19" s="1"/>
  <c r="I478" i="19"/>
  <c r="J478" i="19" s="1"/>
  <c r="K258" i="19"/>
  <c r="K259" i="19" s="1"/>
  <c r="K693" i="19"/>
  <c r="H550" i="19"/>
  <c r="I550" i="19" s="1"/>
  <c r="H552" i="19"/>
  <c r="I552" i="19" s="1"/>
  <c r="H551" i="19"/>
  <c r="I551" i="19" s="1"/>
  <c r="H549" i="19"/>
  <c r="M407" i="19"/>
  <c r="G416" i="19" s="1"/>
  <c r="H426" i="19" s="1"/>
  <c r="G60" i="19" s="1"/>
  <c r="P53" i="29" l="1"/>
  <c r="M335" i="26"/>
  <c r="G344" i="26" s="1"/>
  <c r="G346" i="26" s="1"/>
  <c r="H342" i="26"/>
  <c r="H48" i="26" s="1"/>
  <c r="H145" i="26" s="1"/>
  <c r="L335" i="26"/>
  <c r="J47" i="26" s="1"/>
  <c r="J144" i="26" s="1"/>
  <c r="R144" i="26" s="1"/>
  <c r="H343" i="26"/>
  <c r="I48" i="26" s="1"/>
  <c r="I145" i="26" s="1"/>
  <c r="I356" i="29"/>
  <c r="I299" i="29"/>
  <c r="I293" i="29"/>
  <c r="H45" i="29"/>
  <c r="P45" i="29" s="1"/>
  <c r="H303" i="29"/>
  <c r="C322" i="29" s="1"/>
  <c r="I298" i="29"/>
  <c r="G303" i="29"/>
  <c r="I363" i="29"/>
  <c r="I366" i="29" s="1"/>
  <c r="G366" i="29"/>
  <c r="H44" i="29"/>
  <c r="H293" i="29"/>
  <c r="C321" i="29" s="1"/>
  <c r="G193" i="29" s="1"/>
  <c r="D86" i="5" s="1"/>
  <c r="E86" i="5" s="1"/>
  <c r="G126" i="29"/>
  <c r="I135" i="29"/>
  <c r="P135" i="29" s="1"/>
  <c r="P134" i="29"/>
  <c r="G593" i="29"/>
  <c r="H600" i="29"/>
  <c r="I90" i="29" s="1"/>
  <c r="P90" i="29" s="1"/>
  <c r="H463" i="29"/>
  <c r="H464" i="29" s="1"/>
  <c r="I464" i="29" s="1"/>
  <c r="H117" i="29"/>
  <c r="G142" i="29"/>
  <c r="P68" i="29"/>
  <c r="P98" i="29" s="1"/>
  <c r="G149" i="29"/>
  <c r="G98" i="29"/>
  <c r="C96" i="22" s="1"/>
  <c r="H591" i="29"/>
  <c r="I116" i="29"/>
  <c r="P116" i="29" s="1"/>
  <c r="P169" i="29"/>
  <c r="G170" i="29"/>
  <c r="P35" i="29"/>
  <c r="I598" i="29"/>
  <c r="G465" i="29"/>
  <c r="L409" i="29"/>
  <c r="I61" i="29" s="1"/>
  <c r="M409" i="29"/>
  <c r="G417" i="29" s="1"/>
  <c r="H426" i="29" s="1"/>
  <c r="G415" i="29"/>
  <c r="H424" i="29" s="1"/>
  <c r="L408" i="29"/>
  <c r="H61" i="29" s="1"/>
  <c r="M408" i="29"/>
  <c r="G416" i="29" s="1"/>
  <c r="H425" i="29" s="1"/>
  <c r="K410" i="29"/>
  <c r="H230" i="29"/>
  <c r="C258" i="29" s="1"/>
  <c r="H240" i="29"/>
  <c r="C259" i="29" s="1"/>
  <c r="G230" i="29"/>
  <c r="K494" i="26"/>
  <c r="M494" i="26" s="1"/>
  <c r="G503" i="26" s="1"/>
  <c r="M419" i="26"/>
  <c r="G428" i="26" s="1"/>
  <c r="H438" i="26" s="1"/>
  <c r="L493" i="26"/>
  <c r="G80" i="26" s="1"/>
  <c r="G177" i="26" s="1"/>
  <c r="M493" i="26"/>
  <c r="G502" i="26" s="1"/>
  <c r="H354" i="26"/>
  <c r="H701" i="19"/>
  <c r="I103" i="19" s="1"/>
  <c r="H711" i="19"/>
  <c r="I104" i="19" s="1"/>
  <c r="L635" i="26"/>
  <c r="H102" i="26" s="1"/>
  <c r="H199" i="26" s="1"/>
  <c r="M635" i="26"/>
  <c r="G644" i="26" s="1"/>
  <c r="G643" i="26"/>
  <c r="H653" i="26" s="1"/>
  <c r="G199" i="26"/>
  <c r="K636" i="26"/>
  <c r="K559" i="26"/>
  <c r="H427" i="26"/>
  <c r="G70" i="26" s="1"/>
  <c r="G167" i="26" s="1"/>
  <c r="K420" i="26"/>
  <c r="K258" i="26"/>
  <c r="G48" i="26"/>
  <c r="I341" i="26"/>
  <c r="G94" i="20"/>
  <c r="H94" i="20" s="1"/>
  <c r="J87" i="20"/>
  <c r="J88" i="20" s="1"/>
  <c r="L86" i="20"/>
  <c r="F95" i="20" s="1"/>
  <c r="G95" i="20" s="1"/>
  <c r="K86" i="20"/>
  <c r="D40" i="20" s="1"/>
  <c r="D56" i="20" s="1"/>
  <c r="G155" i="19"/>
  <c r="G200" i="19"/>
  <c r="G201" i="19" s="1"/>
  <c r="I102" i="19"/>
  <c r="I199" i="19" s="1"/>
  <c r="H102" i="19"/>
  <c r="I336" i="19"/>
  <c r="J336" i="19" s="1"/>
  <c r="K332" i="19" s="1"/>
  <c r="I699" i="19"/>
  <c r="G709" i="19" s="1"/>
  <c r="H700" i="19"/>
  <c r="I618" i="19"/>
  <c r="I619" i="19" s="1"/>
  <c r="J619" i="19" s="1"/>
  <c r="K615" i="19" s="1"/>
  <c r="L615" i="19" s="1"/>
  <c r="G91" i="19" s="1"/>
  <c r="H619" i="19"/>
  <c r="H416" i="19"/>
  <c r="G59" i="19" s="1"/>
  <c r="E62" i="7"/>
  <c r="L408" i="19"/>
  <c r="M408" i="19"/>
  <c r="G417" i="19" s="1"/>
  <c r="H427" i="19" s="1"/>
  <c r="H60" i="19" s="1"/>
  <c r="L693" i="19"/>
  <c r="M693" i="19"/>
  <c r="L259" i="19"/>
  <c r="H36" i="19" s="1"/>
  <c r="H133" i="19" s="1"/>
  <c r="M259" i="19"/>
  <c r="G268" i="19" s="1"/>
  <c r="H278" i="19" s="1"/>
  <c r="H38" i="19" s="1"/>
  <c r="K409" i="19"/>
  <c r="H553" i="19"/>
  <c r="I549" i="19"/>
  <c r="L258" i="19"/>
  <c r="G36" i="19" s="1"/>
  <c r="M258" i="19"/>
  <c r="G267" i="19" s="1"/>
  <c r="H277" i="19" s="1"/>
  <c r="G38" i="19" s="1"/>
  <c r="K474" i="19"/>
  <c r="K475" i="19" s="1"/>
  <c r="K694" i="19"/>
  <c r="K260" i="19"/>
  <c r="H344" i="26" l="1"/>
  <c r="J48" i="26" s="1"/>
  <c r="J145" i="26" s="1"/>
  <c r="H603" i="29"/>
  <c r="C622" i="29" s="1"/>
  <c r="M336" i="26"/>
  <c r="I342" i="26"/>
  <c r="G352" i="26" s="1"/>
  <c r="R47" i="26"/>
  <c r="I343" i="26"/>
  <c r="G353" i="26" s="1"/>
  <c r="I49" i="26" s="1"/>
  <c r="I146" i="26" s="1"/>
  <c r="I303" i="29"/>
  <c r="I701" i="19"/>
  <c r="G711" i="19" s="1"/>
  <c r="I711" i="19" s="1"/>
  <c r="H125" i="29"/>
  <c r="P44" i="29"/>
  <c r="I463" i="29"/>
  <c r="I465" i="29" s="1"/>
  <c r="J465" i="29" s="1"/>
  <c r="H465" i="29"/>
  <c r="L96" i="22"/>
  <c r="C114" i="22"/>
  <c r="G171" i="29"/>
  <c r="I117" i="29"/>
  <c r="P149" i="29"/>
  <c r="P178" i="29" s="1"/>
  <c r="G178" i="29"/>
  <c r="I142" i="29"/>
  <c r="I591" i="29"/>
  <c r="I89" i="29"/>
  <c r="P61" i="29"/>
  <c r="H142" i="29"/>
  <c r="H593" i="29"/>
  <c r="C621" i="29" s="1"/>
  <c r="G196" i="29" s="1"/>
  <c r="D170" i="5" s="1"/>
  <c r="E170" i="5" s="1"/>
  <c r="M410" i="29"/>
  <c r="G419" i="29"/>
  <c r="G63" i="29"/>
  <c r="H415" i="29"/>
  <c r="G62" i="29" s="1"/>
  <c r="G143" i="29" s="1"/>
  <c r="H416" i="29"/>
  <c r="H63" i="29"/>
  <c r="H417" i="29"/>
  <c r="I63" i="29"/>
  <c r="L494" i="26"/>
  <c r="H80" i="26" s="1"/>
  <c r="H177" i="26" s="1"/>
  <c r="K495" i="26"/>
  <c r="L495" i="26" s="1"/>
  <c r="I80" i="26" s="1"/>
  <c r="I177" i="26" s="1"/>
  <c r="H428" i="26"/>
  <c r="H70" i="26" s="1"/>
  <c r="H167" i="26" s="1"/>
  <c r="H512" i="26"/>
  <c r="G82" i="26" s="1"/>
  <c r="H502" i="26"/>
  <c r="H503" i="26"/>
  <c r="H81" i="26" s="1"/>
  <c r="H513" i="26"/>
  <c r="H82" i="26" s="1"/>
  <c r="H644" i="26"/>
  <c r="I644" i="26" s="1"/>
  <c r="G654" i="26" s="1"/>
  <c r="H654" i="26"/>
  <c r="I416" i="19"/>
  <c r="G426" i="19" s="1"/>
  <c r="I427" i="26"/>
  <c r="G437" i="26" s="1"/>
  <c r="G71" i="26" s="1"/>
  <c r="H643" i="26"/>
  <c r="L636" i="26"/>
  <c r="I102" i="26" s="1"/>
  <c r="M636" i="26"/>
  <c r="K637" i="26"/>
  <c r="K638" i="26" s="1"/>
  <c r="L559" i="26"/>
  <c r="G91" i="26" s="1"/>
  <c r="G188" i="26" s="1"/>
  <c r="M559" i="26"/>
  <c r="G568" i="26" s="1"/>
  <c r="H578" i="26" s="1"/>
  <c r="K560" i="26"/>
  <c r="K561" i="26" s="1"/>
  <c r="M420" i="26"/>
  <c r="G429" i="26" s="1"/>
  <c r="H439" i="26" s="1"/>
  <c r="L420" i="26"/>
  <c r="I69" i="26" s="1"/>
  <c r="I166" i="26" s="1"/>
  <c r="K421" i="26"/>
  <c r="K422" i="26" s="1"/>
  <c r="I344" i="26"/>
  <c r="G354" i="26" s="1"/>
  <c r="J49" i="26" s="1"/>
  <c r="L258" i="26"/>
  <c r="G36" i="26" s="1"/>
  <c r="M258" i="26"/>
  <c r="K259" i="26"/>
  <c r="R48" i="26"/>
  <c r="G145" i="26"/>
  <c r="G351" i="26"/>
  <c r="H346" i="26"/>
  <c r="C376" i="26" s="1"/>
  <c r="G225" i="26" s="1"/>
  <c r="D83" i="5" s="1"/>
  <c r="H49" i="26"/>
  <c r="H146" i="26" s="1"/>
  <c r="C41" i="20"/>
  <c r="C57" i="20" s="1"/>
  <c r="H95" i="20"/>
  <c r="D41" i="20"/>
  <c r="D57" i="20" s="1"/>
  <c r="K88" i="20"/>
  <c r="F40" i="20" s="1"/>
  <c r="F56" i="20" s="1"/>
  <c r="L88" i="20"/>
  <c r="F97" i="20" s="1"/>
  <c r="K87" i="20"/>
  <c r="E40" i="20" s="1"/>
  <c r="E56" i="20" s="1"/>
  <c r="L87" i="20"/>
  <c r="J89" i="20"/>
  <c r="M615" i="19"/>
  <c r="G624" i="19" s="1"/>
  <c r="H634" i="19" s="1"/>
  <c r="G93" i="19" s="1"/>
  <c r="G188" i="19"/>
  <c r="H199" i="19"/>
  <c r="G156" i="19"/>
  <c r="G157" i="19" s="1"/>
  <c r="G133" i="19"/>
  <c r="I200" i="19"/>
  <c r="I201" i="19" s="1"/>
  <c r="L332" i="19"/>
  <c r="G47" i="19" s="1"/>
  <c r="M332" i="19"/>
  <c r="G341" i="19" s="1"/>
  <c r="H351" i="19" s="1"/>
  <c r="G49" i="19" s="1"/>
  <c r="J102" i="19"/>
  <c r="R102" i="19" s="1"/>
  <c r="I700" i="19"/>
  <c r="G710" i="19" s="1"/>
  <c r="H103" i="19"/>
  <c r="H58" i="19"/>
  <c r="K333" i="19"/>
  <c r="M694" i="19"/>
  <c r="G702" i="19"/>
  <c r="H712" i="19" s="1"/>
  <c r="J104" i="19" s="1"/>
  <c r="R104" i="19" s="1"/>
  <c r="K616" i="19"/>
  <c r="K617" i="19" s="1"/>
  <c r="L617" i="19" s="1"/>
  <c r="H417" i="19"/>
  <c r="H268" i="19"/>
  <c r="H37" i="19" s="1"/>
  <c r="H134" i="19" s="1"/>
  <c r="H135" i="19" s="1"/>
  <c r="H267" i="19"/>
  <c r="G37" i="19" s="1"/>
  <c r="N62" i="7"/>
  <c r="L475" i="19"/>
  <c r="M475" i="19"/>
  <c r="G484" i="19" s="1"/>
  <c r="H494" i="19" s="1"/>
  <c r="H71" i="19" s="1"/>
  <c r="I553" i="19"/>
  <c r="J553" i="19" s="1"/>
  <c r="K549" i="19" s="1"/>
  <c r="M549" i="19" s="1"/>
  <c r="G558" i="19" s="1"/>
  <c r="H568" i="19" s="1"/>
  <c r="G82" i="19" s="1"/>
  <c r="L474" i="19"/>
  <c r="G69" i="19" s="1"/>
  <c r="M474" i="19"/>
  <c r="G483" i="19" s="1"/>
  <c r="H493" i="19" s="1"/>
  <c r="G71" i="19" s="1"/>
  <c r="G118" i="19" s="1"/>
  <c r="L260" i="19"/>
  <c r="I36" i="19" s="1"/>
  <c r="I133" i="19" s="1"/>
  <c r="M260" i="19"/>
  <c r="G269" i="19" s="1"/>
  <c r="H279" i="19" s="1"/>
  <c r="I38" i="19" s="1"/>
  <c r="L409" i="19"/>
  <c r="I58" i="19" s="1"/>
  <c r="I155" i="19" s="1"/>
  <c r="M409" i="19"/>
  <c r="G418" i="19" s="1"/>
  <c r="K410" i="19"/>
  <c r="K476" i="19"/>
  <c r="K261" i="19"/>
  <c r="J146" i="26" l="1"/>
  <c r="I353" i="26"/>
  <c r="E83" i="5"/>
  <c r="H624" i="19"/>
  <c r="I624" i="19" s="1"/>
  <c r="G634" i="19" s="1"/>
  <c r="K56" i="20"/>
  <c r="D183" i="5" s="1"/>
  <c r="D182" i="5" s="1"/>
  <c r="H126" i="29"/>
  <c r="P126" i="29" s="1"/>
  <c r="P125" i="29"/>
  <c r="G134" i="19"/>
  <c r="G135" i="19" s="1"/>
  <c r="I416" i="29"/>
  <c r="G425" i="29" s="1"/>
  <c r="I425" i="29" s="1"/>
  <c r="H62" i="29"/>
  <c r="H143" i="29" s="1"/>
  <c r="G144" i="29"/>
  <c r="L114" i="22"/>
  <c r="I417" i="29"/>
  <c r="G426" i="29" s="1"/>
  <c r="I426" i="29" s="1"/>
  <c r="I62" i="29"/>
  <c r="P63" i="29"/>
  <c r="P117" i="29"/>
  <c r="P89" i="29"/>
  <c r="I170" i="29"/>
  <c r="G600" i="29"/>
  <c r="I593" i="29"/>
  <c r="P142" i="29"/>
  <c r="N96" i="22"/>
  <c r="K463" i="29"/>
  <c r="H429" i="29"/>
  <c r="C448" i="29" s="1"/>
  <c r="H419" i="29"/>
  <c r="C447" i="29" s="1"/>
  <c r="G194" i="29" s="1"/>
  <c r="D101" i="5" s="1"/>
  <c r="E101" i="5" s="1"/>
  <c r="I415" i="29"/>
  <c r="I230" i="29"/>
  <c r="H178" i="26"/>
  <c r="H179" i="26" s="1"/>
  <c r="K496" i="26"/>
  <c r="K497" i="26" s="1"/>
  <c r="L560" i="26"/>
  <c r="H91" i="26" s="1"/>
  <c r="H188" i="26" s="1"/>
  <c r="I428" i="26"/>
  <c r="G438" i="26" s="1"/>
  <c r="M495" i="26"/>
  <c r="G504" i="26" s="1"/>
  <c r="H514" i="26" s="1"/>
  <c r="I82" i="26" s="1"/>
  <c r="G116" i="26"/>
  <c r="C75" i="8" s="1"/>
  <c r="C95" i="8" s="1"/>
  <c r="I503" i="26"/>
  <c r="G513" i="26" s="1"/>
  <c r="I513" i="26" s="1"/>
  <c r="I502" i="26"/>
  <c r="G512" i="26" s="1"/>
  <c r="I512" i="26" s="1"/>
  <c r="G81" i="26"/>
  <c r="G178" i="26" s="1"/>
  <c r="G179" i="26" s="1"/>
  <c r="I654" i="26"/>
  <c r="M560" i="26"/>
  <c r="G569" i="26" s="1"/>
  <c r="H579" i="26" s="1"/>
  <c r="H103" i="26"/>
  <c r="H200" i="26" s="1"/>
  <c r="H418" i="19"/>
  <c r="I418" i="19" s="1"/>
  <c r="G428" i="19" s="1"/>
  <c r="H428" i="19"/>
  <c r="I60" i="19" s="1"/>
  <c r="I437" i="26"/>
  <c r="I346" i="26"/>
  <c r="G645" i="26"/>
  <c r="H655" i="26" s="1"/>
  <c r="H104" i="26"/>
  <c r="I199" i="26"/>
  <c r="L637" i="26"/>
  <c r="J102" i="26" s="1"/>
  <c r="J199" i="26" s="1"/>
  <c r="M637" i="26"/>
  <c r="G646" i="26" s="1"/>
  <c r="H656" i="26" s="1"/>
  <c r="I643" i="26"/>
  <c r="G103" i="26"/>
  <c r="K562" i="26"/>
  <c r="K563" i="26" s="1"/>
  <c r="M421" i="26"/>
  <c r="L421" i="26"/>
  <c r="J69" i="26" s="1"/>
  <c r="H429" i="26"/>
  <c r="I70" i="26" s="1"/>
  <c r="I167" i="26" s="1"/>
  <c r="H71" i="26"/>
  <c r="H168" i="26" s="1"/>
  <c r="I352" i="26"/>
  <c r="L259" i="26"/>
  <c r="H36" i="26" s="1"/>
  <c r="H133" i="26" s="1"/>
  <c r="M259" i="26"/>
  <c r="G268" i="26" s="1"/>
  <c r="H278" i="26" s="1"/>
  <c r="G267" i="26"/>
  <c r="H277" i="26" s="1"/>
  <c r="G133" i="26"/>
  <c r="G212" i="26" s="1"/>
  <c r="K260" i="26"/>
  <c r="L561" i="26"/>
  <c r="I91" i="26" s="1"/>
  <c r="M561" i="26"/>
  <c r="G570" i="26" s="1"/>
  <c r="H580" i="26" s="1"/>
  <c r="I354" i="26"/>
  <c r="H568" i="26"/>
  <c r="I568" i="26" s="1"/>
  <c r="R145" i="26"/>
  <c r="G168" i="26"/>
  <c r="I351" i="26"/>
  <c r="G357" i="26"/>
  <c r="D42" i="20"/>
  <c r="D29" i="20" s="1"/>
  <c r="L89" i="20"/>
  <c r="F96" i="20"/>
  <c r="G97" i="20"/>
  <c r="F41" i="20" s="1"/>
  <c r="F57" i="20" s="1"/>
  <c r="C42" i="20"/>
  <c r="C29" i="20" s="1"/>
  <c r="K40" i="20"/>
  <c r="M40" i="20" s="1"/>
  <c r="H200" i="19"/>
  <c r="H201" i="19" s="1"/>
  <c r="G166" i="19"/>
  <c r="H155" i="19"/>
  <c r="G144" i="19"/>
  <c r="J199" i="19"/>
  <c r="R199" i="19" s="1"/>
  <c r="M616" i="19"/>
  <c r="G625" i="19" s="1"/>
  <c r="M617" i="19"/>
  <c r="G626" i="19" s="1"/>
  <c r="I91" i="19"/>
  <c r="I188" i="19" s="1"/>
  <c r="H69" i="19"/>
  <c r="H166" i="19" s="1"/>
  <c r="K334" i="19"/>
  <c r="M333" i="19"/>
  <c r="G342" i="19" s="1"/>
  <c r="L333" i="19"/>
  <c r="K618" i="19"/>
  <c r="K619" i="19" s="1"/>
  <c r="I267" i="19"/>
  <c r="G277" i="19" s="1"/>
  <c r="I417" i="19"/>
  <c r="G427" i="19" s="1"/>
  <c r="H59" i="19"/>
  <c r="I710" i="19"/>
  <c r="I268" i="19"/>
  <c r="G278" i="19" s="1"/>
  <c r="H341" i="19"/>
  <c r="G48" i="19" s="1"/>
  <c r="L616" i="19"/>
  <c r="H702" i="19"/>
  <c r="J103" i="19" s="1"/>
  <c r="R103" i="19" s="1"/>
  <c r="G704" i="19"/>
  <c r="I709" i="19"/>
  <c r="H558" i="19"/>
  <c r="G81" i="19" s="1"/>
  <c r="H483" i="19"/>
  <c r="G70" i="19" s="1"/>
  <c r="H484" i="19"/>
  <c r="H269" i="19"/>
  <c r="I37" i="19" s="1"/>
  <c r="I134" i="19" s="1"/>
  <c r="I135" i="19" s="1"/>
  <c r="L261" i="19"/>
  <c r="J36" i="19" s="1"/>
  <c r="J133" i="19" s="1"/>
  <c r="M261" i="19"/>
  <c r="G270" i="19" s="1"/>
  <c r="H280" i="19" s="1"/>
  <c r="J38" i="19" s="1"/>
  <c r="K262" i="19"/>
  <c r="L476" i="19"/>
  <c r="M476" i="19"/>
  <c r="G485" i="19" s="1"/>
  <c r="K477" i="19"/>
  <c r="K478" i="19" s="1"/>
  <c r="L410" i="19"/>
  <c r="M410" i="19"/>
  <c r="K411" i="19"/>
  <c r="K550" i="19"/>
  <c r="L549" i="19"/>
  <c r="G80" i="19" s="1"/>
  <c r="G116" i="19" s="1"/>
  <c r="C43" i="7" s="1"/>
  <c r="C63" i="7" s="1"/>
  <c r="E183" i="5" l="1"/>
  <c r="E182" i="5" s="1"/>
  <c r="G92" i="19"/>
  <c r="G189" i="19" s="1"/>
  <c r="G190" i="19" s="1"/>
  <c r="R38" i="19"/>
  <c r="I59" i="19"/>
  <c r="I156" i="19" s="1"/>
  <c r="I157" i="19" s="1"/>
  <c r="F42" i="20"/>
  <c r="F29" i="20" s="1"/>
  <c r="H144" i="29"/>
  <c r="I143" i="29"/>
  <c r="G603" i="29"/>
  <c r="I600" i="29"/>
  <c r="I603" i="29" s="1"/>
  <c r="I171" i="29"/>
  <c r="P171" i="29" s="1"/>
  <c r="P170" i="29"/>
  <c r="P62" i="29"/>
  <c r="L463" i="29"/>
  <c r="G69" i="29" s="1"/>
  <c r="M463" i="29"/>
  <c r="K464" i="29"/>
  <c r="K465" i="29" s="1"/>
  <c r="I419" i="29"/>
  <c r="G424" i="29"/>
  <c r="I236" i="29"/>
  <c r="I240" i="29" s="1"/>
  <c r="G240" i="29"/>
  <c r="L496" i="26"/>
  <c r="J80" i="26" s="1"/>
  <c r="R80" i="26" s="1"/>
  <c r="M496" i="26"/>
  <c r="G505" i="26" s="1"/>
  <c r="H515" i="26" s="1"/>
  <c r="H504" i="26"/>
  <c r="I504" i="26" s="1"/>
  <c r="G514" i="26" s="1"/>
  <c r="I514" i="26" s="1"/>
  <c r="H569" i="26"/>
  <c r="H92" i="26" s="1"/>
  <c r="H189" i="26" s="1"/>
  <c r="H201" i="26"/>
  <c r="H116" i="26"/>
  <c r="D75" i="8" s="1"/>
  <c r="D95" i="8" s="1"/>
  <c r="H626" i="19"/>
  <c r="I92" i="19" s="1"/>
  <c r="I189" i="19" s="1"/>
  <c r="H636" i="19"/>
  <c r="I93" i="19" s="1"/>
  <c r="H485" i="19"/>
  <c r="I485" i="19" s="1"/>
  <c r="G495" i="19" s="1"/>
  <c r="H495" i="19"/>
  <c r="I71" i="19" s="1"/>
  <c r="H625" i="19"/>
  <c r="H635" i="19"/>
  <c r="H93" i="19" s="1"/>
  <c r="H342" i="19"/>
  <c r="I342" i="19" s="1"/>
  <c r="G352" i="19" s="1"/>
  <c r="H352" i="19"/>
  <c r="H49" i="19" s="1"/>
  <c r="M638" i="26"/>
  <c r="G653" i="26"/>
  <c r="R199" i="26"/>
  <c r="H646" i="26"/>
  <c r="J103" i="26" s="1"/>
  <c r="J200" i="26" s="1"/>
  <c r="G200" i="26"/>
  <c r="R102" i="26"/>
  <c r="H645" i="26"/>
  <c r="I645" i="26" s="1"/>
  <c r="G648" i="26"/>
  <c r="R69" i="26"/>
  <c r="J166" i="26"/>
  <c r="R166" i="26" s="1"/>
  <c r="I429" i="26"/>
  <c r="G439" i="26" s="1"/>
  <c r="M422" i="26"/>
  <c r="G430" i="26"/>
  <c r="H440" i="26" s="1"/>
  <c r="I357" i="26"/>
  <c r="I438" i="26"/>
  <c r="M260" i="26"/>
  <c r="G269" i="26" s="1"/>
  <c r="H279" i="26" s="1"/>
  <c r="L260" i="26"/>
  <c r="I36" i="26" s="1"/>
  <c r="I133" i="26" s="1"/>
  <c r="H267" i="26"/>
  <c r="I267" i="26" s="1"/>
  <c r="H268" i="26"/>
  <c r="H37" i="26" s="1"/>
  <c r="K261" i="26"/>
  <c r="G578" i="26"/>
  <c r="L562" i="26"/>
  <c r="J91" i="26" s="1"/>
  <c r="J188" i="26" s="1"/>
  <c r="M562" i="26"/>
  <c r="G571" i="26" s="1"/>
  <c r="H581" i="26" s="1"/>
  <c r="H570" i="26"/>
  <c r="I92" i="26" s="1"/>
  <c r="H212" i="26"/>
  <c r="I188" i="26"/>
  <c r="H357" i="26"/>
  <c r="C377" i="26" s="1"/>
  <c r="G49" i="26"/>
  <c r="G92" i="26"/>
  <c r="H97" i="20"/>
  <c r="G96" i="20"/>
  <c r="F99" i="20"/>
  <c r="I341" i="19"/>
  <c r="G351" i="19" s="1"/>
  <c r="G167" i="19"/>
  <c r="G168" i="19" s="1"/>
  <c r="H156" i="19"/>
  <c r="H157" i="19" s="1"/>
  <c r="G177" i="19"/>
  <c r="G145" i="19"/>
  <c r="G146" i="19" s="1"/>
  <c r="R36" i="19"/>
  <c r="R133" i="19"/>
  <c r="J200" i="19"/>
  <c r="I558" i="19"/>
  <c r="G568" i="19" s="1"/>
  <c r="I69" i="19"/>
  <c r="I166" i="19" s="1"/>
  <c r="L334" i="19"/>
  <c r="M334" i="19"/>
  <c r="G343" i="19" s="1"/>
  <c r="I428" i="19"/>
  <c r="M618" i="19"/>
  <c r="M619" i="19" s="1"/>
  <c r="J58" i="19"/>
  <c r="G117" i="19"/>
  <c r="C44" i="7" s="1"/>
  <c r="I269" i="19"/>
  <c r="G279" i="19" s="1"/>
  <c r="I484" i="19"/>
  <c r="G494" i="19" s="1"/>
  <c r="H70" i="19"/>
  <c r="H167" i="19" s="1"/>
  <c r="H168" i="19" s="1"/>
  <c r="H91" i="19"/>
  <c r="L618" i="19"/>
  <c r="J91" i="19" s="1"/>
  <c r="J188" i="19" s="1"/>
  <c r="I277" i="19"/>
  <c r="I483" i="19"/>
  <c r="G493" i="19" s="1"/>
  <c r="K335" i="19"/>
  <c r="H47" i="19"/>
  <c r="I427" i="19"/>
  <c r="I702" i="19"/>
  <c r="H704" i="19"/>
  <c r="C734" i="19" s="1"/>
  <c r="G228" i="19" s="1"/>
  <c r="D164" i="5" s="1"/>
  <c r="M411" i="19"/>
  <c r="G419" i="19"/>
  <c r="H429" i="19" s="1"/>
  <c r="J60" i="19" s="1"/>
  <c r="R60" i="19" s="1"/>
  <c r="I426" i="19"/>
  <c r="I278" i="19"/>
  <c r="H270" i="19"/>
  <c r="J37" i="19" s="1"/>
  <c r="J134" i="19" s="1"/>
  <c r="J135" i="19" s="1"/>
  <c r="M262" i="19"/>
  <c r="G272" i="19"/>
  <c r="L550" i="19"/>
  <c r="H80" i="19" s="1"/>
  <c r="H177" i="19" s="1"/>
  <c r="M550" i="19"/>
  <c r="G559" i="19" s="1"/>
  <c r="H569" i="19" s="1"/>
  <c r="H82" i="19" s="1"/>
  <c r="L477" i="19"/>
  <c r="J69" i="19" s="1"/>
  <c r="J166" i="19" s="1"/>
  <c r="M477" i="19"/>
  <c r="K551" i="19"/>
  <c r="H118" i="19" l="1"/>
  <c r="I190" i="19"/>
  <c r="R135" i="19"/>
  <c r="R200" i="19"/>
  <c r="J201" i="19"/>
  <c r="R201" i="19" s="1"/>
  <c r="J177" i="26"/>
  <c r="R177" i="26" s="1"/>
  <c r="I626" i="19"/>
  <c r="H505" i="26"/>
  <c r="J81" i="26" s="1"/>
  <c r="I351" i="19"/>
  <c r="G627" i="19"/>
  <c r="H637" i="19" s="1"/>
  <c r="J93" i="19" s="1"/>
  <c r="R93" i="19" s="1"/>
  <c r="I144" i="29"/>
  <c r="P143" i="29"/>
  <c r="G99" i="29"/>
  <c r="C97" i="22" s="1"/>
  <c r="G150" i="29"/>
  <c r="H518" i="29"/>
  <c r="H519" i="29" s="1"/>
  <c r="I519" i="29" s="1"/>
  <c r="G521" i="29"/>
  <c r="L464" i="29"/>
  <c r="H69" i="29" s="1"/>
  <c r="P69" i="29" s="1"/>
  <c r="P99" i="29" s="1"/>
  <c r="M464" i="29"/>
  <c r="G471" i="29" s="1"/>
  <c r="G470" i="29"/>
  <c r="I424" i="29"/>
  <c r="I429" i="29" s="1"/>
  <c r="G429" i="29"/>
  <c r="P163" i="29"/>
  <c r="P164" i="29"/>
  <c r="G507" i="26"/>
  <c r="M497" i="26"/>
  <c r="I81" i="26"/>
  <c r="I178" i="26" s="1"/>
  <c r="I179" i="26" s="1"/>
  <c r="I569" i="26"/>
  <c r="G579" i="26" s="1"/>
  <c r="H93" i="26" s="1"/>
  <c r="H190" i="26" s="1"/>
  <c r="H48" i="19"/>
  <c r="I70" i="19"/>
  <c r="I167" i="19" s="1"/>
  <c r="I168" i="19" s="1"/>
  <c r="H343" i="19"/>
  <c r="I343" i="19" s="1"/>
  <c r="G353" i="19" s="1"/>
  <c r="H353" i="19"/>
  <c r="I49" i="19" s="1"/>
  <c r="H92" i="19"/>
  <c r="I625" i="19"/>
  <c r="G635" i="19" s="1"/>
  <c r="I635" i="19" s="1"/>
  <c r="I116" i="26"/>
  <c r="E75" i="8" s="1"/>
  <c r="E95" i="8" s="1"/>
  <c r="I646" i="26"/>
  <c r="G656" i="26" s="1"/>
  <c r="G655" i="26"/>
  <c r="J104" i="26"/>
  <c r="J201" i="26" s="1"/>
  <c r="I103" i="26"/>
  <c r="H648" i="26"/>
  <c r="C678" i="26" s="1"/>
  <c r="G228" i="26" s="1"/>
  <c r="D167" i="5" s="1"/>
  <c r="E167" i="5" s="1"/>
  <c r="J82" i="26"/>
  <c r="H518" i="26"/>
  <c r="C529" i="26" s="1"/>
  <c r="I71" i="26"/>
  <c r="I168" i="26" s="1"/>
  <c r="G432" i="26"/>
  <c r="H430" i="26"/>
  <c r="I268" i="26"/>
  <c r="G278" i="26" s="1"/>
  <c r="I278" i="26" s="1"/>
  <c r="R91" i="26"/>
  <c r="M261" i="26"/>
  <c r="G270" i="26" s="1"/>
  <c r="H280" i="26" s="1"/>
  <c r="L261" i="26"/>
  <c r="J36" i="26" s="1"/>
  <c r="R36" i="26" s="1"/>
  <c r="K262" i="26"/>
  <c r="G277" i="26"/>
  <c r="H117" i="26"/>
  <c r="D76" i="8" s="1"/>
  <c r="D96" i="8" s="1"/>
  <c r="H134" i="26"/>
  <c r="H213" i="26" s="1"/>
  <c r="G37" i="26"/>
  <c r="G117" i="26" s="1"/>
  <c r="C76" i="8" s="1"/>
  <c r="H269" i="26"/>
  <c r="I37" i="26" s="1"/>
  <c r="I134" i="26" s="1"/>
  <c r="G189" i="26"/>
  <c r="R49" i="26"/>
  <c r="G146" i="26"/>
  <c r="R146" i="26" s="1"/>
  <c r="I212" i="26"/>
  <c r="I189" i="26"/>
  <c r="R188" i="26"/>
  <c r="M563" i="26"/>
  <c r="H38" i="26"/>
  <c r="I570" i="26"/>
  <c r="H571" i="26"/>
  <c r="I571" i="26" s="1"/>
  <c r="G581" i="26" s="1"/>
  <c r="G573" i="26"/>
  <c r="H96" i="20"/>
  <c r="H99" i="20" s="1"/>
  <c r="E41" i="20"/>
  <c r="G99" i="20"/>
  <c r="B104" i="20" s="1"/>
  <c r="H144" i="19"/>
  <c r="G178" i="19"/>
  <c r="G212" i="19"/>
  <c r="R166" i="19"/>
  <c r="H188" i="19"/>
  <c r="R91" i="19"/>
  <c r="J155" i="19"/>
  <c r="R58" i="19"/>
  <c r="R69" i="19"/>
  <c r="I494" i="19"/>
  <c r="I47" i="19"/>
  <c r="I144" i="19" s="1"/>
  <c r="K336" i="19"/>
  <c r="L335" i="19"/>
  <c r="J47" i="19" s="1"/>
  <c r="J144" i="19" s="1"/>
  <c r="M335" i="19"/>
  <c r="I634" i="19"/>
  <c r="H272" i="19"/>
  <c r="C301" i="19" s="1"/>
  <c r="I495" i="19"/>
  <c r="I279" i="19"/>
  <c r="I352" i="19"/>
  <c r="H116" i="19"/>
  <c r="D43" i="7" s="1"/>
  <c r="D63" i="7" s="1"/>
  <c r="G712" i="19"/>
  <c r="I704" i="19"/>
  <c r="E164" i="5"/>
  <c r="G636" i="19"/>
  <c r="H627" i="19"/>
  <c r="H559" i="19"/>
  <c r="H81" i="19" s="1"/>
  <c r="M478" i="19"/>
  <c r="G486" i="19"/>
  <c r="H496" i="19" s="1"/>
  <c r="J71" i="19" s="1"/>
  <c r="R71" i="19" s="1"/>
  <c r="H419" i="19"/>
  <c r="J59" i="19" s="1"/>
  <c r="R59" i="19" s="1"/>
  <c r="G421" i="19"/>
  <c r="I270" i="19"/>
  <c r="G280" i="19" s="1"/>
  <c r="L551" i="19"/>
  <c r="I80" i="19" s="1"/>
  <c r="I177" i="19" s="1"/>
  <c r="M551" i="19"/>
  <c r="G560" i="19" s="1"/>
  <c r="K552" i="19"/>
  <c r="D216" i="5" l="1"/>
  <c r="E219" i="5"/>
  <c r="C26" i="4" s="1"/>
  <c r="G213" i="19"/>
  <c r="G179" i="19"/>
  <c r="H507" i="26"/>
  <c r="C528" i="26" s="1"/>
  <c r="I505" i="26"/>
  <c r="I507" i="26" s="1"/>
  <c r="G629" i="19"/>
  <c r="H520" i="29"/>
  <c r="I520" i="29" s="1"/>
  <c r="C115" i="22"/>
  <c r="P144" i="29"/>
  <c r="G179" i="29"/>
  <c r="H150" i="29"/>
  <c r="P150" i="29" s="1"/>
  <c r="P179" i="29" s="1"/>
  <c r="H99" i="29"/>
  <c r="D97" i="22" s="1"/>
  <c r="I518" i="29"/>
  <c r="M465" i="29"/>
  <c r="G473" i="29"/>
  <c r="P183" i="29"/>
  <c r="P184" i="29"/>
  <c r="D219" i="5"/>
  <c r="J178" i="26"/>
  <c r="R178" i="26" s="1"/>
  <c r="R81" i="26"/>
  <c r="I579" i="26"/>
  <c r="I524" i="26"/>
  <c r="G524" i="26"/>
  <c r="I648" i="26"/>
  <c r="I269" i="26"/>
  <c r="G279" i="26" s="1"/>
  <c r="I48" i="19"/>
  <c r="I145" i="19" s="1"/>
  <c r="I146" i="19" s="1"/>
  <c r="H560" i="19"/>
  <c r="I81" i="19" s="1"/>
  <c r="H570" i="19"/>
  <c r="I82" i="19" s="1"/>
  <c r="G659" i="26"/>
  <c r="I439" i="26"/>
  <c r="I656" i="26"/>
  <c r="I653" i="26"/>
  <c r="G104" i="26"/>
  <c r="I200" i="26"/>
  <c r="R103" i="26"/>
  <c r="I104" i="26"/>
  <c r="R116" i="26"/>
  <c r="R82" i="26"/>
  <c r="I430" i="26"/>
  <c r="H432" i="26"/>
  <c r="C462" i="26" s="1"/>
  <c r="G226" i="26" s="1"/>
  <c r="D98" i="5" s="1"/>
  <c r="D215" i="5" s="1"/>
  <c r="J70" i="26"/>
  <c r="M262" i="26"/>
  <c r="I277" i="26"/>
  <c r="H270" i="26"/>
  <c r="J37" i="26" s="1"/>
  <c r="R37" i="26" s="1"/>
  <c r="I38" i="26"/>
  <c r="I135" i="26" s="1"/>
  <c r="G134" i="26"/>
  <c r="J133" i="26"/>
  <c r="J116" i="26"/>
  <c r="F75" i="8" s="1"/>
  <c r="F95" i="8" s="1"/>
  <c r="G272" i="26"/>
  <c r="C96" i="8"/>
  <c r="J93" i="26"/>
  <c r="H118" i="26"/>
  <c r="D77" i="8" s="1"/>
  <c r="H135" i="26"/>
  <c r="G93" i="26"/>
  <c r="G190" i="26" s="1"/>
  <c r="J92" i="26"/>
  <c r="H573" i="26"/>
  <c r="C603" i="26" s="1"/>
  <c r="G227" i="26" s="1"/>
  <c r="D155" i="5" s="1"/>
  <c r="E155" i="5" s="1"/>
  <c r="G580" i="26"/>
  <c r="I573" i="26"/>
  <c r="I578" i="26"/>
  <c r="K41" i="20"/>
  <c r="E42" i="20"/>
  <c r="E29" i="20" s="1"/>
  <c r="E57" i="20"/>
  <c r="K57" i="20" s="1"/>
  <c r="R37" i="19"/>
  <c r="H189" i="19"/>
  <c r="H190" i="19" s="1"/>
  <c r="R188" i="19"/>
  <c r="H178" i="19"/>
  <c r="H179" i="19" s="1"/>
  <c r="I212" i="19"/>
  <c r="R134" i="19"/>
  <c r="J156" i="19"/>
  <c r="J157" i="19" s="1"/>
  <c r="R157" i="19" s="1"/>
  <c r="R155" i="19"/>
  <c r="R47" i="19"/>
  <c r="H145" i="19"/>
  <c r="H146" i="19" s="1"/>
  <c r="H212" i="19"/>
  <c r="R144" i="19"/>
  <c r="I353" i="19"/>
  <c r="G344" i="19"/>
  <c r="H354" i="19" s="1"/>
  <c r="J49" i="19" s="1"/>
  <c r="M336" i="19"/>
  <c r="I116" i="19"/>
  <c r="E43" i="7" s="1"/>
  <c r="E63" i="7" s="1"/>
  <c r="H117" i="19"/>
  <c r="D44" i="7" s="1"/>
  <c r="H629" i="19"/>
  <c r="C659" i="19" s="1"/>
  <c r="G227" i="19" s="1"/>
  <c r="D152" i="5" s="1"/>
  <c r="E152" i="5" s="1"/>
  <c r="J92" i="19"/>
  <c r="I493" i="19"/>
  <c r="I559" i="19"/>
  <c r="G569" i="19" s="1"/>
  <c r="G715" i="19"/>
  <c r="I627" i="19"/>
  <c r="I568" i="19"/>
  <c r="H486" i="19"/>
  <c r="J70" i="19" s="1"/>
  <c r="G488" i="19"/>
  <c r="I419" i="19"/>
  <c r="H421" i="19"/>
  <c r="C443" i="19" s="1"/>
  <c r="G283" i="19"/>
  <c r="L552" i="19"/>
  <c r="J80" i="19" s="1"/>
  <c r="M552" i="19"/>
  <c r="K553" i="19"/>
  <c r="E98" i="5" l="1"/>
  <c r="E215" i="5" s="1"/>
  <c r="E180" i="5"/>
  <c r="E216" i="5" s="1"/>
  <c r="C23" i="4" s="1"/>
  <c r="C29" i="4" s="1"/>
  <c r="H214" i="19"/>
  <c r="R49" i="19"/>
  <c r="I118" i="19"/>
  <c r="E45" i="7" s="1"/>
  <c r="G214" i="19"/>
  <c r="G515" i="26"/>
  <c r="G518" i="26" s="1"/>
  <c r="I560" i="19"/>
  <c r="G570" i="19" s="1"/>
  <c r="E245" i="5"/>
  <c r="E26" i="4" s="1"/>
  <c r="B26" i="4"/>
  <c r="D222" i="5"/>
  <c r="B23" i="4"/>
  <c r="B29" i="4" s="1"/>
  <c r="H470" i="29"/>
  <c r="I470" i="29" s="1"/>
  <c r="H521" i="29"/>
  <c r="I117" i="19"/>
  <c r="E44" i="7" s="1"/>
  <c r="D115" i="22"/>
  <c r="L115" i="22" s="1"/>
  <c r="H179" i="29"/>
  <c r="L97" i="22"/>
  <c r="I521" i="29"/>
  <c r="J521" i="29" s="1"/>
  <c r="J179" i="26"/>
  <c r="R179" i="26" s="1"/>
  <c r="H524" i="26"/>
  <c r="C530" i="26" s="1"/>
  <c r="I581" i="26"/>
  <c r="I655" i="26"/>
  <c r="I659" i="26" s="1"/>
  <c r="H659" i="26"/>
  <c r="C679" i="26" s="1"/>
  <c r="R104" i="26"/>
  <c r="G201" i="26"/>
  <c r="I201" i="26"/>
  <c r="R200" i="26"/>
  <c r="J167" i="26"/>
  <c r="R70" i="26"/>
  <c r="G440" i="26"/>
  <c r="I432" i="26"/>
  <c r="H272" i="26"/>
  <c r="C301" i="26" s="1"/>
  <c r="G224" i="26" s="1"/>
  <c r="I270" i="26"/>
  <c r="G280" i="26" s="1"/>
  <c r="G283" i="26" s="1"/>
  <c r="I279" i="26"/>
  <c r="G213" i="26"/>
  <c r="R133" i="26"/>
  <c r="R212" i="26" s="1"/>
  <c r="E54" i="5" s="1"/>
  <c r="J134" i="26"/>
  <c r="J212" i="26"/>
  <c r="N95" i="8"/>
  <c r="D54" i="5" s="1"/>
  <c r="N75" i="8"/>
  <c r="P75" i="8" s="1"/>
  <c r="G38" i="26"/>
  <c r="D80" i="8"/>
  <c r="D64" i="8" s="1"/>
  <c r="D97" i="8"/>
  <c r="H214" i="26"/>
  <c r="I580" i="26"/>
  <c r="G584" i="26"/>
  <c r="I117" i="26"/>
  <c r="E76" i="8" s="1"/>
  <c r="J117" i="26"/>
  <c r="F76" i="8" s="1"/>
  <c r="F96" i="8" s="1"/>
  <c r="J189" i="26"/>
  <c r="R92" i="26"/>
  <c r="M41" i="20"/>
  <c r="M42" i="20" s="1"/>
  <c r="K42" i="20"/>
  <c r="K29" i="20" s="1"/>
  <c r="I280" i="19"/>
  <c r="I283" i="19" s="1"/>
  <c r="J177" i="19"/>
  <c r="R80" i="19"/>
  <c r="R116" i="19" s="1"/>
  <c r="H213" i="19"/>
  <c r="R156" i="19"/>
  <c r="R70" i="19"/>
  <c r="J167" i="19"/>
  <c r="J168" i="19" s="1"/>
  <c r="R168" i="19" s="1"/>
  <c r="R92" i="19"/>
  <c r="J189" i="19"/>
  <c r="I178" i="19"/>
  <c r="J116" i="19"/>
  <c r="I636" i="19"/>
  <c r="H715" i="19"/>
  <c r="C735" i="19" s="1"/>
  <c r="I570" i="19"/>
  <c r="C45" i="7"/>
  <c r="D64" i="7"/>
  <c r="H344" i="19"/>
  <c r="G346" i="19"/>
  <c r="I712" i="19"/>
  <c r="I715" i="19" s="1"/>
  <c r="G637" i="19"/>
  <c r="I629" i="19"/>
  <c r="M553" i="19"/>
  <c r="G561" i="19"/>
  <c r="H571" i="19" s="1"/>
  <c r="J82" i="19" s="1"/>
  <c r="J118" i="19" s="1"/>
  <c r="I486" i="19"/>
  <c r="H488" i="19"/>
  <c r="C518" i="19" s="1"/>
  <c r="G226" i="19" s="1"/>
  <c r="D95" i="5" s="1"/>
  <c r="C21" i="4"/>
  <c r="B21" i="4"/>
  <c r="G429" i="19"/>
  <c r="I421" i="19"/>
  <c r="H283" i="19"/>
  <c r="C302" i="19" s="1"/>
  <c r="I515" i="26" l="1"/>
  <c r="I518" i="26" s="1"/>
  <c r="H471" i="29"/>
  <c r="E246" i="5"/>
  <c r="E23" i="4" s="1"/>
  <c r="E29" i="4" s="1"/>
  <c r="E222" i="5"/>
  <c r="R82" i="19"/>
  <c r="R120" i="19" s="1"/>
  <c r="R119" i="19"/>
  <c r="I213" i="19"/>
  <c r="I179" i="19"/>
  <c r="R189" i="19"/>
  <c r="J190" i="19"/>
  <c r="R190" i="19" s="1"/>
  <c r="E48" i="7"/>
  <c r="E32" i="7" s="1"/>
  <c r="F43" i="7"/>
  <c r="F63" i="7" s="1"/>
  <c r="N63" i="7" s="1"/>
  <c r="D49" i="5" s="1"/>
  <c r="E64" i="7"/>
  <c r="E65" i="7" s="1"/>
  <c r="N97" i="22"/>
  <c r="K518" i="29"/>
  <c r="I584" i="26"/>
  <c r="I272" i="26"/>
  <c r="R117" i="26"/>
  <c r="H217" i="26"/>
  <c r="R201" i="26"/>
  <c r="G443" i="26"/>
  <c r="I440" i="26"/>
  <c r="I443" i="26" s="1"/>
  <c r="R167" i="26"/>
  <c r="J38" i="26"/>
  <c r="R38" i="26" s="1"/>
  <c r="I280" i="26"/>
  <c r="I283" i="26" s="1"/>
  <c r="H283" i="26"/>
  <c r="C302" i="26" s="1"/>
  <c r="G135" i="26"/>
  <c r="R134" i="26"/>
  <c r="E96" i="8"/>
  <c r="N76" i="8"/>
  <c r="J190" i="26"/>
  <c r="R189" i="26"/>
  <c r="J213" i="26"/>
  <c r="I213" i="26"/>
  <c r="R156" i="26"/>
  <c r="I93" i="26"/>
  <c r="H584" i="26"/>
  <c r="C604" i="26" s="1"/>
  <c r="G118" i="26"/>
  <c r="C77" i="8" s="1"/>
  <c r="R167" i="19"/>
  <c r="J212" i="19"/>
  <c r="R177" i="19"/>
  <c r="R212" i="19" s="1"/>
  <c r="E49" i="5" s="1"/>
  <c r="E48" i="5" s="1"/>
  <c r="D45" i="7"/>
  <c r="D48" i="7" s="1"/>
  <c r="J48" i="19"/>
  <c r="H346" i="19"/>
  <c r="C376" i="19" s="1"/>
  <c r="G225" i="19" s="1"/>
  <c r="D80" i="5" s="1"/>
  <c r="D213" i="5" s="1"/>
  <c r="I344" i="19"/>
  <c r="G640" i="19"/>
  <c r="I569" i="19"/>
  <c r="H561" i="19"/>
  <c r="J81" i="19" s="1"/>
  <c r="R81" i="19" s="1"/>
  <c r="G563" i="19"/>
  <c r="E95" i="5"/>
  <c r="B22" i="4"/>
  <c r="G496" i="19"/>
  <c r="I488" i="19"/>
  <c r="E21" i="4"/>
  <c r="G432" i="19"/>
  <c r="H290" i="19"/>
  <c r="C303" i="19" s="1"/>
  <c r="G290" i="19"/>
  <c r="C22" i="4" l="1"/>
  <c r="I471" i="29"/>
  <c r="H472" i="29"/>
  <c r="R118" i="19"/>
  <c r="I214" i="19"/>
  <c r="I217" i="19"/>
  <c r="N43" i="7"/>
  <c r="P43" i="7" s="1"/>
  <c r="D48" i="5"/>
  <c r="R213" i="26"/>
  <c r="E55" i="5" s="1"/>
  <c r="E53" i="5" s="1"/>
  <c r="L518" i="29"/>
  <c r="G79" i="29" s="1"/>
  <c r="M518" i="29"/>
  <c r="K519" i="29"/>
  <c r="G230" i="26"/>
  <c r="D27" i="5"/>
  <c r="J135" i="26"/>
  <c r="R135" i="26" s="1"/>
  <c r="H443" i="26"/>
  <c r="C463" i="26" s="1"/>
  <c r="J71" i="26"/>
  <c r="J118" i="26" s="1"/>
  <c r="F77" i="8" s="1"/>
  <c r="N96" i="8"/>
  <c r="D55" i="5" s="1"/>
  <c r="P76" i="8"/>
  <c r="C80" i="8"/>
  <c r="C97" i="8"/>
  <c r="I190" i="26"/>
  <c r="R190" i="26" s="1"/>
  <c r="R93" i="26"/>
  <c r="G214" i="26"/>
  <c r="R48" i="19"/>
  <c r="R117" i="19" s="1"/>
  <c r="J145" i="19"/>
  <c r="J146" i="19" s="1"/>
  <c r="J178" i="19"/>
  <c r="J179" i="19" s="1"/>
  <c r="R179" i="19" s="1"/>
  <c r="D32" i="7"/>
  <c r="D65" i="7"/>
  <c r="J117" i="19"/>
  <c r="F44" i="7" s="1"/>
  <c r="G354" i="19"/>
  <c r="I346" i="19"/>
  <c r="H432" i="19"/>
  <c r="C444" i="19" s="1"/>
  <c r="E80" i="5"/>
  <c r="E213" i="5" s="1"/>
  <c r="C20" i="4" s="1"/>
  <c r="B20" i="4"/>
  <c r="I637" i="19"/>
  <c r="I640" i="19" s="1"/>
  <c r="H640" i="19"/>
  <c r="C660" i="19" s="1"/>
  <c r="I429" i="19"/>
  <c r="I432" i="19" s="1"/>
  <c r="I561" i="19"/>
  <c r="H563" i="19"/>
  <c r="C584" i="19" s="1"/>
  <c r="G499" i="19"/>
  <c r="E242" i="5"/>
  <c r="E22" i="4" s="1"/>
  <c r="I290" i="19"/>
  <c r="I472" i="29" l="1"/>
  <c r="I473" i="29" s="1"/>
  <c r="J473" i="29" s="1"/>
  <c r="H473" i="29"/>
  <c r="E27" i="5"/>
  <c r="J214" i="19"/>
  <c r="R146" i="19"/>
  <c r="F80" i="8"/>
  <c r="F64" i="8" s="1"/>
  <c r="J217" i="26" s="1"/>
  <c r="F97" i="8"/>
  <c r="D53" i="5"/>
  <c r="E70" i="5"/>
  <c r="E52" i="5"/>
  <c r="G160" i="29"/>
  <c r="L519" i="29"/>
  <c r="H79" i="29" s="1"/>
  <c r="H160" i="29" s="1"/>
  <c r="M519" i="29"/>
  <c r="G527" i="29" s="1"/>
  <c r="H536" i="29" s="1"/>
  <c r="G526" i="29"/>
  <c r="H535" i="29" s="1"/>
  <c r="K520" i="29"/>
  <c r="K521" i="29" s="1"/>
  <c r="H217" i="19"/>
  <c r="R71" i="26"/>
  <c r="J168" i="26"/>
  <c r="C64" i="8"/>
  <c r="I118" i="26"/>
  <c r="E77" i="8" s="1"/>
  <c r="R118" i="26"/>
  <c r="J213" i="19"/>
  <c r="R145" i="19"/>
  <c r="R178" i="19"/>
  <c r="E240" i="5"/>
  <c r="E20" i="4" s="1"/>
  <c r="I354" i="19"/>
  <c r="I357" i="19" s="1"/>
  <c r="G357" i="19"/>
  <c r="F64" i="7"/>
  <c r="G571" i="19"/>
  <c r="H580" i="19" s="1"/>
  <c r="C586" i="19" s="1"/>
  <c r="G224" i="19" s="1"/>
  <c r="D24" i="5" s="1"/>
  <c r="I563" i="19"/>
  <c r="I496" i="19"/>
  <c r="I499" i="19" s="1"/>
  <c r="H499" i="19"/>
  <c r="C519" i="19" s="1"/>
  <c r="K470" i="29" l="1"/>
  <c r="K471" i="29" s="1"/>
  <c r="G230" i="19"/>
  <c r="R215" i="19"/>
  <c r="R216" i="19"/>
  <c r="R214" i="19"/>
  <c r="R213" i="19"/>
  <c r="D70" i="5"/>
  <c r="D52" i="5"/>
  <c r="H526" i="29"/>
  <c r="G81" i="29"/>
  <c r="H527" i="29"/>
  <c r="H81" i="29"/>
  <c r="L520" i="29"/>
  <c r="I79" i="29" s="1"/>
  <c r="M520" i="29"/>
  <c r="G217" i="26"/>
  <c r="E24" i="5"/>
  <c r="R168" i="26"/>
  <c r="J214" i="26"/>
  <c r="E80" i="8"/>
  <c r="E97" i="8"/>
  <c r="N97" i="8" s="1"/>
  <c r="N77" i="8"/>
  <c r="I214" i="26"/>
  <c r="R157" i="26"/>
  <c r="H357" i="19"/>
  <c r="C377" i="19" s="1"/>
  <c r="G574" i="19"/>
  <c r="K472" i="29" l="1"/>
  <c r="K473" i="29" s="1"/>
  <c r="L471" i="29"/>
  <c r="H70" i="29" s="1"/>
  <c r="M471" i="29"/>
  <c r="G479" i="29" s="1"/>
  <c r="L470" i="29"/>
  <c r="G70" i="29" s="1"/>
  <c r="M470" i="29"/>
  <c r="G478" i="29" s="1"/>
  <c r="I527" i="29"/>
  <c r="G536" i="29" s="1"/>
  <c r="I536" i="29" s="1"/>
  <c r="H80" i="29"/>
  <c r="H161" i="29" s="1"/>
  <c r="H162" i="29" s="1"/>
  <c r="I160" i="29"/>
  <c r="P79" i="29"/>
  <c r="I526" i="29"/>
  <c r="G535" i="29" s="1"/>
  <c r="G80" i="29"/>
  <c r="G528" i="29"/>
  <c r="H537" i="29" s="1"/>
  <c r="M521" i="29"/>
  <c r="R214" i="26"/>
  <c r="P77" i="8"/>
  <c r="P80" i="8" s="1"/>
  <c r="N80" i="8"/>
  <c r="E64" i="8"/>
  <c r="H574" i="19"/>
  <c r="C585" i="19" s="1"/>
  <c r="F45" i="7"/>
  <c r="I571" i="19"/>
  <c r="I272" i="19"/>
  <c r="N44" i="7"/>
  <c r="C64" i="7"/>
  <c r="N64" i="7" s="1"/>
  <c r="C48" i="7"/>
  <c r="C32" i="7" s="1"/>
  <c r="L472" i="29" l="1"/>
  <c r="I70" i="29" s="1"/>
  <c r="P70" i="29" s="1"/>
  <c r="M472" i="29"/>
  <c r="G480" i="29" s="1"/>
  <c r="H488" i="29"/>
  <c r="H72" i="29" s="1"/>
  <c r="H102" i="29" s="1"/>
  <c r="D100" i="22" s="1"/>
  <c r="H479" i="29"/>
  <c r="H487" i="29"/>
  <c r="G72" i="29" s="1"/>
  <c r="G102" i="29" s="1"/>
  <c r="C100" i="22" s="1"/>
  <c r="H478" i="29"/>
  <c r="G71" i="29" s="1"/>
  <c r="G101" i="29" s="1"/>
  <c r="C99" i="22" s="1"/>
  <c r="H151" i="29"/>
  <c r="H100" i="29"/>
  <c r="D98" i="22" s="1"/>
  <c r="D116" i="22" s="1"/>
  <c r="G151" i="29"/>
  <c r="G100" i="29"/>
  <c r="C98" i="22" s="1"/>
  <c r="C116" i="22" s="1"/>
  <c r="G161" i="29"/>
  <c r="P160" i="29"/>
  <c r="H528" i="29"/>
  <c r="G530" i="29"/>
  <c r="I535" i="29"/>
  <c r="I217" i="26"/>
  <c r="I574" i="19"/>
  <c r="G217" i="19"/>
  <c r="N64" i="8"/>
  <c r="N45" i="7"/>
  <c r="P45" i="7" s="1"/>
  <c r="F48" i="7"/>
  <c r="F65" i="7"/>
  <c r="P44" i="7"/>
  <c r="C65" i="7"/>
  <c r="H489" i="29" l="1"/>
  <c r="I72" i="29" s="1"/>
  <c r="P72" i="29" s="1"/>
  <c r="G482" i="29"/>
  <c r="H480" i="29"/>
  <c r="I151" i="29"/>
  <c r="P151" i="29" s="1"/>
  <c r="P180" i="29" s="1"/>
  <c r="E60" i="5" s="1"/>
  <c r="I100" i="29"/>
  <c r="E98" i="22" s="1"/>
  <c r="E116" i="22" s="1"/>
  <c r="L116" i="22" s="1"/>
  <c r="D60" i="5" s="1"/>
  <c r="M473" i="29"/>
  <c r="G152" i="29"/>
  <c r="G153" i="29" s="1"/>
  <c r="G180" i="29"/>
  <c r="H491" i="29"/>
  <c r="C496" i="29" s="1"/>
  <c r="H180" i="29"/>
  <c r="I479" i="29"/>
  <c r="G488" i="29" s="1"/>
  <c r="I488" i="29" s="1"/>
  <c r="H71" i="29"/>
  <c r="H101" i="29" s="1"/>
  <c r="D99" i="22" s="1"/>
  <c r="D103" i="22" s="1"/>
  <c r="D89" i="22" s="1"/>
  <c r="I478" i="29"/>
  <c r="G487" i="29" s="1"/>
  <c r="I487" i="29" s="1"/>
  <c r="H540" i="29"/>
  <c r="C559" i="29" s="1"/>
  <c r="I81" i="29"/>
  <c r="G162" i="29"/>
  <c r="H530" i="29"/>
  <c r="C558" i="29" s="1"/>
  <c r="G195" i="29" s="1"/>
  <c r="D158" i="5" s="1"/>
  <c r="I80" i="29"/>
  <c r="C103" i="22"/>
  <c r="C89" i="22" s="1"/>
  <c r="C117" i="22"/>
  <c r="I528" i="29"/>
  <c r="R217" i="26"/>
  <c r="I580" i="19"/>
  <c r="G580" i="19"/>
  <c r="N65" i="7"/>
  <c r="N48" i="7"/>
  <c r="N32" i="7" s="1"/>
  <c r="P48" i="7"/>
  <c r="F32" i="7"/>
  <c r="H152" i="29" l="1"/>
  <c r="G181" i="29"/>
  <c r="G185" i="29" s="1"/>
  <c r="L98" i="22"/>
  <c r="N98" i="22" s="1"/>
  <c r="D117" i="22"/>
  <c r="D118" i="22" s="1"/>
  <c r="I180" i="29"/>
  <c r="I71" i="29"/>
  <c r="I152" i="29" s="1"/>
  <c r="I480" i="29"/>
  <c r="G489" i="29" s="1"/>
  <c r="G491" i="29" s="1"/>
  <c r="H482" i="29"/>
  <c r="C495" i="29" s="1"/>
  <c r="G192" i="29" s="1"/>
  <c r="D30" i="5" s="1"/>
  <c r="E30" i="5" s="1"/>
  <c r="H181" i="29"/>
  <c r="H185" i="29" s="1"/>
  <c r="H153" i="29"/>
  <c r="H182" i="29" s="1"/>
  <c r="I161" i="29"/>
  <c r="P80" i="29"/>
  <c r="C118" i="22"/>
  <c r="E158" i="5"/>
  <c r="E218" i="5" s="1"/>
  <c r="C25" i="4" s="1"/>
  <c r="D218" i="5"/>
  <c r="B25" i="4" s="1"/>
  <c r="G182" i="29"/>
  <c r="I102" i="29"/>
  <c r="E100" i="22" s="1"/>
  <c r="L100" i="22" s="1"/>
  <c r="N100" i="22" s="1"/>
  <c r="P81" i="29"/>
  <c r="G537" i="29"/>
  <c r="I530" i="29"/>
  <c r="J217" i="19"/>
  <c r="R217" i="19"/>
  <c r="I101" i="29" l="1"/>
  <c r="E99" i="22" s="1"/>
  <c r="E103" i="22" s="1"/>
  <c r="E89" i="22" s="1"/>
  <c r="I489" i="29"/>
  <c r="I491" i="29" s="1"/>
  <c r="I482" i="29"/>
  <c r="G198" i="29"/>
  <c r="I153" i="29"/>
  <c r="P153" i="29" s="1"/>
  <c r="P152" i="29"/>
  <c r="P71" i="29"/>
  <c r="P101" i="29" s="1"/>
  <c r="E244" i="5"/>
  <c r="E25" i="4" s="1"/>
  <c r="I162" i="29"/>
  <c r="I181" i="29"/>
  <c r="P161" i="29"/>
  <c r="P102" i="29"/>
  <c r="P100" i="29"/>
  <c r="I537" i="29"/>
  <c r="I540" i="29" s="1"/>
  <c r="G540" i="29"/>
  <c r="E117" i="22" l="1"/>
  <c r="L99" i="22"/>
  <c r="L103" i="22" s="1"/>
  <c r="L89" i="22" s="1"/>
  <c r="I185" i="29"/>
  <c r="E118" i="22"/>
  <c r="L118" i="22" s="1"/>
  <c r="L117" i="22"/>
  <c r="D61" i="5" s="1"/>
  <c r="D59" i="5" s="1"/>
  <c r="D58" i="5" s="1"/>
  <c r="D212" i="5" s="1"/>
  <c r="P162" i="29"/>
  <c r="P181" i="29" s="1"/>
  <c r="E61" i="5" s="1"/>
  <c r="E59" i="5" s="1"/>
  <c r="E58" i="5" s="1"/>
  <c r="I182" i="29"/>
  <c r="N99" i="22"/>
  <c r="N103" i="22" s="1"/>
  <c r="E212" i="5" l="1"/>
  <c r="D221" i="5"/>
  <c r="D223" i="5" s="1"/>
  <c r="B19" i="4"/>
  <c r="B28" i="4" s="1"/>
  <c r="B30" i="4" s="1"/>
  <c r="P185" i="29"/>
  <c r="P182" i="29"/>
  <c r="E221" i="5" l="1"/>
  <c r="E223" i="5" s="1"/>
  <c r="E239" i="5"/>
  <c r="C19" i="4"/>
  <c r="C28" i="4" s="1"/>
  <c r="C30" i="4" s="1"/>
  <c r="E238" i="5" l="1"/>
  <c r="E237" i="5" s="1"/>
  <c r="E19" i="4"/>
  <c r="E28" i="4" s="1"/>
  <c r="E30" i="4" s="1"/>
</calcChain>
</file>

<file path=xl/sharedStrings.xml><?xml version="1.0" encoding="utf-8"?>
<sst xmlns="http://schemas.openxmlformats.org/spreadsheetml/2006/main" count="1712" uniqueCount="461">
  <si>
    <t>Budget</t>
  </si>
  <si>
    <t>Realiteit</t>
  </si>
  <si>
    <t>boekjaar</t>
  </si>
  <si>
    <t>Codes</t>
  </si>
  <si>
    <t>+</t>
  </si>
  <si>
    <t>Aangekochte GSC</t>
  </si>
  <si>
    <t>Aangekochte WKC</t>
  </si>
  <si>
    <t>Verkochte GSC</t>
  </si>
  <si>
    <t>-</t>
  </si>
  <si>
    <t>Verkochte WKC</t>
  </si>
  <si>
    <t>DISTRIBUTIENETBEHEERDER :</t>
  </si>
  <si>
    <t>ONDERNEMINGSNUMMER:</t>
  </si>
  <si>
    <t>In het kader van volgende reguleringsperiode:</t>
  </si>
  <si>
    <t>van</t>
  </si>
  <si>
    <t>tot en met</t>
  </si>
  <si>
    <t>Distributienetbeheerder:</t>
  </si>
  <si>
    <t>Activiteit:</t>
  </si>
  <si>
    <t>jaar</t>
  </si>
  <si>
    <t>INVLOED OP HET RESULTAAT</t>
  </si>
  <si>
    <t>Saldo van het jaar</t>
  </si>
  <si>
    <t>TOTAAL</t>
  </si>
  <si>
    <r>
      <rPr>
        <b/>
        <sz val="10"/>
        <rFont val="Arial"/>
        <family val="2"/>
      </rPr>
      <t>Boeking</t>
    </r>
    <r>
      <rPr>
        <sz val="10"/>
        <rFont val="Arial"/>
        <family val="2"/>
      </rPr>
      <t xml:space="preserve"> van het saldo </t>
    </r>
    <r>
      <rPr>
        <sz val="10"/>
        <rFont val="Arial"/>
        <family val="2"/>
      </rPr>
      <t>in het resultaat van het exploitatiejaar</t>
    </r>
  </si>
  <si>
    <t>Totaal</t>
  </si>
  <si>
    <t>(1)</t>
  </si>
  <si>
    <t>(2)</t>
  </si>
  <si>
    <t xml:space="preserve">in het </t>
  </si>
  <si>
    <t xml:space="preserve">resultaat </t>
  </si>
  <si>
    <t xml:space="preserve">    Totale jaarlijkse impact</t>
  </si>
  <si>
    <t xml:space="preserve">    op de resultaten</t>
  </si>
  <si>
    <t>(+) Debet saldo</t>
  </si>
  <si>
    <t>Beslissing van de VREG</t>
  </si>
  <si>
    <t>Belastingen, heffingen, toeslagen, bijdragen en retributies</t>
  </si>
  <si>
    <t>(+) ==&gt; Teruggave overschot, verlaging van de tarieven;</t>
  </si>
  <si>
    <t xml:space="preserve">(-) ==&gt; Recuperatie tekort, verhoging van de tarieven </t>
  </si>
  <si>
    <t>Resterend saldo terug te nemen</t>
  </si>
  <si>
    <t>X</t>
  </si>
  <si>
    <t>Berekende of overgenomen waarde waarvoor dus geen manuele input vereist is</t>
  </si>
  <si>
    <t>Opmerking</t>
  </si>
  <si>
    <t xml:space="preserve">(-) ==&gt; Minder werkelijke exogene kosten dan werkelijke ontvangsten voor exogene kosten; </t>
  </si>
  <si>
    <t>(+) ==&gt; Meer werkelijke exogene kosten dan werkelijke ontvangsten voor exogene kosten.</t>
  </si>
  <si>
    <t>REGULATOIRE SALDI M.B.T. VOLUMEVERSCHILLEN</t>
  </si>
  <si>
    <t xml:space="preserve">(-) ==&gt; Minder werkelijke exogene kosten dan werkelijke ontvangsten voor exogene kosten (overschot); </t>
  </si>
  <si>
    <t xml:space="preserve">Lasten van niet-gekapitaliseerde pensioenen </t>
  </si>
  <si>
    <t>OPBRENGSTEN</t>
  </si>
  <si>
    <t>A. Omzet</t>
  </si>
  <si>
    <t>C. Geproduceerde vaste activa</t>
  </si>
  <si>
    <t>D. Andere bedrijfsopbrengsten</t>
  </si>
  <si>
    <t>KOSTEN</t>
  </si>
  <si>
    <t>A. Handelsgoederen, grond- en hulpstoffen</t>
  </si>
  <si>
    <t>B. Diensten en diverse goederen</t>
  </si>
  <si>
    <t>C. Bezoldigingen, sociale lasten en pensioenen</t>
  </si>
  <si>
    <t>631/4</t>
  </si>
  <si>
    <t>G. Andere bedrijfskosten</t>
  </si>
  <si>
    <t>640/8</t>
  </si>
  <si>
    <t>670/3</t>
  </si>
  <si>
    <t>Netbeheer elektriciteit</t>
  </si>
  <si>
    <t>Netbeheer gas</t>
  </si>
  <si>
    <t>Niet-gereguleerde activiteiten</t>
  </si>
  <si>
    <t>Totaal opbrengsten</t>
  </si>
  <si>
    <t>Totaal kosten</t>
  </si>
  <si>
    <t>Resultaat</t>
  </si>
  <si>
    <t>In te vullen door de distributienetbeheerder</t>
  </si>
  <si>
    <t>In te vullen door de VREG</t>
  </si>
  <si>
    <t>TABEL 7</t>
  </si>
  <si>
    <t>TABEL 8</t>
  </si>
  <si>
    <t>Tariefcomponent</t>
  </si>
  <si>
    <t>Het tarief voor het systeembeheer</t>
  </si>
  <si>
    <t>Het tarief voor openbare dienstverplichtingen</t>
  </si>
  <si>
    <t>De tariefposten in verband met de belastingen, heffingen, toeslagen, bijdragen en retributies</t>
  </si>
  <si>
    <t>Exogene kosten i.h.k.v. het basistarief voor het gebruik van het net</t>
  </si>
  <si>
    <t>Exogene kosten i.h.k.v. het tarief voor het systeembeheer</t>
  </si>
  <si>
    <t>Exogene kosten i.h.k.v. het tarief voor openbare dienstverplichtingen</t>
  </si>
  <si>
    <t>Exogene kosten i.h.k.v. het tarief voor de regeling van de spanning en het reactief vermogen</t>
  </si>
  <si>
    <t>Exogene kosten i.h.k.v. het tarief voor de compensatie van de netverliezen</t>
  </si>
  <si>
    <t>Exogene kosten i.h.k.v. het tarief voor belastingen, heffingen, toeslagen, bijdragen en retributies</t>
  </si>
  <si>
    <t>(+) ==&gt; Tekort, meer kosten dan gebudgetteerd</t>
  </si>
  <si>
    <t>(-) ==&gt; Overschot, minder kosten dan gebudgetteerd</t>
  </si>
  <si>
    <t>1.</t>
  </si>
  <si>
    <t>Tarief gebruik van het net</t>
  </si>
  <si>
    <t>1.1</t>
  </si>
  <si>
    <t>1.2.</t>
  </si>
  <si>
    <t>1.3.</t>
  </si>
  <si>
    <t>2.</t>
  </si>
  <si>
    <t>Tarief openbare dienstverplichtingen</t>
  </si>
  <si>
    <t>3.</t>
  </si>
  <si>
    <t>Tarief ondersteunende diensten</t>
  </si>
  <si>
    <t>3.1.</t>
  </si>
  <si>
    <t>Tarief netverliezen</t>
  </si>
  <si>
    <t>3.2.</t>
  </si>
  <si>
    <t>Tarief reactieve energie</t>
  </si>
  <si>
    <t>4.</t>
  </si>
  <si>
    <t>Toeslagen</t>
  </si>
  <si>
    <t>5.</t>
  </si>
  <si>
    <t>Overdrachten en/of terugnames</t>
  </si>
  <si>
    <t>Gereguleerde activiteiten</t>
  </si>
  <si>
    <r>
      <t xml:space="preserve">Gelieve </t>
    </r>
    <r>
      <rPr>
        <b/>
        <i/>
        <sz val="10"/>
        <rFont val="Arial"/>
        <family val="2"/>
      </rPr>
      <t>positieve</t>
    </r>
    <r>
      <rPr>
        <i/>
        <sz val="10"/>
        <rFont val="Arial"/>
        <family val="2"/>
      </rPr>
      <t xml:space="preserve"> waarden in te geven (voor kosten indien debetsaldo en voor opbrengsten indien creditsaldo).</t>
    </r>
  </si>
  <si>
    <r>
      <t xml:space="preserve">Gelieve </t>
    </r>
    <r>
      <rPr>
        <b/>
        <i/>
        <sz val="10"/>
        <rFont val="Arial"/>
        <family val="2"/>
      </rPr>
      <t>positieve</t>
    </r>
    <r>
      <rPr>
        <i/>
        <sz val="10"/>
        <rFont val="Arial"/>
        <family val="2"/>
      </rPr>
      <t xml:space="preserve"> waarden in te geven (voor activa (indien debetsaldo), passiva (indien creditsaldo), kosten (indien debetsaldo) en opbrengsten (indien creditsaldo)), tenzij anders aangegeven in kolom B.</t>
    </r>
  </si>
  <si>
    <t>Aanvullend capaciteitstarief voor prosumenten met terugdraaiende teller</t>
  </si>
  <si>
    <t>Gedeelte m.b.t. distributie</t>
  </si>
  <si>
    <t>Gedeelte m.b.t. transmissie</t>
  </si>
  <si>
    <t>Rapportering over boekjaren</t>
  </si>
  <si>
    <t>Evolutie saldo exogene kosten m.b.t. distributie op overlopende rekeningen</t>
  </si>
  <si>
    <t>TABEL 4B</t>
  </si>
  <si>
    <t>OMSCHRIJVING RUBRIEKEN</t>
  </si>
  <si>
    <t>FORMULE</t>
  </si>
  <si>
    <t>Rapportering over boekjaar:</t>
  </si>
  <si>
    <t>Recuperatie van kosten van de openbaredienstverplichtingen m.b.t. het stimuleren van rationeel energiegebruik (REG):</t>
  </si>
  <si>
    <t>M.b.t. het basistarief voor het gebruik van het net</t>
  </si>
  <si>
    <t>M.b.t. het tarief voor het systeembeheer</t>
  </si>
  <si>
    <t>M.b.t. het tarief voor openbare dienstverplichtingen</t>
  </si>
  <si>
    <t>M.b.t. het tarief voor de regeling van de spanning en het reactief vermogen</t>
  </si>
  <si>
    <t>M.b.t. het tarief voor de compensatie van de netverliezen</t>
  </si>
  <si>
    <t>M.b.t. het tarief voor belastingen, heffingen, toeslagen, bijdragen en retributies</t>
  </si>
  <si>
    <r>
      <rPr>
        <b/>
        <sz val="10"/>
        <rFont val="Arial"/>
        <family val="2"/>
      </rPr>
      <t>Terugname</t>
    </r>
    <r>
      <rPr>
        <sz val="10"/>
        <rFont val="Arial"/>
        <family val="2"/>
      </rPr>
      <t xml:space="preserve"> van het saldo in het resultaat van het exploitatiejaar (zoals vastgelegd in de tariefmethodologie)</t>
    </r>
  </si>
  <si>
    <t>Tarief voor het niet respecteren van een aanvaard programma</t>
  </si>
  <si>
    <t>3.3.</t>
  </si>
  <si>
    <t>Relatief aandeel endogene kosten (%)</t>
  </si>
  <si>
    <t>TABEL 5B</t>
  </si>
  <si>
    <t>Het tarief voor de compensatie van de netverliezen</t>
  </si>
  <si>
    <t>Het tarief voor de regeling van de spanning en van het reactief vermogen</t>
  </si>
  <si>
    <t>Controle met TABEL 4A:</t>
  </si>
  <si>
    <r>
      <t xml:space="preserve">Afbouw regulatoir saldo inzake exogene kosten </t>
    </r>
    <r>
      <rPr>
        <sz val="10"/>
        <rFont val="Arial"/>
        <family val="2"/>
      </rPr>
      <t>m.b.t. distributie, zoals vastgelegd in de tariefmethodologie (positieve waarde voor recuperatie tekort, en omgekeerd)</t>
    </r>
  </si>
  <si>
    <t>Afbouw regulatoir saldo inzake exogene kosten m.b.t. transmissie, zoals vastgelegd in de tariefmethodologie (positieve waarde voor recuperatie tekort, en omgekeerd)</t>
  </si>
  <si>
    <t>Controle met TABEL 5A:</t>
  </si>
  <si>
    <t>Opmerking:</t>
  </si>
  <si>
    <t>Afbouw regulatoir saldo inzake herindexering van het budget voor endogene kosten, zoals vastgelegd in de tariefmethodologie (positieve waarde voor recuperatie tekort, en omgekeerd)</t>
  </si>
  <si>
    <t>(-) ==&gt; Meer werkelijke ontvangsten dan budget endogene kosten (overschot)</t>
  </si>
  <si>
    <t>TABEL 6A: Opvolging regulatoir saldo inzake herindexering van het budget voor endogene kosten</t>
  </si>
  <si>
    <t>x-waarde voor de betreffende reguleringsperiode</t>
  </si>
  <si>
    <t>(-) ==&gt; Lagere inflatie dan verwacht (overschot)</t>
  </si>
  <si>
    <t>Evolutie saldo m.b.t. herindexering budget endogene kosten op overlopende rekeningen</t>
  </si>
  <si>
    <t>Boeking regulatoir saldo inzake herindexering budget endogene kosten per tariefcomponent</t>
  </si>
  <si>
    <t>Afgebouwd regulatoir saldo inzake herindexering endogene kosten per tariefcomponent</t>
  </si>
  <si>
    <t>Nog af te bouwen regulatoir saldo inzake herindexering budget endogene kosten per tariefcomponent</t>
  </si>
  <si>
    <t>Controle met TABEL 6A:</t>
  </si>
  <si>
    <t>TABEL 6B</t>
  </si>
  <si>
    <t>REGULATOIRE SALDI M.B.T. HERINDEXERING BUDGET ENDOGENE KOSTEN</t>
  </si>
  <si>
    <t>TABEL 7: Opvolging regulatoir saldo inzake vennootschapsbelasting</t>
  </si>
  <si>
    <t>Afbouw regulatoir saldo inzake vennootschapsbelasting, zoals vastgelegd in de tariefmethodologie (positieve waarde voor recuperatie tekort, en omgekeerd)</t>
  </si>
  <si>
    <t>Omschrijving</t>
  </si>
  <si>
    <t>ONDERBOUWING BUDGET</t>
  </si>
  <si>
    <t>TOTAAL EXOGENE KOSTEN M.B.T. DISTRIBUTIE</t>
  </si>
  <si>
    <t>TOTAAL EXOGENE KOSTEN M.B.T. TRANSMISSIE</t>
  </si>
  <si>
    <t>TOTAAL EXOGENE KOSTEN</t>
  </si>
  <si>
    <t>Evolutie saldo exogene kosten m.b.t. transmissie op overlopende rekeningen</t>
  </si>
  <si>
    <t>Overzicht gerapporteerde waarden per tariefcomponent:</t>
  </si>
  <si>
    <t>TABEL 6B: Overzicht regulatoir saldo inzake herindexering van het budget voor endogene kosten per tariefcomponent</t>
  </si>
  <si>
    <r>
      <t xml:space="preserve">Kapitaalkostvergoeding voor het regulatoir saldo inzake exogene kosten </t>
    </r>
    <r>
      <rPr>
        <sz val="10"/>
        <rFont val="Arial"/>
        <family val="2"/>
      </rPr>
      <t>m.b.t. distributie</t>
    </r>
  </si>
  <si>
    <t>Kapitaalkostvergoeding voor het regulatoir saldo inzake exogene kosten m.b.t. transmissie</t>
  </si>
  <si>
    <t>TABEL 4C</t>
  </si>
  <si>
    <r>
      <t xml:space="preserve">Kost m.b.t. de door Elia aan de distributienetbeheerder aangerekende vergoeding voor het gebruik van het transmissienet (elektriciteit) - </t>
    </r>
    <r>
      <rPr>
        <b/>
        <sz val="10"/>
        <rFont val="Arial"/>
        <family val="2"/>
      </rPr>
      <t xml:space="preserve">exclusief </t>
    </r>
    <r>
      <rPr>
        <sz val="10"/>
        <rFont val="Arial"/>
        <family val="2"/>
      </rPr>
      <t>federale bijdrage elektriciteit</t>
    </r>
  </si>
  <si>
    <r>
      <t xml:space="preserve">Kost m.b.t. de door een andere distributienetbeheerder (via doorvoer) aangerekende vergoeding voor het gebruik van het transmissienet (elektriciteit) - </t>
    </r>
    <r>
      <rPr>
        <b/>
        <sz val="10"/>
        <rFont val="Arial"/>
        <family val="2"/>
      </rPr>
      <t xml:space="preserve">exclusief </t>
    </r>
    <r>
      <rPr>
        <sz val="10"/>
        <rFont val="Arial"/>
        <family val="2"/>
      </rPr>
      <t>federale bijdrage elektriciteit</t>
    </r>
  </si>
  <si>
    <r>
      <t xml:space="preserve">Opbrengst uit de aan een andere distributienetbeheer (via doorvoer) aangerekende vergoeding voor het gebruik van het transmissienet (elektriciteit) - </t>
    </r>
    <r>
      <rPr>
        <b/>
        <sz val="10"/>
        <rFont val="Arial"/>
        <family val="2"/>
      </rPr>
      <t>exclusief</t>
    </r>
    <r>
      <rPr>
        <sz val="10"/>
        <rFont val="Arial"/>
        <family val="2"/>
      </rPr>
      <t xml:space="preserve"> federale bijdrage elektriciteit</t>
    </r>
  </si>
  <si>
    <t>TABEL 5C</t>
  </si>
  <si>
    <t>Budget endogene kosten, volgens tariefvoorstel</t>
  </si>
  <si>
    <r>
      <t>Werkelijke inflatie jaar op jaar voor de maand juli van dat jaar (CPI</t>
    </r>
    <r>
      <rPr>
        <b/>
        <vertAlign val="subscript"/>
        <sz val="10"/>
        <rFont val="Arial"/>
        <family val="2"/>
      </rPr>
      <t>j</t>
    </r>
    <r>
      <rPr>
        <b/>
        <sz val="10"/>
        <rFont val="Arial"/>
        <family val="2"/>
      </rPr>
      <t>)</t>
    </r>
  </si>
  <si>
    <r>
      <t>Inflatie jaar op jaar voor de maand juli die in het jaar voordien werd verwacht, gehanteerd door de VREG bij vaststelling toegelaten inkomen voor het betreffende boekjaar (CPI</t>
    </r>
    <r>
      <rPr>
        <b/>
        <vertAlign val="subscript"/>
        <sz val="10"/>
        <rFont val="Arial"/>
        <family val="2"/>
      </rPr>
      <t>j,v</t>
    </r>
    <r>
      <rPr>
        <b/>
        <sz val="10"/>
        <rFont val="Arial"/>
        <family val="2"/>
      </rPr>
      <t>)</t>
    </r>
  </si>
  <si>
    <t>REGULATOIR SALDO VOLUMEVERSCHILLEN</t>
  </si>
  <si>
    <t>Totaal nog af te bouwen regulatoir saldo</t>
  </si>
  <si>
    <t>Totaal afgebouwd regulatoir saldo</t>
  </si>
  <si>
    <t>(+) ==&gt; Hogere inflatie dan verwacht (tekort);</t>
  </si>
  <si>
    <t>(+) ==&gt; Tekort, meer kosten dan gebudgetteerd;</t>
  </si>
  <si>
    <t>(-) ==&gt; Recuperatie tekort, verhoging van de tarieven ;</t>
  </si>
  <si>
    <t>(+) ==&gt; Teruggave overschot, verlaging van de tarieven</t>
  </si>
  <si>
    <t>(-) Credit saldo;</t>
  </si>
  <si>
    <t>(+) ==&gt; Minder werkelijke ontvangsten dan budget endogene kosten (tekort);</t>
  </si>
  <si>
    <t>(+) ==&gt; Meer werkelijke exogene kosten dan werkelijke ontvangsten voor exogene kosten (tekort)</t>
  </si>
  <si>
    <t>Evolutie saldo m.b.t. venootschapsbelasting op overlopende rekeningen</t>
  </si>
  <si>
    <t>Het eventueel voorschot zoals toegekend door de VREG en opgenomen in het tariefvoorstel</t>
  </si>
  <si>
    <t>Werkelijke ontvangsten m.b.t. endogene kosten</t>
  </si>
  <si>
    <t>De eventuele, geheel of gedeeltelijke, terugname van een eerder toegekend voorschot door de VREG en opgenomen in het tariefvoorstel</t>
  </si>
  <si>
    <t>6.</t>
  </si>
  <si>
    <t>Bepaling van het af te bouwen regulatoir saldo over boekjaar:</t>
  </si>
  <si>
    <t>Regulatoir saldo ontstaan in boekjaar</t>
  </si>
  <si>
    <t>Afbouw regulatoir saldo op te nemen in het toegelaten inkomen van boekjaar:</t>
  </si>
  <si>
    <t>OVERLOPENDE REKENINGEN</t>
  </si>
  <si>
    <t>BEPALING VAN HET AF TE BOUWEN REGULATOIR SALDO</t>
  </si>
  <si>
    <t>GEREGULEERDE ACTIVITEIT :</t>
  </si>
  <si>
    <t>Bedrijfsopbrengsten</t>
  </si>
  <si>
    <t>Financiële opbrengsten</t>
  </si>
  <si>
    <t>B. Wijziging in de voorraad goederen in bewerking, gereed product en bestellingen in uitvoering (toename +, afname -)</t>
  </si>
  <si>
    <t>Regularisering van belastingen en terugneming van voorzieningen</t>
  </si>
  <si>
    <t>Onttrekkingen aan de belastingvrije reserves en uitgestelde belastingen</t>
  </si>
  <si>
    <t>Verlies van het boekjaar</t>
  </si>
  <si>
    <t>Bedrijfskosten</t>
  </si>
  <si>
    <t>D. Afschrijvingen en waardeverminderingen op vaste activa</t>
  </si>
  <si>
    <t>E. Waardeverminderingen op voorraden, bestellingen in uitvoering en handelsvorderingen (toevoegingen +, terugnemingen -)</t>
  </si>
  <si>
    <t>F. Voorzieningen voor risico's en kosten (toevoegingen +, terugnemingen -)</t>
  </si>
  <si>
    <t>Financiële kosten</t>
  </si>
  <si>
    <t>Overboeking naar de uitgestelde belastingen en naar de belastingvrije reserves</t>
  </si>
  <si>
    <t>Belastingen op het resultaat</t>
  </si>
  <si>
    <t>Winst van het boekjaar</t>
  </si>
  <si>
    <t>Gereguleerde activiteit:</t>
  </si>
  <si>
    <t>Exogene kosten i.h.k.v. het tarief voor het databeheer</t>
  </si>
  <si>
    <t>Exogene kosten i.h.k.v. transmissienetkosten</t>
  </si>
  <si>
    <t>Endogene opbrengsten</t>
  </si>
  <si>
    <t>Exogene opbrengsten</t>
  </si>
  <si>
    <t>Overige opbrengsten</t>
  </si>
  <si>
    <t>Endogene kosten</t>
  </si>
  <si>
    <t>Exogene kosten</t>
  </si>
  <si>
    <t>Overige kosten</t>
  </si>
  <si>
    <t>TABEL 3: Detail inzake samenstelling exogene kosten</t>
  </si>
  <si>
    <t>Onderbouwing van het gebudgetteerde bedrag in afzonderlijk verklarende nota vereist:</t>
  </si>
  <si>
    <t>In kolom H wordt met 'X' aangegeven voor welke rubrieken de distributienetbeheerder een gedetailleerde onderbouwing van het ex-ante budget dient op te geven in een afzonderlijk verklarende nota.</t>
  </si>
  <si>
    <t>M.b.t. het tarief voor het databeheer</t>
  </si>
  <si>
    <t>Het tarief voor het databeheer</t>
  </si>
  <si>
    <t>Afbouw regulatoir saldo inzake herwaarderingsmeerwaarden</t>
  </si>
  <si>
    <t>Kosten m.b.t. REG-premies</t>
  </si>
  <si>
    <t xml:space="preserve">Kosten m.b.t. de actieverplichting energiescans </t>
  </si>
  <si>
    <t>Kosten m.b.t. de actieverplichting sociale energie efficiëntieprojecten</t>
  </si>
  <si>
    <t>Solidarisering GSC</t>
  </si>
  <si>
    <t>Solidarisering WKC</t>
  </si>
  <si>
    <t>Tarief beheer elektrisch systeem</t>
  </si>
  <si>
    <t>Tarief vermogensreserve en blackstart</t>
  </si>
  <si>
    <t>Tarief marktintegratie</t>
  </si>
  <si>
    <t>ODV - financiering van de aansluiting offshore windturbineparken</t>
  </si>
  <si>
    <t>ODV - financiering groenestroomcertificaten</t>
  </si>
  <si>
    <t>ODV - financiering strategische reserve</t>
  </si>
  <si>
    <t>ODV - financiering steunmaatregelen hernieuwbare energie en WKK</t>
  </si>
  <si>
    <t>ODV - financiering maatregelen ter bevordering REG</t>
  </si>
  <si>
    <t>Toeslag voor de taksen op masten en sleuven</t>
  </si>
  <si>
    <t>Verkopen t.a.v. de Vlaamse Overheid</t>
  </si>
  <si>
    <t>Overige verkopen</t>
  </si>
  <si>
    <t>Recuperatie van kosten m.b.t. REG-premies</t>
  </si>
  <si>
    <t xml:space="preserve">Recuperatie van kosten m.b.t. de actieverplichting energiescans </t>
  </si>
  <si>
    <t>Recuperatie van kosten m.b.t. de actieverplichting sociale energie efficiëntieprojecten</t>
  </si>
  <si>
    <t>Opbrengsten uit niet-recurrente recuperatie van exogene kosten uit bijvoorbeeld fraudezaken</t>
  </si>
  <si>
    <t>m.b.t. onterecht uitgekeerde REG-premies</t>
  </si>
  <si>
    <t>m.b.t. onterecht aangekochte GSC en WKC aan minimumwaarde</t>
  </si>
  <si>
    <t>Waardeverminderingen op vorderingen t.g.v. fraudedossiers</t>
  </si>
  <si>
    <t>Kosten t.g.v. terugvorderingen door de Vlaamse Overheid van onterechte financiering van openbaredienstverplichtingen</t>
  </si>
  <si>
    <t>Totale werkelijke ontvangsten uit periodieke distributienettarieven voor exogene kosten</t>
  </si>
  <si>
    <t>Kosten van de openbaredienstverplichtingen m.b.t. het stimuleren van rationeel energiegebruik (REG) volgens Energiebesluit:</t>
  </si>
  <si>
    <t>Kapitaalkostvergoeding voor het regulatoir saldo inzake herindexering van het budget voor endogene kosten</t>
  </si>
  <si>
    <t>Kapitaalkostvergoeding voor het regulatoir saldo inzake vennootschapsbelasting</t>
  </si>
  <si>
    <t>Kapitaalkostvergoeding voor het regulatoir saldo inzake herwaarderingsmeerwaarden</t>
  </si>
  <si>
    <t>TABEL 4A: Opvolging regulatoir saldo inzake exogene kosten m.b.t. distributie</t>
  </si>
  <si>
    <t>REGULATOIRE SALDI INZAKE EXOGENE KOSTEN M.B.T. DISTRIBUTIE</t>
  </si>
  <si>
    <t>TABEL 4B: Overzicht regulatoir saldo inzake exogene kosten m.b.t. distributie per tariefcomponent</t>
  </si>
  <si>
    <t>Boeking regulatoir saldo inzake exogene kosten m.b.t. distributie per tariefcomponent</t>
  </si>
  <si>
    <t xml:space="preserve">Het basistarief voor het gebruik van het net </t>
  </si>
  <si>
    <t>Bepaling van het af te bouwen regulatoir saldo over de boekjaar:</t>
  </si>
  <si>
    <t>Afgebouwd regulatoir saldo inzake exogene kosten m.b.t. distributie per tariefcomponent</t>
  </si>
  <si>
    <t>Nog af te bouwen regulatoir saldo inzake exogene kosten m.b.t. distributie per tariefcomponent</t>
  </si>
  <si>
    <t>TABEL 4C: Opvolging regulatoir saldo inzake exogene kosten m.b.t. transmissie (exclusief federale bijdrage elektriciteit)</t>
  </si>
  <si>
    <t>REGULATOIRE SALDI INZAKE EXOGENE KOSTEN M.B.T. TRANSMISSIE</t>
  </si>
  <si>
    <t>TABEL 5A: Opvolging regulatoir saldo inzake volumerisico endogeen budget</t>
  </si>
  <si>
    <t>Boeking regulatoir saldo inzake volumeverschillen m.b.t. endogene kosten per tariefcomponent</t>
  </si>
  <si>
    <t>Afgebouwd regulatoir saldo inzake volumeverschillen m.b.t. endogene kosten per tariefcomponent</t>
  </si>
  <si>
    <t>Nog af te bouwen regulatoir saldo inzake volumeverschillen m.b.t. endogene kosten per tariefcomponent</t>
  </si>
  <si>
    <t>Het basistarief voor het gebruik van het net</t>
  </si>
  <si>
    <t>TABEL 5B: Overzicht regulatoir saldo inzake volumerisico endogeen budget per tariefcomponent</t>
  </si>
  <si>
    <t>Trans HS</t>
  </si>
  <si>
    <t>&gt;26-36 kV</t>
  </si>
  <si>
    <t>26-1 kV</t>
  </si>
  <si>
    <t>Trans LS</t>
  </si>
  <si>
    <t>LS</t>
  </si>
  <si>
    <t>Basistarief voor het gebruik van het net</t>
  </si>
  <si>
    <t>Tarief systeembeheer</t>
  </si>
  <si>
    <t>Tarief databeheer</t>
  </si>
  <si>
    <t>Tarief ter dekking van de kosten m.b.t. gebruik van het transmissienet (exclusief federale bijdrage elektriciteit)</t>
  </si>
  <si>
    <t>Indien in een boekjaar periodieke elektriciteitsdistributienettarieven (afname) van meer dan één tariefvoorstel worden toegepast, zal per tariefcomponent het relatief aandeel van de endogene kosten voor dat boekjaar worden bepaald op basis van het pro rata aandeel van de endogene kosten (afgerond op 2 decimalen), conform de methodiek zoals beschreven in paragraaf 5.6.6 van de hoofdtekst van de tariefmethodologie. Dit pro rata aandeel (afgerond op 2 decimalen) wordt aldus bepaald op basis van het aantal kalenderdagen dat de periodieke elektriciteitsdistributienettarieven (afname) volgens elk van de tariefvoorstellen van kracht waren. Hierbij dient de distributienetbeheerder in een afzonderlijk verklarende nota de detailberekening van het pro rata aandeel van de endogene kosten per tariefcomponent op te geven, d.w.z. dat uit de detailberekening voor elke tariefcomponent duidelijk dient te zijn wat het aandeel van de endogene kosten in elk van de toepasselijke tariefvoorstellen was en hoeveel kalenderdagen de tarieven uit elk van de tariefvoorstellen in het betreffende boekjaar van kracht waren.</t>
  </si>
  <si>
    <t>Indien in een boekjaar periodieke elektriciteitsdistributienettarieven (injectie) van meer dan één tariefvoorstel worden toegepast, zal per tariefcomponent het relatief aandeel van de endogene kosten voor dat boekjaar worden bepaald op basis van het pro rata aandeel van de endogene kosten (afgerond op 2 decimalen), conform de methodiek zoals beschreven in paragraaf 5.6.6 van de hoofdtekst van de tariefmethodologie. Dit pro rata aandeel (afgerond op 2 decimalen) wordt aldus bepaald op basis van het aantal kalenderdagen dat de periodieke elektriciteitsdistributienettarieven (injectie) volgens elk van de tariefvoorstellen van kracht waren. Hierbij dient de distributienetbeheerder in een afzonderlijk verklarende nota de detailberekening van het pro rata aandeel van de endogene kosten per tariefcomponent op te geven, d.w.z. dat uit de detailberekening voor elke tariefcomponent duidelijk dient te zijn wat het aandeel van de endogene kosten in elk van de toepasselijke tariefvoorstellen was en hoeveel kalenderdagen de tarieven uit elk van de tariefvoorstellen in het betreffende boekjaar van kracht waren.</t>
  </si>
  <si>
    <t>Indien in een boekjaar periodieke aardgasdistributienettarieven (afname) van meer dan één tariefvoorstel worden toegepast, zal per tariefcomponent het relatief aandeel van de endogene kosten voor dat boekjaar worden bepaald op basis van het pro rata aandeel van de endogene kosten (afgerond op 2 decimalen), conform de methodiek zoals beschreven in paragraaf 5.6.6 van de hoofdtekst van de tariefmethodologie. Dit pro rata aandeel (afgerond op 2 decimalen) wordt aldus bepaald op basis van het aantal kalenderdagen dat de periodieke aardgasdistributienettarieven (afname) volgens elk van de tariefvoorstellen van kracht waren. Hierbij dient de distributienetbeheerder in een afzonderlijk verklarende nota de detailberekening van het pro rata aandeel van de endogene kosten per tariefcomponent op te geven, d.w.z. dat uit de detailberekening voor elke tariefcomponent duidelijk dient te zijn wat het aandeel van de endogene kosten in elk van de toepasselijke tariefvoorstellen was en hoeveel kalenderdagen de tarieven uit elk van de tariefvoorstellen in het betreffende boekjaar van kracht waren.</t>
  </si>
  <si>
    <t>1. Tarief gebruik van het net</t>
  </si>
  <si>
    <t>1.2. Tarief systeembeheer</t>
  </si>
  <si>
    <t>1.3. Tarief databeheer</t>
  </si>
  <si>
    <t>3. Toeslagen</t>
  </si>
  <si>
    <t>T1</t>
  </si>
  <si>
    <t>T2</t>
  </si>
  <si>
    <t>T3</t>
  </si>
  <si>
    <t>T4</t>
  </si>
  <si>
    <t>T5</t>
  </si>
  <si>
    <t>T6</t>
  </si>
  <si>
    <t>Doorvoer</t>
  </si>
  <si>
    <t>Indien in een boekjaar periodieke aardgasdistributienettarieven (injectie) van meer dan één tariefvoorstel worden toegepast, zal per tariefcomponent het relatief aandeel van de endogene kosten voor dat boekjaar worden bepaald op basis van het pro rata aandeel van de endogene kosten (afgerond op 2 decimalen), conform de methodiek zoals beschreven in paragraaf 5.6.6 van de hoofdtekst van de tariefmethodologie. Dit pro rata aandeel (afgerond op 2 decimalen) wordt aldus bepaald op basis van het aantal kalenderdagen dat de periodieke aardgasdistributienettarieven (injectie) volgens elk van de tariefvoorstellen van kracht waren. Hierbij dient de distributienetbeheerder in een afzonderlijk verklarende nota de detailberekening van het pro rata aandeel van de endogene kosten per tariefcomponent op te geven, d.w.z. dat uit de detailberekening voor elke tariefcomponent duidelijk dient te zijn wat het aandeel van de endogene kosten in elk van de toepasselijke tariefvoorstellen was en hoeveel kalenderdagen de tarieven uit elk van de tariefvoorstellen in het betreffende boekjaar van kracht waren.</t>
  </si>
  <si>
    <t>1.1. Tarief systeembeheer</t>
  </si>
  <si>
    <t>1.2. Tarief databeheer</t>
  </si>
  <si>
    <t>TOTAAL (GAS-AFNAME)</t>
  </si>
  <si>
    <t>TOTAAL (GAS-INJECTIE)</t>
  </si>
  <si>
    <t>1.1. Basistarief voor gebruik van het net</t>
  </si>
  <si>
    <t xml:space="preserve">De ex-ante correctie voor vennootschapsbelasting, zoals vastgesteld door de VREG m.b.t. het toegelaten inkomen voor endogene kosten </t>
  </si>
  <si>
    <t>De ex-ante aanvullende endogene term voor de kosten m.b.t. herwaarderingsmeerwaarden (zowel afschrijvingen als kapitaalkostvergoeding), zoals vastgesteld door de VREG m.b.t. het toegelaten inkomen voor endogene kosten</t>
  </si>
  <si>
    <t>De door de VREG gegeven financiële incentives op het toegelaten inkomen voor endogene kosten</t>
  </si>
  <si>
    <t>2. Tarief openbare dienstverplichtingen</t>
  </si>
  <si>
    <t>x''-waarde voor de betreffende reguleringsperiode</t>
  </si>
  <si>
    <t>TABEL 8: Opvolging regulatoir saldo inzake herwaarderingsmeerwaarden</t>
  </si>
  <si>
    <t>REGULATOIRE SALDI M.B.T. HERWAARDERINGSMEERWAARDEN</t>
  </si>
  <si>
    <r>
      <rPr>
        <b/>
        <sz val="10"/>
        <color theme="1"/>
        <rFont val="Arial"/>
        <family val="2"/>
      </rPr>
      <t>Boeking</t>
    </r>
    <r>
      <rPr>
        <sz val="10"/>
        <color theme="1"/>
        <rFont val="Arial"/>
        <family val="2"/>
      </rPr>
      <t xml:space="preserve"> van het saldo in het resultaat van het exploitatiejaar</t>
    </r>
  </si>
  <si>
    <r>
      <t xml:space="preserve">Terugname </t>
    </r>
    <r>
      <rPr>
        <sz val="10"/>
        <color theme="1"/>
        <rFont val="Arial"/>
        <family val="2"/>
      </rPr>
      <t>van het saldo in het resultaat van het exploitatiejaar (zoals vastgelegd in de tariefmethodologie)</t>
    </r>
  </si>
  <si>
    <t>Retributies</t>
  </si>
  <si>
    <t>Heffing volgens het Decreet houdende het Grootschalig Referentiebestand</t>
  </si>
  <si>
    <t>TABEL 5C, 5D, 5E en 5F</t>
  </si>
  <si>
    <t>Fiscaal niet-aftrekbare afschrijvingen op herwaarderingsmeerwaarden (+)</t>
  </si>
  <si>
    <t>Notionele intrestaftrek (-)</t>
  </si>
  <si>
    <t>Regulatoir saldo m.b.t. vennootschapsbelasting</t>
  </si>
  <si>
    <t>Bijkomende opmerking:</t>
  </si>
  <si>
    <t>Statutaire aanslagvoet</t>
  </si>
  <si>
    <t>Fiscaal niet-aftrekbare afschrijvingen op herwaarderingsmeerwaarden</t>
  </si>
  <si>
    <t>Gelieve positieve waarden in te geven voor activa (indien debetsaldo) en passiva (indien creditsaldo), en omgekeerd.</t>
  </si>
  <si>
    <t>Notionele intrestaftrek</t>
  </si>
  <si>
    <t>In rekening te brengen notionele intrestaftrek</t>
  </si>
  <si>
    <t xml:space="preserve">Gereguleerde activiteit: </t>
  </si>
  <si>
    <t>Regulatoir saldo m.b.t. herwaarderingsmeerwaarden</t>
  </si>
  <si>
    <t>Afschrijvingen van de herwaarderingsmeerwaarden o.b.v. de historische indexatie</t>
  </si>
  <si>
    <t>Afschrijvingen van de herwaarderingsmeerwaarden o.b.v. de iRAB</t>
  </si>
  <si>
    <t>Gecorrigeerd bedrag aan risicokapitaal (cfr bepalingen in WIB 1992)</t>
  </si>
  <si>
    <t>Basistarief voor de notionele intrestaftrek (cfr bepalingen in WIB 1992)</t>
  </si>
  <si>
    <t>Evolutie van de meerwaarden op basis van de historische indexatie (materiële vaste acitva):</t>
  </si>
  <si>
    <t>De tekens die in de kolomhoofden van de tabellen opgenomen zijn, dienen te worden geïnterpreteerd als:</t>
  </si>
  <si>
    <t>+: gelieve positieve waarde in te geven</t>
  </si>
  <si>
    <t>-: gelieve negatieve waarde in te geven</t>
  </si>
  <si>
    <t>Activaposten (boekhoudkundige rubrieken 22, 23, 24, 25, 26 en 27)</t>
  </si>
  <si>
    <t>Terreinen</t>
  </si>
  <si>
    <t>Industriële gebouwen</t>
  </si>
  <si>
    <t>Administratieve gebouwen</t>
  </si>
  <si>
    <t>Kabels - Transformatie MS</t>
  </si>
  <si>
    <t>Kabels - Transformatie LS</t>
  </si>
  <si>
    <t>Lijnen - Transformatie MS</t>
  </si>
  <si>
    <t>Lijnen - Transformatie LS</t>
  </si>
  <si>
    <t>Posten &amp; cabines - Transformatie MS</t>
  </si>
  <si>
    <t>Posten &amp; cabines - Transformatie LS</t>
  </si>
  <si>
    <t>Hergebruikte uitrusting cabines</t>
  </si>
  <si>
    <t>Aansluitingen - Transformatie MS</t>
  </si>
  <si>
    <t>Aansluitingen - Transformatie LS</t>
  </si>
  <si>
    <t>Meetapparatuur - Transformatie MS</t>
  </si>
  <si>
    <t>Meetapparatuur - Transformatie LS</t>
  </si>
  <si>
    <t>Teletransmissie en optische vezels</t>
  </si>
  <si>
    <t>Gereedschap en meubilair</t>
  </si>
  <si>
    <t>Rollend materieel</t>
  </si>
  <si>
    <t>CAB, telebediening, uitrusting dispatching</t>
  </si>
  <si>
    <t>Labo uitrusting</t>
  </si>
  <si>
    <t>Administratieve uitrusting (informatica en kantoor)</t>
  </si>
  <si>
    <t>Telegelezen meters</t>
  </si>
  <si>
    <t>Budgetmeters</t>
  </si>
  <si>
    <t>WKK installaties</t>
  </si>
  <si>
    <t>Unieke Operator</t>
  </si>
  <si>
    <t>Project slimme netten</t>
  </si>
  <si>
    <t>Project clearing house</t>
  </si>
  <si>
    <t>Project slimme meters</t>
  </si>
  <si>
    <t>Oplaadpunten voor elektrische voertuigen</t>
  </si>
  <si>
    <t>Activa in aanbouw</t>
  </si>
  <si>
    <t xml:space="preserve">TOTAAL  </t>
  </si>
  <si>
    <t>Afschrijvingspercentage</t>
  </si>
  <si>
    <t>Digitale meters</t>
  </si>
  <si>
    <t>Evolutie van de meerwaarden op basis van de iRAB (materiële vaste acitva):</t>
  </si>
  <si>
    <t>BUDGET</t>
  </si>
  <si>
    <t>REALITEIT</t>
  </si>
  <si>
    <t>Leidingen - MD</t>
  </si>
  <si>
    <t>Leidingen - LD</t>
  </si>
  <si>
    <t>Cabines/Stations - MD</t>
  </si>
  <si>
    <t>Cabines/Stations - LD</t>
  </si>
  <si>
    <t>Aansluitingen - MD</t>
  </si>
  <si>
    <t>Aansluitingen - LD</t>
  </si>
  <si>
    <t>Meetapparatuur - MD</t>
  </si>
  <si>
    <t>Meetapparatuur - LD</t>
  </si>
  <si>
    <t>Labo-uitrusting</t>
  </si>
  <si>
    <t>m.b.t. historische indexatie</t>
  </si>
  <si>
    <t>m.b.t. iRAB</t>
  </si>
  <si>
    <t>Afschrijvingen</t>
  </si>
  <si>
    <t>Kapitaalkostvergoeding herwaarderingsmeerwaarden</t>
  </si>
  <si>
    <t>REGULATOIRE SALDI M.B.T. VENNOOTSCHAPSBELASTING</t>
  </si>
  <si>
    <t xml:space="preserve">Realiteit </t>
  </si>
  <si>
    <t xml:space="preserve">RICHTLIJNEN BIJ HET INVULLEN EN DE INTERPRETATIE VAN HET RAPPORTERINGSMODEL </t>
  </si>
  <si>
    <t>RAPPORTERINGSMODEL EXOGENE KOSTEN EN AANVULLENDE ENDOGENE TERMEN 2021</t>
  </si>
  <si>
    <t>TABEL 2: Algemeen overzicht exogene kosten</t>
  </si>
  <si>
    <t>EXOGEEN</t>
  </si>
  <si>
    <t>AANVULLENDE ENDOGENE TERMEN</t>
  </si>
  <si>
    <t>Gelieve in een afzonderlijk verklarende nota aan te tonen dat bij de berekening van het gecorrigeerd bedrag aan risicokapitaal de bepalingen in het WIB 1992 werden gevolgd. Hierbij dient de distributienetbeheerder rekening te houden met het eigen vermogen en de correctieposten zoals deze blijken uit de fiscale berekening voor het opstellen van de jaarrekening, waarna het hieruit resulterende gecorrigeerde bedrag aan risicokapitaal vervolgens a.d.h.v. een verdeelsleutel aan de verschillende activiteiten van de distributienetbeheerder wordt toegewezen.</t>
  </si>
  <si>
    <t>Afbouw regulatoir saldo inzake volumerisico endogeen budget, zoals vastgelegd in de tariefmethodologie (positieve waarde voor recuperatie tekort, en omgekeerd)</t>
  </si>
  <si>
    <t>Kapitaalkostvergoeding voor het regulatoir saldo inzake volumerisico endogeen budget</t>
  </si>
  <si>
    <t>Tarief aanvullende afname of injectie reactieve energie</t>
  </si>
  <si>
    <t>TOTAAL (ELEKTRICITEIT - AFNAME)</t>
  </si>
  <si>
    <t>TOTAAL (ELEKTRICITEIT - INJECTIE)</t>
  </si>
  <si>
    <t>Evolutie saldo m.b.t. herwaarderingsmeerwaarden op overlopende rekeningen</t>
  </si>
  <si>
    <t>Evolutie saldo m.b.t. volumerisico op overlopende rekeningen</t>
  </si>
  <si>
    <t>Endogene kosten m.b.t. de correctie voor de vennootschapsbelasting</t>
  </si>
  <si>
    <t>Endogene kosten m.b.t. de correctie voor de herwaarderingsmeerwaarden</t>
  </si>
  <si>
    <r>
      <t xml:space="preserve">Dit rapporteringsmodel heeft als doel om via een standaardformaat tegemoet te komen aan de informatiebehoeften van de VREG teneinde voor elke distributienetbeheerder een toegelaten inkomen m.b.t. de exogene kosten enerzijds en de aanvullende endogene termen anderzijds te bepalen.
Het model is voorzien van een aantal automatisch berekende waarden teneinde de verwerking van het rapporteringsmodel, zowel voor de distributienetbeheerder als voor de VREG, efficiënt te laten verlopen. Deze waarden werden door de VREG dan ook beveiligd. Het rapporteringsmodel dient door de distributienetbeheerder in één afgedrukt exemplaar te worden opgeleverd, alsook onder elektronische vorm (Excel-formaat). In de elektronische vorm zijn geen verwijzingen naar externe bestanden (koppelingen) toegelaten.
In geval van rapportering van de werkelijke cijfers </t>
    </r>
    <r>
      <rPr>
        <b/>
        <sz val="10"/>
        <rFont val="Arial"/>
        <family val="2"/>
      </rPr>
      <t>ex-post</t>
    </r>
    <r>
      <rPr>
        <sz val="10"/>
        <rFont val="Arial"/>
        <family val="2"/>
      </rPr>
      <t xml:space="preserve"> dient het ingevulde rapporteringsmodel te zijn gewaarmerkt door een rapport van feitelijke bevindingen van de commissaris van de distributienetbeheerder. Op </t>
    </r>
    <r>
      <rPr>
        <b/>
        <sz val="10"/>
        <rFont val="Arial"/>
        <family val="2"/>
      </rPr>
      <t>ex-ante</t>
    </r>
    <r>
      <rPr>
        <sz val="10"/>
        <rFont val="Arial"/>
        <family val="2"/>
      </rPr>
      <t xml:space="preserve"> basis (gebudgetteerde waarden) is een rapport van feitelijke bevindingen van de commissaris dus niet vereist. </t>
    </r>
  </si>
  <si>
    <t>Niet relevante waarde voor de betreffende rapportering</t>
  </si>
  <si>
    <t>ENDO</t>
  </si>
  <si>
    <t>EXO</t>
  </si>
  <si>
    <t>REGULATOIR SALDO HERINDEXERING BUDGET ENDOGENE KOSTEN</t>
  </si>
  <si>
    <t>LEGENDE CELKLEUREN</t>
  </si>
  <si>
    <t>OVERZICHT TABELLEN</t>
  </si>
  <si>
    <t>Kabels - &gt;26-36 kV</t>
  </si>
  <si>
    <t>Kabels - MS</t>
  </si>
  <si>
    <t>Kabels - LS</t>
  </si>
  <si>
    <t>Lijnen - &gt;26-36 kV</t>
  </si>
  <si>
    <t>Lijnen - MS</t>
  </si>
  <si>
    <t>Lijnen - LS</t>
  </si>
  <si>
    <t>Posten &amp; cabines - &gt;26-36 kV</t>
  </si>
  <si>
    <t>Posten &amp; cabines - MS</t>
  </si>
  <si>
    <t>Posten &amp; cabines - LS</t>
  </si>
  <si>
    <t>Aansluitingen - &gt;26-36 kV</t>
  </si>
  <si>
    <t>Aansluitingen - MS</t>
  </si>
  <si>
    <t>Aansluitingen - LS</t>
  </si>
  <si>
    <t>Meetapparatuur - &gt;26-36 kV</t>
  </si>
  <si>
    <t>Meetapparatuur - MS</t>
  </si>
  <si>
    <t>Meetapparatuur - LS</t>
  </si>
  <si>
    <t>H. Als herstructureringskosten geactiveerde bedrijfskosten (-)</t>
  </si>
  <si>
    <t>MAR-code</t>
  </si>
  <si>
    <t>635/8</t>
  </si>
  <si>
    <t xml:space="preserve">qi-waarde </t>
  </si>
  <si>
    <t>Regulatoir saldo inzake exogene kosten</t>
  </si>
  <si>
    <t>M.B.T. DISTRIBUTIE</t>
  </si>
  <si>
    <t>M.B.T. TRANSMISSIE</t>
  </si>
  <si>
    <t>Tarief voor het systeembeheer</t>
  </si>
  <si>
    <t>Tarief voor het databeheer</t>
  </si>
  <si>
    <t>Tarief voor openbare dienstverplichtingen</t>
  </si>
  <si>
    <t>Tarief voor de regeling van de spanning en het reactief vermogen</t>
  </si>
  <si>
    <t>Tarief voor de compensatie van de netverliezen</t>
  </si>
  <si>
    <t>Transmissiekosten</t>
  </si>
  <si>
    <t>TABEL 10: Fiscaal niet-aftrekbare afschrijvingen op herwaarderingsmeerwaarden</t>
  </si>
  <si>
    <t>TABEL 9: Algemeen overzicht aanvullende endogene termen</t>
  </si>
  <si>
    <t>Tarief beheer en ontwikkeling netwerkinfrastructuur - maandpiek voor afname</t>
  </si>
  <si>
    <t>Tarief beheer en ontwikkeling netwerkinfrastructuur - jaarpiek voor afname</t>
  </si>
  <si>
    <t>Tarief beheer en ontwikkeling netwerkinfrastructuur - ter beschikking gesteld vermogen voor afname</t>
  </si>
  <si>
    <t>Tarief beheer en ontwikkeling netwerkinfrastructuur - aansluitingstarieven</t>
  </si>
  <si>
    <t>Verplicht aangekochte GSC en WKC aan minimumwaarde volgens Energiedecreet</t>
  </si>
  <si>
    <t>Kapitaalkostvergoeding groenestroom- en warmtekrachtcertificaten (GSC en WKC)</t>
  </si>
  <si>
    <t>Voorraadwijziging GSC (toename voorraad: negatieve waarde, afname voorraad: positieve waarde)</t>
  </si>
  <si>
    <t>Voorraadwijziging WKC (toename voorraad: negatieve waarde, afname voorraad: positieve waarde)</t>
  </si>
  <si>
    <t>Netto-uitgaven/ -inkomsten (positieve waarde voor een netto-uitgave, en omgekeerd) i.h.k.v. de verrekening van de kost van GSC en WKC onder distributienetbeheerders volgens Energiedecreet (solidarisering opkoopverplichting)</t>
  </si>
  <si>
    <t>Tarief voor de belastingen, heffingen, toeslagen, bijdragen en retributies</t>
  </si>
  <si>
    <t>Overzicht van aanvullende endogene termen:</t>
  </si>
  <si>
    <t>NAAM DNB</t>
  </si>
  <si>
    <t>Bijkomende opmerking</t>
  </si>
  <si>
    <t>De transfers die door de distributienetbeheerder in het betreffende boekjaar tussen de verschillende activarubrieken werden doorgevoerd, dienen in een afzonderlijk verklarende nota uitgebreid te worden gemotiveerd.</t>
  </si>
  <si>
    <t>Fiscaal niet-aftrekbare heffing volgens het Decreet houdende het Grootschalig Referentiebestand</t>
  </si>
  <si>
    <t>TABEL 11: Fiscaal niet-aftrekbare heffing volgens het Decreet houdende het Grootschalig Referentiebestand</t>
  </si>
  <si>
    <t>Fiscaal niet-aftrekbare heffing volgens het Decreet houdende het Grootschalig Referentiebestand (+)</t>
  </si>
  <si>
    <t>TABEL 12: Notionele intrestaftrek</t>
  </si>
  <si>
    <t>TABEL 13A: Afschrijvingen van de meerwaarde op basis van de historische indexatie (materiële vaste activa) - elektriciteit</t>
  </si>
  <si>
    <t>TABEL 13B: Afschrijvingen van de meerwaarde op basis van de iRAB (materiële vaste activa) - elektriciteit</t>
  </si>
  <si>
    <t>TABEL 13C: Afschrijvingen van de meerwaarde op basis van de historische indexatie (materiële vaste activa) - gas</t>
  </si>
  <si>
    <t>TABEL 14: Kapitaalkostvergoeding herwaarderingsmeerwaarden</t>
  </si>
  <si>
    <t>df</t>
  </si>
  <si>
    <t>Afschrijvingen op herwaarderingsmeerwaarden</t>
  </si>
  <si>
    <t>Desinvesteringen (n.a.v. verkoop of structuurwijziging)</t>
  </si>
  <si>
    <t>In rekening te brengen afschrijvingen voor</t>
  </si>
  <si>
    <t>E. Niet-recurrente bedrijfsopbrengsten</t>
  </si>
  <si>
    <t>76A</t>
  </si>
  <si>
    <t>70/76A</t>
  </si>
  <si>
    <t>A. Recurrente financiële opbrengsten</t>
  </si>
  <si>
    <t>B. Niet-recurrente financiële opbrengsten</t>
  </si>
  <si>
    <t>76B</t>
  </si>
  <si>
    <t>75/76B</t>
  </si>
  <si>
    <t>60/66A</t>
  </si>
  <si>
    <t>I. Niet-recurrente bedrijfskosten</t>
  </si>
  <si>
    <t>66A</t>
  </si>
  <si>
    <t>A. Recurrente financiële kosten</t>
  </si>
  <si>
    <t>B. Niet-recurrente financiële kosten</t>
  </si>
  <si>
    <t>66B</t>
  </si>
  <si>
    <t>65/66B</t>
  </si>
  <si>
    <t>ex-ante</t>
  </si>
  <si>
    <t>Opbrengsten m.b.t. financiering OCMW-recuperaties inzake de minimale levering aardgas</t>
  </si>
  <si>
    <t>Kosten m.b.t. financiering OCMW-recuperaties inzake de minimale levering aardgas</t>
  </si>
  <si>
    <t>[Toegevoegd bij beslissing van de VREG van 8 oktober 2021]</t>
  </si>
  <si>
    <t>[Gewijzigd bij beslissing van de VREG van 8 oktober 2021]</t>
  </si>
  <si>
    <t>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</si>
</sst>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0\ &quot;€&quot;;\-#,##0.00\ &quot;€&quot;"/>
    <numFmt numFmtId="165" formatCode="_-* #,##0.00\ &quot;€&quot;_-;\-* #,##0.00\ &quot;€&quot;_-;_-* &quot;-&quot;??\ &quot;€&quot;_-;_-@_-"/>
    <numFmt numFmtId="166" formatCode="_-* #,##0.00\ _€_-;\-* #,##0.00\ _€_-;_-* &quot;-&quot;??\ _€_-;_-@_-"/>
    <numFmt numFmtId="167" formatCode="#,##0.00\ &quot;€&quot;"/>
    <numFmt numFmtId="168" formatCode="#,##0.0000"/>
    <numFmt numFmtId="169" formatCode="#,##0.00000"/>
    <numFmt numFmtId="170" formatCode="#,##0.000000"/>
    <numFmt numFmtId="171" formatCode="#,##0.0000000000000"/>
    <numFmt numFmtId="172" formatCode="0.000%"/>
    <numFmt numFmtId="173" formatCode="#,##0.000"/>
    <numFmt numFmtId="174" formatCode="#,##0.0000000000"/>
    <numFmt numFmtId="175" formatCode="0.0000%"/>
  </numFmts>
  <fonts count="98" x14ac:knownFonts="1">
    <font>
      <sz val="10"/>
      <name val="Arial"/>
      <family val="2"/>
    </font>
    <font>
      <sz val="11"/>
      <color theme="1"/>
      <name val="Calibri"/>
      <family val="2"/>
      <scheme val="minor"/>
    </font>
    <font>
      <sz val="11"/>
      <color indexed="8"/>
      <name val="Calibri"/>
      <family val="2"/>
    </font>
    <font>
      <sz val="10"/>
      <name val="Arial"/>
      <family val="2"/>
    </font>
    <font>
      <b/>
      <sz val="12"/>
      <name val="Arial"/>
      <family val="2"/>
    </font>
    <font>
      <b/>
      <u/>
      <sz val="10"/>
      <name val="Arial"/>
      <family val="2"/>
    </font>
    <font>
      <i/>
      <sz val="10"/>
      <name val="Arial"/>
      <family val="2"/>
    </font>
    <font>
      <b/>
      <sz val="10"/>
      <name val="Arial"/>
      <family val="2"/>
    </font>
    <font>
      <sz val="10"/>
      <color indexed="8"/>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u/>
      <sz val="14"/>
      <name val="Arial"/>
      <family val="2"/>
    </font>
    <font>
      <sz val="11"/>
      <name val="Arial"/>
      <family val="2"/>
    </font>
    <font>
      <b/>
      <sz val="11"/>
      <name val="Arial"/>
      <family val="2"/>
    </font>
    <font>
      <u/>
      <sz val="10"/>
      <color indexed="12"/>
      <name val="Arial"/>
      <family val="2"/>
    </font>
    <font>
      <b/>
      <i/>
      <sz val="10"/>
      <name val="Arial"/>
      <family val="2"/>
    </font>
    <font>
      <b/>
      <sz val="14"/>
      <name val="Arial"/>
      <family val="2"/>
    </font>
    <font>
      <b/>
      <sz val="8"/>
      <name val="Arial"/>
      <family val="2"/>
    </font>
    <font>
      <b/>
      <u/>
      <sz val="12"/>
      <name val="Arial"/>
      <family val="2"/>
    </font>
    <font>
      <b/>
      <sz val="13"/>
      <name val="Arial"/>
      <family val="2"/>
    </font>
    <font>
      <b/>
      <sz val="10"/>
      <color indexed="10"/>
      <name val="Arial"/>
      <family val="2"/>
    </font>
    <font>
      <i/>
      <sz val="9"/>
      <name val="Arial"/>
      <family val="2"/>
    </font>
    <font>
      <b/>
      <u/>
      <sz val="11"/>
      <name val="Arial"/>
      <family val="2"/>
    </font>
    <font>
      <sz val="12"/>
      <name val="Arial"/>
      <family val="2"/>
    </font>
    <font>
      <sz val="14"/>
      <name val="Arial"/>
      <family val="2"/>
    </font>
    <font>
      <sz val="8"/>
      <name val="Arial"/>
      <family val="2"/>
    </font>
    <font>
      <sz val="10"/>
      <name val="Arial"/>
      <family val="2"/>
    </font>
    <font>
      <sz val="10"/>
      <color indexed="8"/>
      <name val="MS Sans Serif"/>
      <family val="2"/>
    </font>
    <font>
      <sz val="9"/>
      <name val="Arial"/>
      <family val="2"/>
    </font>
    <font>
      <sz val="10"/>
      <name val="Tahoma"/>
      <family val="2"/>
    </font>
    <font>
      <sz val="10"/>
      <color indexed="8"/>
      <name val="Tahoma"/>
      <family val="2"/>
    </font>
    <font>
      <i/>
      <sz val="8"/>
      <name val="Arial"/>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u/>
      <sz val="8"/>
      <name val="Arial"/>
      <family val="2"/>
    </font>
    <font>
      <u/>
      <sz val="10"/>
      <name val="Arial"/>
      <family val="2"/>
    </font>
    <font>
      <sz val="10"/>
      <color indexed="12"/>
      <name val="Arial"/>
      <family val="2"/>
    </font>
    <font>
      <b/>
      <u/>
      <sz val="9"/>
      <name val="Arial"/>
      <family val="2"/>
    </font>
    <font>
      <b/>
      <sz val="18"/>
      <color indexed="62"/>
      <name val="Cambria"/>
      <family val="2"/>
    </font>
    <font>
      <b/>
      <vertAlign val="subscript"/>
      <sz val="10"/>
      <name val="Arial"/>
      <family val="2"/>
    </font>
    <font>
      <sz val="11"/>
      <color theme="1"/>
      <name val="Calibri"/>
      <family val="2"/>
      <scheme val="minor"/>
    </font>
    <font>
      <b/>
      <sz val="8"/>
      <color theme="4" tint="-0.249977111117893"/>
      <name val="Arial"/>
      <family val="2"/>
    </font>
    <font>
      <sz val="10"/>
      <color theme="4" tint="-0.249977111117893"/>
      <name val="Arial"/>
      <family val="2"/>
    </font>
    <font>
      <b/>
      <i/>
      <sz val="12"/>
      <color theme="4" tint="-0.249977111117893"/>
      <name val="Arial"/>
      <family val="2"/>
    </font>
    <font>
      <b/>
      <sz val="12"/>
      <color theme="4" tint="-0.249977111117893"/>
      <name val="Arial"/>
      <family val="2"/>
    </font>
    <font>
      <i/>
      <sz val="10"/>
      <color theme="4" tint="-0.249977111117893"/>
      <name val="Arial"/>
      <family val="2"/>
    </font>
    <font>
      <b/>
      <sz val="10"/>
      <color theme="4" tint="-0.249977111117893"/>
      <name val="Arial"/>
      <family val="2"/>
    </font>
    <font>
      <sz val="10"/>
      <color theme="0"/>
      <name val="Arial"/>
      <family val="2"/>
    </font>
    <font>
      <b/>
      <u/>
      <sz val="12"/>
      <color theme="0"/>
      <name val="Arial"/>
      <family val="2"/>
    </font>
    <font>
      <b/>
      <sz val="8"/>
      <color theme="0"/>
      <name val="Arial"/>
      <family val="2"/>
    </font>
    <font>
      <sz val="8"/>
      <color theme="0"/>
      <name val="Arial"/>
      <family val="2"/>
    </font>
    <font>
      <b/>
      <sz val="12"/>
      <color theme="0"/>
      <name val="Arial"/>
      <family val="2"/>
    </font>
    <font>
      <sz val="14"/>
      <color theme="0"/>
      <name val="Arial"/>
      <family val="2"/>
    </font>
    <font>
      <sz val="10"/>
      <color rgb="FF00B050"/>
      <name val="Arial"/>
      <family val="2"/>
    </font>
    <font>
      <b/>
      <sz val="10"/>
      <color rgb="FF00B050"/>
      <name val="Arial"/>
      <family val="2"/>
    </font>
    <font>
      <i/>
      <sz val="10"/>
      <color rgb="FF00B050"/>
      <name val="Arial"/>
      <family val="2"/>
    </font>
    <font>
      <i/>
      <sz val="10"/>
      <color theme="0"/>
      <name val="Arial"/>
      <family val="2"/>
    </font>
    <font>
      <b/>
      <sz val="8"/>
      <color rgb="FFFF0000"/>
      <name val="Arial"/>
      <family val="2"/>
    </font>
    <font>
      <sz val="10"/>
      <color rgb="FFFF0000"/>
      <name val="Arial"/>
      <family val="2"/>
    </font>
    <font>
      <b/>
      <sz val="14"/>
      <color rgb="FFFF0000"/>
      <name val="Arial"/>
      <family val="2"/>
    </font>
    <font>
      <sz val="10"/>
      <color theme="1"/>
      <name val="Arial"/>
      <family val="2"/>
    </font>
    <font>
      <b/>
      <u/>
      <sz val="12"/>
      <color rgb="FFFF0000"/>
      <name val="Arial"/>
      <family val="2"/>
    </font>
    <font>
      <b/>
      <u/>
      <sz val="11"/>
      <color rgb="FFFF0000"/>
      <name val="Arial"/>
      <family val="2"/>
    </font>
    <font>
      <b/>
      <sz val="12"/>
      <color rgb="FFFF0000"/>
      <name val="Arial"/>
      <family val="2"/>
    </font>
    <font>
      <i/>
      <sz val="10"/>
      <color rgb="FFFF0000"/>
      <name val="Arial"/>
      <family val="2"/>
    </font>
    <font>
      <b/>
      <sz val="10"/>
      <color indexed="12"/>
      <name val="Arial"/>
      <family val="2"/>
    </font>
    <font>
      <sz val="8"/>
      <color rgb="FFFF0000"/>
      <name val="Arial"/>
      <family val="2"/>
    </font>
    <font>
      <sz val="14"/>
      <color rgb="FFFF0000"/>
      <name val="Arial"/>
      <family val="2"/>
    </font>
    <font>
      <b/>
      <sz val="10"/>
      <color theme="0"/>
      <name val="Arial"/>
      <family val="2"/>
    </font>
    <font>
      <b/>
      <sz val="14"/>
      <color theme="0"/>
      <name val="Arial"/>
      <family val="2"/>
    </font>
    <font>
      <b/>
      <sz val="10"/>
      <color theme="1"/>
      <name val="Arial"/>
      <family val="2"/>
    </font>
    <font>
      <b/>
      <i/>
      <sz val="9"/>
      <name val="Arial"/>
      <family val="2"/>
    </font>
    <font>
      <b/>
      <sz val="20"/>
      <color theme="0"/>
      <name val="Arial"/>
      <family val="2"/>
    </font>
    <font>
      <u/>
      <sz val="10"/>
      <color theme="0" tint="-0.499984740745262"/>
      <name val="Arial"/>
      <family val="2"/>
    </font>
    <font>
      <sz val="10"/>
      <color theme="0" tint="-0.499984740745262"/>
      <name val="Arial"/>
      <family val="2"/>
    </font>
    <font>
      <b/>
      <i/>
      <u/>
      <sz val="10"/>
      <name val="Arial"/>
      <family val="2"/>
    </font>
    <font>
      <sz val="10"/>
      <color theme="6" tint="-0.499984740745262"/>
      <name val="Arial"/>
      <family val="2"/>
    </font>
    <font>
      <i/>
      <sz val="10"/>
      <color theme="6" tint="-0.499984740745262"/>
      <name val="Arial"/>
      <family val="2"/>
    </font>
    <font>
      <b/>
      <sz val="10"/>
      <color theme="6" tint="-0.499984740745262"/>
      <name val="Arial"/>
      <family val="2"/>
    </font>
    <font>
      <i/>
      <sz val="9"/>
      <color theme="6" tint="-0.499984740745262"/>
      <name val="Arial"/>
      <family val="2"/>
    </font>
    <font>
      <b/>
      <i/>
      <sz val="10"/>
      <color theme="6" tint="-0.499984740745262"/>
      <name val="Arial"/>
      <family val="2"/>
    </font>
  </fonts>
  <fills count="46">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0"/>
        <bgColor indexed="64"/>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9"/>
      </patternFill>
    </fill>
    <fill>
      <patternFill patternType="solid">
        <fgColor indexed="26"/>
        <bgColor indexed="64"/>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lightUp"/>
    </fill>
    <fill>
      <patternFill patternType="solid">
        <fgColor rgb="FFFFFFB3"/>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lightUp">
        <bgColor theme="0"/>
      </patternFill>
    </fill>
    <fill>
      <patternFill patternType="solid">
        <fgColor theme="3" tint="0.79995117038483843"/>
        <bgColor indexed="64"/>
      </patternFill>
    </fill>
    <fill>
      <patternFill patternType="lightUp">
        <bgColor rgb="FFFFFFB3"/>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lightUp">
        <bgColor theme="3" tint="0.79995117038483843"/>
      </patternFill>
    </fill>
    <fill>
      <patternFill patternType="lightUp">
        <bgColor theme="0" tint="-4.9989318521683403E-2"/>
      </patternFill>
    </fill>
    <fill>
      <patternFill patternType="lightUp">
        <bgColor theme="0" tint="-0.14999847407452621"/>
      </patternFill>
    </fill>
    <fill>
      <patternFill patternType="lightUp">
        <bgColor theme="0" tint="-0.14996795556505021"/>
      </patternFill>
    </fill>
    <fill>
      <patternFill patternType="solid">
        <fgColor rgb="FFC5D9F1"/>
        <bgColor indexed="64"/>
      </patternFill>
    </fill>
  </fills>
  <borders count="1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thin">
        <color indexed="64"/>
      </right>
      <top/>
      <bottom/>
      <diagonal/>
    </border>
    <border>
      <left style="medium">
        <color indexed="64"/>
      </left>
      <right/>
      <top/>
      <bottom/>
      <diagonal/>
    </border>
    <border>
      <left/>
      <right/>
      <top/>
      <bottom style="medium">
        <color indexed="64"/>
      </bottom>
      <diagonal/>
    </border>
    <border>
      <left style="double">
        <color indexed="64"/>
      </left>
      <right/>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right style="double">
        <color indexed="64"/>
      </right>
      <top/>
      <bottom/>
      <diagonal/>
    </border>
    <border>
      <left style="double">
        <color indexed="64"/>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top style="medium">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hair">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medium">
        <color indexed="64"/>
      </left>
      <right style="medium">
        <color indexed="64"/>
      </right>
      <top/>
      <bottom style="medium">
        <color indexed="64"/>
      </bottom>
      <diagonal/>
    </border>
    <border>
      <left/>
      <right/>
      <top/>
      <bottom style="dotted">
        <color indexed="64"/>
      </bottom>
      <diagonal/>
    </border>
    <border>
      <left style="medium">
        <color indexed="64"/>
      </left>
      <right style="medium">
        <color indexed="64"/>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style="medium">
        <color indexed="64"/>
      </left>
      <right/>
      <top style="thin">
        <color indexed="64"/>
      </top>
      <bottom/>
      <diagonal/>
    </border>
    <border>
      <left/>
      <right/>
      <top style="dotted">
        <color indexed="64"/>
      </top>
      <bottom/>
      <diagonal/>
    </border>
    <border>
      <left style="medium">
        <color indexed="64"/>
      </left>
      <right style="medium">
        <color indexed="64"/>
      </right>
      <top style="dotted">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195">
    <xf numFmtId="0" fontId="0" fillId="0" borderId="0"/>
    <xf numFmtId="0" fontId="3" fillId="0" borderId="0"/>
    <xf numFmtId="0" fontId="45" fillId="2" borderId="0" applyNumberFormat="0" applyBorder="0" applyAlignment="0" applyProtection="0"/>
    <xf numFmtId="0" fontId="36" fillId="12" borderId="1" applyNumberFormat="0" applyAlignment="0" applyProtection="0"/>
    <xf numFmtId="0" fontId="37" fillId="13" borderId="2" applyNumberFormat="0" applyAlignment="0" applyProtection="0"/>
    <xf numFmtId="166" fontId="3" fillId="0" borderId="0" applyFont="0" applyFill="0" applyBorder="0" applyAlignment="0" applyProtection="0"/>
    <xf numFmtId="165" fontId="3" fillId="0" borderId="0" applyFont="0" applyFill="0" applyBorder="0" applyAlignment="0" applyProtection="0"/>
    <xf numFmtId="0" fontId="49" fillId="0" borderId="0" applyNumberFormat="0" applyFill="0" applyBorder="0" applyAlignment="0" applyProtection="0"/>
    <xf numFmtId="0" fontId="39" fillId="3" borderId="0" applyNumberFormat="0" applyBorder="0" applyAlignment="0" applyProtection="0"/>
    <xf numFmtId="0" fontId="41" fillId="0" borderId="4" applyNumberFormat="0" applyFill="0" applyAlignment="0" applyProtection="0"/>
    <xf numFmtId="0" fontId="42" fillId="0" borderId="5" applyNumberFormat="0" applyFill="0" applyAlignment="0" applyProtection="0"/>
    <xf numFmtId="0" fontId="43" fillId="0" borderId="6" applyNumberFormat="0" applyFill="0" applyAlignment="0" applyProtection="0"/>
    <xf numFmtId="0" fontId="43" fillId="0" borderId="0" applyNumberFormat="0" applyFill="0" applyBorder="0" applyAlignment="0" applyProtection="0"/>
    <xf numFmtId="0" fontId="18" fillId="0" borderId="0" applyNumberFormat="0" applyFill="0" applyBorder="0" applyAlignment="0" applyProtection="0">
      <alignment vertical="top"/>
      <protection locked="0"/>
    </xf>
    <xf numFmtId="0" fontId="40" fillId="4" borderId="1"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0" fontId="38" fillId="0" borderId="3" applyNumberFormat="0" applyFill="0" applyAlignment="0" applyProtection="0"/>
    <xf numFmtId="166" fontId="3" fillId="0" borderId="0" applyFont="0" applyFill="0" applyBorder="0" applyAlignment="0" applyProtection="0"/>
    <xf numFmtId="166" fontId="57" fillId="0" borderId="0" applyFont="0" applyFill="0" applyBorder="0" applyAlignment="0" applyProtection="0"/>
    <xf numFmtId="166" fontId="3" fillId="0" borderId="0" applyFont="0" applyFill="0" applyBorder="0" applyAlignment="0" applyProtection="0"/>
    <xf numFmtId="0" fontId="44" fillId="14" borderId="0" applyNumberFormat="0" applyBorder="0" applyAlignment="0" applyProtection="0"/>
    <xf numFmtId="0" fontId="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3" fillId="0" borderId="0"/>
    <xf numFmtId="0" fontId="3" fillId="0" borderId="0"/>
    <xf numFmtId="0" fontId="3" fillId="0" borderId="0"/>
    <xf numFmtId="0" fontId="3" fillId="0" borderId="0"/>
    <xf numFmtId="0" fontId="3" fillId="0" borderId="0"/>
    <xf numFmtId="0" fontId="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3" fillId="0" borderId="0"/>
    <xf numFmtId="0" fontId="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3" fillId="0" borderId="0"/>
    <xf numFmtId="0" fontId="57" fillId="0" borderId="0"/>
    <xf numFmtId="0" fontId="57" fillId="0" borderId="0"/>
    <xf numFmtId="0" fontId="57" fillId="0" borderId="0"/>
    <xf numFmtId="0" fontId="57" fillId="0" borderId="0"/>
    <xf numFmtId="0" fontId="57" fillId="0" borderId="0"/>
    <xf numFmtId="0" fontId="3" fillId="0" borderId="0"/>
    <xf numFmtId="0" fontId="3" fillId="0" borderId="0"/>
    <xf numFmtId="0" fontId="3" fillId="15" borderId="7" applyNumberFormat="0" applyFont="0" applyAlignment="0" applyProtection="0"/>
    <xf numFmtId="0" fontId="48" fillId="12"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4" fontId="9" fillId="14" borderId="9" applyNumberFormat="0" applyProtection="0">
      <alignment vertical="center"/>
    </xf>
    <xf numFmtId="4" fontId="10" fillId="16" borderId="9" applyNumberFormat="0" applyProtection="0">
      <alignment vertical="center"/>
    </xf>
    <xf numFmtId="4" fontId="9" fillId="16" borderId="9" applyNumberFormat="0" applyProtection="0">
      <alignment horizontal="left" vertical="center" indent="1"/>
    </xf>
    <xf numFmtId="0" fontId="9" fillId="16" borderId="9" applyNumberFormat="0" applyProtection="0">
      <alignment horizontal="left" vertical="top" indent="1"/>
    </xf>
    <xf numFmtId="4" fontId="9" fillId="17" borderId="0" applyNumberFormat="0" applyProtection="0">
      <alignment horizontal="left" vertical="center" indent="1"/>
    </xf>
    <xf numFmtId="4" fontId="9" fillId="18" borderId="0" applyNumberFormat="0" applyProtection="0">
      <alignment horizontal="left" vertical="center" indent="1"/>
    </xf>
    <xf numFmtId="4" fontId="8" fillId="2" borderId="9" applyNumberFormat="0" applyProtection="0">
      <alignment horizontal="right" vertical="center"/>
    </xf>
    <xf numFmtId="4" fontId="8" fillId="5" borderId="9" applyNumberFormat="0" applyProtection="0">
      <alignment horizontal="right" vertical="center"/>
    </xf>
    <xf numFmtId="4" fontId="8" fillId="9" borderId="9" applyNumberFormat="0" applyProtection="0">
      <alignment horizontal="right" vertical="center"/>
    </xf>
    <xf numFmtId="4" fontId="8" fillId="7" borderId="9" applyNumberFormat="0" applyProtection="0">
      <alignment horizontal="right" vertical="center"/>
    </xf>
    <xf numFmtId="4" fontId="8" fillId="8" borderId="9" applyNumberFormat="0" applyProtection="0">
      <alignment horizontal="right" vertical="center"/>
    </xf>
    <xf numFmtId="4" fontId="8" fillId="11" borderId="9" applyNumberFormat="0" applyProtection="0">
      <alignment horizontal="right" vertical="center"/>
    </xf>
    <xf numFmtId="4" fontId="8" fillId="10" borderId="9" applyNumberFormat="0" applyProtection="0">
      <alignment horizontal="right" vertical="center"/>
    </xf>
    <xf numFmtId="4" fontId="8" fillId="19" borderId="9" applyNumberFormat="0" applyProtection="0">
      <alignment horizontal="right" vertical="center"/>
    </xf>
    <xf numFmtId="4" fontId="8" fillId="6" borderId="9" applyNumberFormat="0" applyProtection="0">
      <alignment horizontal="right" vertical="center"/>
    </xf>
    <xf numFmtId="4" fontId="9" fillId="20" borderId="10" applyNumberFormat="0" applyProtection="0">
      <alignment horizontal="left" vertical="center" indent="1"/>
    </xf>
    <xf numFmtId="4" fontId="8" fillId="21" borderId="0" applyNumberFormat="0" applyProtection="0">
      <alignment horizontal="left" vertical="center" indent="1"/>
    </xf>
    <xf numFmtId="4" fontId="11" fillId="22" borderId="0" applyNumberFormat="0" applyProtection="0">
      <alignment horizontal="left" vertical="center" indent="1"/>
    </xf>
    <xf numFmtId="4" fontId="8" fillId="18" borderId="9" applyNumberFormat="0" applyProtection="0">
      <alignment horizontal="right" vertical="center"/>
    </xf>
    <xf numFmtId="4" fontId="8" fillId="21" borderId="0" applyNumberFormat="0" applyProtection="0">
      <alignment horizontal="left" vertical="center" indent="1"/>
    </xf>
    <xf numFmtId="4" fontId="8" fillId="17" borderId="0" applyNumberFormat="0" applyProtection="0">
      <alignment horizontal="left" vertical="center" indent="1"/>
    </xf>
    <xf numFmtId="0" fontId="3" fillId="22" borderId="9" applyNumberFormat="0" applyProtection="0">
      <alignment horizontal="left" vertical="center" indent="1"/>
    </xf>
    <xf numFmtId="0" fontId="3" fillId="22" borderId="9" applyNumberFormat="0" applyProtection="0">
      <alignment horizontal="left" vertical="top" indent="1"/>
    </xf>
    <xf numFmtId="0" fontId="3" fillId="17" borderId="9" applyNumberFormat="0" applyProtection="0">
      <alignment horizontal="left" vertical="center" indent="1"/>
    </xf>
    <xf numFmtId="0" fontId="3" fillId="17" borderId="9" applyNumberFormat="0" applyProtection="0">
      <alignment horizontal="left" vertical="top" indent="1"/>
    </xf>
    <xf numFmtId="0" fontId="3" fillId="23" borderId="9" applyNumberFormat="0" applyProtection="0">
      <alignment horizontal="left" vertical="center" indent="1"/>
    </xf>
    <xf numFmtId="0" fontId="3" fillId="23" borderId="9" applyNumberFormat="0" applyProtection="0">
      <alignment horizontal="left" vertical="top" indent="1"/>
    </xf>
    <xf numFmtId="0" fontId="3" fillId="24" borderId="9" applyNumberFormat="0" applyProtection="0">
      <alignment horizontal="left" vertical="center" indent="1"/>
    </xf>
    <xf numFmtId="0" fontId="3" fillId="24" borderId="9" applyNumberFormat="0" applyProtection="0">
      <alignment horizontal="left" vertical="top" indent="1"/>
    </xf>
    <xf numFmtId="0" fontId="3" fillId="25" borderId="11" applyNumberFormat="0">
      <protection locked="0"/>
    </xf>
    <xf numFmtId="4" fontId="8" fillId="26" borderId="9" applyNumberFormat="0" applyProtection="0">
      <alignment vertical="center"/>
    </xf>
    <xf numFmtId="4" fontId="12" fillId="26" borderId="9" applyNumberFormat="0" applyProtection="0">
      <alignment vertical="center"/>
    </xf>
    <xf numFmtId="4" fontId="8" fillId="26" borderId="9" applyNumberFormat="0" applyProtection="0">
      <alignment horizontal="left" vertical="center" indent="1"/>
    </xf>
    <xf numFmtId="0" fontId="8" fillId="26" borderId="9" applyNumberFormat="0" applyProtection="0">
      <alignment horizontal="left" vertical="top" indent="1"/>
    </xf>
    <xf numFmtId="4" fontId="8" fillId="21" borderId="9" applyNumberFormat="0" applyProtection="0">
      <alignment horizontal="right" vertical="center"/>
    </xf>
    <xf numFmtId="4" fontId="12" fillId="21" borderId="9" applyNumberFormat="0" applyProtection="0">
      <alignment horizontal="right" vertical="center"/>
    </xf>
    <xf numFmtId="4" fontId="8" fillId="18" borderId="9" applyNumberFormat="0" applyProtection="0">
      <alignment horizontal="left" vertical="center" indent="1"/>
    </xf>
    <xf numFmtId="4" fontId="8" fillId="18" borderId="9" applyNumberFormat="0" applyProtection="0">
      <alignment horizontal="left" vertical="center" indent="1"/>
    </xf>
    <xf numFmtId="0" fontId="8" fillId="17" borderId="9" applyNumberFormat="0" applyProtection="0">
      <alignment horizontal="left" vertical="top" indent="1"/>
    </xf>
    <xf numFmtId="4" fontId="13" fillId="27" borderId="0" applyNumberFormat="0" applyProtection="0">
      <alignment horizontal="left" vertical="center" indent="1"/>
    </xf>
    <xf numFmtId="4" fontId="14" fillId="21" borderId="9" applyNumberFormat="0" applyProtection="0">
      <alignment horizontal="right" vertical="center"/>
    </xf>
    <xf numFmtId="0" fontId="55" fillId="0" borderId="0" applyNumberFormat="0" applyFill="0" applyBorder="0" applyAlignment="0" applyProtection="0"/>
    <xf numFmtId="0" fontId="3" fillId="0" borderId="0">
      <alignment vertical="top"/>
    </xf>
    <xf numFmtId="0" fontId="3" fillId="0" borderId="0">
      <alignment vertical="top"/>
    </xf>
    <xf numFmtId="0" fontId="3" fillId="0" borderId="0"/>
    <xf numFmtId="0" fontId="3" fillId="0" borderId="0"/>
    <xf numFmtId="0" fontId="3" fillId="0" borderId="0">
      <alignment vertical="top"/>
    </xf>
    <xf numFmtId="0" fontId="3" fillId="0" borderId="0"/>
    <xf numFmtId="0" fontId="3" fillId="0" borderId="0">
      <alignment vertical="top"/>
    </xf>
    <xf numFmtId="0" fontId="3" fillId="0" borderId="0"/>
    <xf numFmtId="0" fontId="57" fillId="0" borderId="0"/>
    <xf numFmtId="0" fontId="3" fillId="0" borderId="0">
      <alignment vertical="top"/>
    </xf>
    <xf numFmtId="0" fontId="2" fillId="0" borderId="0"/>
    <xf numFmtId="0" fontId="3" fillId="0" borderId="0">
      <alignment vertical="top"/>
    </xf>
    <xf numFmtId="0" fontId="3" fillId="0" borderId="0">
      <alignment vertical="top"/>
    </xf>
    <xf numFmtId="0" fontId="30" fillId="0" borderId="0"/>
    <xf numFmtId="0" fontId="3" fillId="0" borderId="0"/>
    <xf numFmtId="0" fontId="3" fillId="0" borderId="0"/>
    <xf numFmtId="0" fontId="31" fillId="0" borderId="0"/>
    <xf numFmtId="0" fontId="3" fillId="0" borderId="0"/>
    <xf numFmtId="0" fontId="3" fillId="0" borderId="0"/>
    <xf numFmtId="0" fontId="8" fillId="0" borderId="0">
      <alignment vertical="top"/>
    </xf>
    <xf numFmtId="0" fontId="8" fillId="0" borderId="0">
      <alignment vertical="top"/>
    </xf>
    <xf numFmtId="0" fontId="46" fillId="0" borderId="0" applyNumberFormat="0" applyFill="0" applyBorder="0" applyAlignment="0" applyProtection="0"/>
    <xf numFmtId="0" fontId="47" fillId="0" borderId="12" applyNumberFormat="0" applyFill="0" applyAlignment="0" applyProtection="0"/>
    <xf numFmtId="165" fontId="3" fillId="0" borderId="0" applyFont="0" applyFill="0" applyBorder="0" applyAlignment="0" applyProtection="0"/>
    <xf numFmtId="0" fontId="50" fillId="0" borderId="0" applyNumberFormat="0" applyFill="0" applyBorder="0" applyAlignment="0" applyProtection="0"/>
    <xf numFmtId="165" fontId="3" fillId="0" borderId="0" applyFont="0" applyFill="0" applyBorder="0" applyAlignment="0" applyProtection="0"/>
  </cellStyleXfs>
  <cellXfs count="1398">
    <xf numFmtId="0" fontId="0" fillId="0" borderId="0" xfId="0"/>
    <xf numFmtId="0" fontId="18" fillId="32" borderId="0" xfId="13" applyFill="1" applyAlignment="1" applyProtection="1"/>
    <xf numFmtId="0" fontId="18" fillId="0" borderId="11" xfId="13" applyBorder="1" applyAlignment="1" applyProtection="1">
      <alignment horizontal="center" vertical="center"/>
    </xf>
    <xf numFmtId="0" fontId="3" fillId="0" borderId="0" xfId="171" applyFont="1" applyFill="1" applyProtection="1"/>
    <xf numFmtId="0" fontId="7" fillId="0" borderId="0" xfId="171" applyFont="1" applyFill="1" applyProtection="1"/>
    <xf numFmtId="0" fontId="7" fillId="0" borderId="0" xfId="171" applyFont="1" applyFill="1" applyAlignment="1" applyProtection="1">
      <alignment horizontal="center"/>
    </xf>
    <xf numFmtId="0" fontId="5" fillId="0" borderId="0" xfId="171" applyFont="1" applyFill="1" applyAlignment="1" applyProtection="1">
      <alignment horizontal="center"/>
    </xf>
    <xf numFmtId="0" fontId="3" fillId="32" borderId="0" xfId="171" applyFont="1" applyFill="1" applyProtection="1"/>
    <xf numFmtId="0" fontId="7" fillId="32" borderId="0" xfId="171" applyFont="1" applyFill="1" applyProtection="1"/>
    <xf numFmtId="165" fontId="3" fillId="32" borderId="15" xfId="192" applyFont="1" applyFill="1" applyBorder="1" applyAlignment="1" applyProtection="1">
      <alignment horizontal="center"/>
    </xf>
    <xf numFmtId="0" fontId="7" fillId="32" borderId="0" xfId="0" applyFont="1" applyFill="1" applyProtection="1"/>
    <xf numFmtId="0" fontId="5" fillId="0" borderId="0" xfId="171" applyFont="1" applyFill="1" applyProtection="1"/>
    <xf numFmtId="0" fontId="0" fillId="32" borderId="0" xfId="0" applyFill="1" applyProtection="1"/>
    <xf numFmtId="0" fontId="0" fillId="32" borderId="0" xfId="0" applyFill="1" applyBorder="1" applyProtection="1"/>
    <xf numFmtId="0" fontId="7" fillId="0" borderId="0" xfId="171" applyFont="1" applyFill="1" applyAlignment="1" applyProtection="1">
      <alignment horizontal="left"/>
    </xf>
    <xf numFmtId="0" fontId="3" fillId="0" borderId="0" xfId="171" applyFont="1" applyFill="1" applyAlignment="1" applyProtection="1">
      <alignment horizontal="left"/>
    </xf>
    <xf numFmtId="0" fontId="16" fillId="0" borderId="0" xfId="171" applyFont="1" applyAlignment="1" applyProtection="1"/>
    <xf numFmtId="0" fontId="3" fillId="0" borderId="0" xfId="171" applyFont="1" applyAlignment="1" applyProtection="1"/>
    <xf numFmtId="0" fontId="3" fillId="0" borderId="0" xfId="171" applyNumberFormat="1" applyFont="1" applyAlignment="1" applyProtection="1"/>
    <xf numFmtId="0" fontId="3" fillId="0" borderId="0" xfId="1" applyFont="1" applyProtection="1"/>
    <xf numFmtId="0" fontId="33" fillId="16" borderId="11" xfId="185" applyFont="1" applyFill="1" applyBorder="1" applyProtection="1"/>
    <xf numFmtId="0" fontId="33" fillId="0" borderId="0" xfId="171" applyFont="1" applyFill="1" applyProtection="1"/>
    <xf numFmtId="0" fontId="0" fillId="0" borderId="0" xfId="171" applyFont="1" applyAlignment="1" applyProtection="1"/>
    <xf numFmtId="0" fontId="33" fillId="28" borderId="0" xfId="185" applyFont="1" applyFill="1" applyBorder="1" applyProtection="1"/>
    <xf numFmtId="0" fontId="33" fillId="32" borderId="11" xfId="185" applyFont="1" applyFill="1" applyBorder="1" applyAlignment="1" applyProtection="1">
      <alignment horizontal="left" vertical="top" wrapText="1"/>
    </xf>
    <xf numFmtId="0" fontId="33" fillId="32" borderId="0" xfId="171" applyFont="1" applyFill="1" applyBorder="1" applyProtection="1"/>
    <xf numFmtId="0" fontId="33" fillId="0" borderId="0" xfId="171" applyFont="1" applyFill="1" applyAlignment="1" applyProtection="1"/>
    <xf numFmtId="0" fontId="34" fillId="28" borderId="0" xfId="185" applyFont="1" applyFill="1" applyBorder="1" applyProtection="1"/>
    <xf numFmtId="0" fontId="33" fillId="34" borderId="11" xfId="185" applyFont="1" applyFill="1" applyBorder="1" applyProtection="1"/>
    <xf numFmtId="0" fontId="33" fillId="0" borderId="0" xfId="1" applyFont="1" applyProtection="1"/>
    <xf numFmtId="0" fontId="33" fillId="35" borderId="11" xfId="185" applyFont="1" applyFill="1" applyBorder="1" applyAlignment="1" applyProtection="1">
      <alignment horizontal="left" vertical="top" wrapText="1"/>
    </xf>
    <xf numFmtId="0" fontId="33" fillId="0" borderId="0" xfId="171" applyFont="1" applyFill="1" applyAlignment="1" applyProtection="1">
      <alignment vertical="top"/>
    </xf>
    <xf numFmtId="0" fontId="3" fillId="0" borderId="0" xfId="171" applyFont="1" applyFill="1" applyAlignment="1" applyProtection="1">
      <alignment vertical="top"/>
    </xf>
    <xf numFmtId="0" fontId="0" fillId="0" borderId="0" xfId="171" applyFont="1" applyFill="1" applyProtection="1"/>
    <xf numFmtId="0" fontId="20" fillId="32" borderId="0" xfId="186" applyFont="1" applyFill="1" applyProtection="1"/>
    <xf numFmtId="0" fontId="20" fillId="32" borderId="0" xfId="186" applyFont="1" applyFill="1" applyAlignment="1" applyProtection="1">
      <alignment horizontal="center"/>
    </xf>
    <xf numFmtId="0" fontId="0" fillId="32" borderId="0" xfId="0" applyFill="1" applyAlignment="1" applyProtection="1">
      <alignment vertical="top"/>
    </xf>
    <xf numFmtId="0" fontId="5" fillId="32" borderId="0" xfId="0" applyFont="1" applyFill="1" applyAlignment="1" applyProtection="1">
      <alignment vertical="top" wrapText="1"/>
    </xf>
    <xf numFmtId="0" fontId="0" fillId="32" borderId="0" xfId="0" applyFill="1" applyAlignment="1" applyProtection="1">
      <alignment horizontal="center" vertical="top"/>
    </xf>
    <xf numFmtId="0" fontId="6" fillId="32" borderId="0" xfId="0" applyFont="1" applyFill="1" applyAlignment="1" applyProtection="1">
      <alignment vertical="top"/>
    </xf>
    <xf numFmtId="0" fontId="7" fillId="32" borderId="0" xfId="186" applyFont="1" applyFill="1" applyProtection="1"/>
    <xf numFmtId="0" fontId="7" fillId="32" borderId="0" xfId="186" applyFont="1" applyFill="1" applyAlignment="1" applyProtection="1">
      <alignment horizontal="center"/>
    </xf>
    <xf numFmtId="0" fontId="3" fillId="32" borderId="0" xfId="186" applyFont="1" applyFill="1" applyProtection="1"/>
    <xf numFmtId="0" fontId="3" fillId="32" borderId="0" xfId="186" applyFont="1" applyFill="1" applyAlignment="1" applyProtection="1">
      <alignment horizontal="center"/>
    </xf>
    <xf numFmtId="4" fontId="32" fillId="32" borderId="0" xfId="186" applyNumberFormat="1" applyFont="1" applyFill="1" applyBorder="1" applyProtection="1"/>
    <xf numFmtId="4" fontId="5" fillId="32" borderId="16" xfId="186" applyNumberFormat="1" applyFont="1" applyFill="1" applyBorder="1" applyAlignment="1" applyProtection="1">
      <alignment horizontal="centerContinuous" vertical="center"/>
    </xf>
    <xf numFmtId="4" fontId="5" fillId="32" borderId="0" xfId="186" applyNumberFormat="1" applyFont="1" applyFill="1" applyBorder="1" applyAlignment="1" applyProtection="1">
      <alignment horizontal="centerContinuous" vertical="center"/>
    </xf>
    <xf numFmtId="4" fontId="5" fillId="32" borderId="0" xfId="186" applyNumberFormat="1" applyFont="1" applyFill="1" applyBorder="1" applyAlignment="1" applyProtection="1">
      <alignment horizontal="centerContinuous"/>
    </xf>
    <xf numFmtId="4" fontId="5" fillId="32" borderId="17" xfId="186" applyNumberFormat="1" applyFont="1" applyFill="1" applyBorder="1" applyAlignment="1" applyProtection="1">
      <alignment horizontal="center"/>
    </xf>
    <xf numFmtId="4" fontId="7" fillId="32" borderId="18" xfId="186" applyNumberFormat="1" applyFont="1" applyFill="1" applyBorder="1" applyAlignment="1" applyProtection="1">
      <alignment horizontal="center" vertical="center" wrapText="1"/>
    </xf>
    <xf numFmtId="4" fontId="7" fillId="32" borderId="18" xfId="186" applyNumberFormat="1" applyFont="1" applyFill="1" applyBorder="1" applyAlignment="1" applyProtection="1">
      <alignment horizontal="center" vertical="center"/>
    </xf>
    <xf numFmtId="4" fontId="7" fillId="32" borderId="17" xfId="186" applyNumberFormat="1" applyFont="1" applyFill="1" applyBorder="1" applyAlignment="1" applyProtection="1">
      <alignment horizontal="center" vertical="center"/>
    </xf>
    <xf numFmtId="4" fontId="3" fillId="32" borderId="16" xfId="186" applyNumberFormat="1" applyFont="1" applyFill="1" applyBorder="1" applyProtection="1"/>
    <xf numFmtId="4" fontId="3" fillId="32" borderId="0" xfId="186" applyNumberFormat="1" applyFont="1" applyFill="1" applyBorder="1" applyProtection="1"/>
    <xf numFmtId="4" fontId="3" fillId="32" borderId="17" xfId="186" applyNumberFormat="1" applyFont="1" applyFill="1" applyBorder="1" applyProtection="1"/>
    <xf numFmtId="4" fontId="5" fillId="32" borderId="16" xfId="186" applyNumberFormat="1" applyFont="1" applyFill="1" applyBorder="1" applyAlignment="1" applyProtection="1">
      <alignment horizontal="left" vertical="center"/>
    </xf>
    <xf numFmtId="4" fontId="5" fillId="32" borderId="0" xfId="186" applyNumberFormat="1" applyFont="1" applyFill="1" applyBorder="1" applyAlignment="1" applyProtection="1">
      <alignment vertical="center"/>
    </xf>
    <xf numFmtId="0" fontId="5" fillId="32" borderId="17" xfId="186" applyNumberFormat="1" applyFont="1" applyFill="1" applyBorder="1" applyAlignment="1" applyProtection="1">
      <alignment horizontal="center" vertical="center"/>
    </xf>
    <xf numFmtId="4" fontId="32" fillId="32" borderId="0" xfId="186" applyNumberFormat="1" applyFont="1" applyFill="1" applyBorder="1" applyAlignment="1" applyProtection="1">
      <alignment vertical="center"/>
    </xf>
    <xf numFmtId="4" fontId="3" fillId="32" borderId="16" xfId="186" applyNumberFormat="1" applyFont="1" applyFill="1" applyBorder="1" applyAlignment="1" applyProtection="1">
      <alignment horizontal="left" vertical="center"/>
    </xf>
    <xf numFmtId="4" fontId="3" fillId="32" borderId="0" xfId="186" applyNumberFormat="1" applyFont="1" applyFill="1" applyBorder="1" applyAlignment="1" applyProtection="1">
      <alignment vertical="center"/>
    </xf>
    <xf numFmtId="0" fontId="3" fillId="32" borderId="17" xfId="186" applyNumberFormat="1" applyFont="1" applyFill="1" applyBorder="1" applyAlignment="1" applyProtection="1">
      <alignment horizontal="center" vertical="center"/>
    </xf>
    <xf numFmtId="4" fontId="3" fillId="32" borderId="16" xfId="186" applyNumberFormat="1" applyFont="1" applyFill="1" applyBorder="1" applyAlignment="1" applyProtection="1">
      <alignment vertical="center"/>
    </xf>
    <xf numFmtId="4" fontId="3" fillId="32" borderId="0" xfId="186" applyNumberFormat="1" applyFont="1" applyFill="1" applyBorder="1" applyAlignment="1" applyProtection="1">
      <alignment horizontal="left" vertical="center"/>
    </xf>
    <xf numFmtId="4" fontId="5" fillId="32" borderId="16" xfId="186" applyNumberFormat="1" applyFont="1" applyFill="1" applyBorder="1" applyAlignment="1" applyProtection="1">
      <alignment vertical="center"/>
    </xf>
    <xf numFmtId="4" fontId="5" fillId="32" borderId="0" xfId="186" applyNumberFormat="1" applyFont="1" applyFill="1" applyBorder="1" applyAlignment="1" applyProtection="1">
      <alignment horizontal="left" vertical="center"/>
    </xf>
    <xf numFmtId="4" fontId="6" fillId="32" borderId="16" xfId="186" applyNumberFormat="1" applyFont="1" applyFill="1" applyBorder="1" applyAlignment="1" applyProtection="1">
      <alignment vertical="center"/>
    </xf>
    <xf numFmtId="4" fontId="6" fillId="32" borderId="0" xfId="186" applyNumberFormat="1" applyFont="1" applyFill="1" applyBorder="1" applyAlignment="1" applyProtection="1">
      <alignment horizontal="left" vertical="center"/>
    </xf>
    <xf numFmtId="4" fontId="6" fillId="32" borderId="0" xfId="186" applyNumberFormat="1" applyFont="1" applyFill="1" applyBorder="1" applyAlignment="1" applyProtection="1">
      <alignment vertical="center"/>
    </xf>
    <xf numFmtId="0" fontId="6" fillId="32" borderId="17" xfId="186" applyNumberFormat="1" applyFont="1" applyFill="1" applyBorder="1" applyAlignment="1" applyProtection="1">
      <alignment horizontal="center" vertical="center"/>
    </xf>
    <xf numFmtId="4" fontId="4" fillId="32" borderId="16" xfId="186" applyNumberFormat="1" applyFont="1" applyFill="1" applyBorder="1" applyAlignment="1" applyProtection="1">
      <alignment horizontal="right" vertical="center"/>
    </xf>
    <xf numFmtId="4" fontId="4" fillId="32" borderId="0" xfId="0" applyNumberFormat="1" applyFont="1" applyFill="1" applyBorder="1" applyAlignment="1" applyProtection="1">
      <alignment horizontal="right" vertical="center"/>
    </xf>
    <xf numFmtId="4" fontId="4" fillId="32" borderId="19" xfId="0" applyNumberFormat="1" applyFont="1" applyFill="1" applyBorder="1" applyAlignment="1" applyProtection="1">
      <alignment horizontal="right" vertical="center"/>
    </xf>
    <xf numFmtId="0" fontId="4" fillId="32" borderId="20" xfId="186" applyNumberFormat="1" applyFont="1" applyFill="1" applyBorder="1" applyAlignment="1" applyProtection="1">
      <alignment horizontal="center" vertical="center"/>
    </xf>
    <xf numFmtId="4" fontId="17" fillId="32" borderId="16" xfId="0" applyNumberFormat="1" applyFont="1" applyFill="1" applyBorder="1" applyAlignment="1" applyProtection="1">
      <alignment horizontal="right" vertical="center"/>
    </xf>
    <xf numFmtId="4" fontId="17" fillId="32" borderId="0" xfId="0" applyNumberFormat="1" applyFont="1" applyFill="1" applyBorder="1" applyAlignment="1" applyProtection="1">
      <alignment horizontal="right" vertical="center"/>
    </xf>
    <xf numFmtId="4" fontId="17" fillId="32" borderId="19" xfId="0" applyNumberFormat="1" applyFont="1" applyFill="1" applyBorder="1" applyAlignment="1" applyProtection="1">
      <alignment horizontal="right" vertical="center"/>
    </xf>
    <xf numFmtId="0" fontId="17" fillId="32" borderId="17" xfId="0" applyNumberFormat="1" applyFont="1" applyFill="1" applyBorder="1" applyAlignment="1" applyProtection="1">
      <alignment horizontal="center" vertical="center"/>
    </xf>
    <xf numFmtId="4" fontId="4" fillId="32" borderId="21" xfId="0" applyNumberFormat="1" applyFont="1" applyFill="1" applyBorder="1" applyAlignment="1" applyProtection="1">
      <alignment horizontal="right" vertical="center"/>
    </xf>
    <xf numFmtId="4" fontId="4" fillId="32" borderId="22" xfId="0" applyNumberFormat="1" applyFont="1" applyFill="1" applyBorder="1" applyAlignment="1" applyProtection="1">
      <alignment horizontal="right" vertical="center"/>
    </xf>
    <xf numFmtId="4" fontId="4" fillId="32" borderId="23" xfId="0" applyNumberFormat="1" applyFont="1" applyFill="1" applyBorder="1" applyAlignment="1" applyProtection="1">
      <alignment horizontal="right" vertical="center"/>
    </xf>
    <xf numFmtId="0" fontId="4" fillId="32" borderId="24" xfId="0" applyNumberFormat="1" applyFont="1" applyFill="1" applyBorder="1" applyAlignment="1" applyProtection="1">
      <alignment horizontal="center" vertical="center"/>
    </xf>
    <xf numFmtId="167" fontId="4" fillId="32" borderId="24" xfId="0" applyNumberFormat="1" applyFont="1" applyFill="1" applyBorder="1" applyAlignment="1" applyProtection="1">
      <alignment vertical="center"/>
    </xf>
    <xf numFmtId="4" fontId="7" fillId="32" borderId="0" xfId="186" applyNumberFormat="1" applyFont="1" applyFill="1" applyBorder="1" applyAlignment="1" applyProtection="1"/>
    <xf numFmtId="4" fontId="3" fillId="32" borderId="0" xfId="186" applyNumberFormat="1" applyFont="1" applyFill="1" applyProtection="1"/>
    <xf numFmtId="0" fontId="3" fillId="32" borderId="0" xfId="186" applyNumberFormat="1" applyFont="1" applyFill="1" applyAlignment="1" applyProtection="1">
      <alignment horizontal="center"/>
    </xf>
    <xf numFmtId="4" fontId="7" fillId="32" borderId="0" xfId="186" applyNumberFormat="1" applyFont="1" applyFill="1" applyProtection="1"/>
    <xf numFmtId="4" fontId="3" fillId="32" borderId="0" xfId="186" applyNumberFormat="1" applyFont="1" applyFill="1" applyAlignment="1" applyProtection="1">
      <alignment vertical="center"/>
    </xf>
    <xf numFmtId="4" fontId="3" fillId="32" borderId="0" xfId="186" applyNumberFormat="1" applyFont="1" applyFill="1" applyAlignment="1" applyProtection="1">
      <alignment horizontal="center" vertical="center"/>
    </xf>
    <xf numFmtId="167" fontId="3" fillId="32" borderId="0" xfId="186" applyNumberFormat="1" applyFont="1" applyFill="1" applyAlignment="1" applyProtection="1">
      <alignment vertical="center"/>
    </xf>
    <xf numFmtId="4" fontId="19" fillId="32" borderId="0" xfId="186" quotePrefix="1" applyNumberFormat="1" applyFont="1" applyFill="1" applyAlignment="1" applyProtection="1">
      <alignment vertical="center"/>
    </xf>
    <xf numFmtId="4" fontId="3" fillId="32" borderId="0" xfId="186" applyNumberFormat="1" applyFont="1" applyFill="1" applyAlignment="1" applyProtection="1">
      <alignment horizontal="center"/>
    </xf>
    <xf numFmtId="0" fontId="25" fillId="32" borderId="0" xfId="30" applyFont="1" applyFill="1" applyProtection="1"/>
    <xf numFmtId="0" fontId="3" fillId="32" borderId="11" xfId="30" applyFont="1" applyFill="1" applyBorder="1" applyAlignment="1" applyProtection="1">
      <alignment horizontal="center" vertical="center"/>
    </xf>
    <xf numFmtId="0" fontId="7" fillId="0" borderId="0" xfId="174" applyFont="1" applyFill="1" applyAlignment="1" applyProtection="1">
      <alignment horizontal="right" vertical="center"/>
    </xf>
    <xf numFmtId="0" fontId="21" fillId="0" borderId="0" xfId="174" applyFont="1" applyFill="1" applyAlignment="1" applyProtection="1">
      <alignment horizontal="right" vertical="center"/>
    </xf>
    <xf numFmtId="0" fontId="3" fillId="0" borderId="0" xfId="174" applyFont="1" applyFill="1" applyAlignment="1" applyProtection="1">
      <alignment vertical="center"/>
    </xf>
    <xf numFmtId="0" fontId="3" fillId="0" borderId="45" xfId="174" applyFont="1" applyFill="1" applyBorder="1" applyAlignment="1" applyProtection="1">
      <alignment vertical="center"/>
    </xf>
    <xf numFmtId="0" fontId="21" fillId="32" borderId="0" xfId="184" applyFont="1" applyFill="1" applyAlignment="1" applyProtection="1">
      <alignment vertical="center"/>
    </xf>
    <xf numFmtId="0" fontId="7" fillId="32" borderId="41" xfId="184" applyFont="1" applyFill="1" applyBorder="1" applyAlignment="1" applyProtection="1">
      <alignment vertical="center"/>
    </xf>
    <xf numFmtId="0" fontId="6" fillId="32" borderId="56" xfId="184" applyFont="1" applyFill="1" applyBorder="1" applyAlignment="1" applyProtection="1">
      <alignment horizontal="right" vertical="center"/>
    </xf>
    <xf numFmtId="0" fontId="3" fillId="32" borderId="0" xfId="184" applyFont="1" applyFill="1" applyAlignment="1" applyProtection="1">
      <alignment vertical="center"/>
    </xf>
    <xf numFmtId="0" fontId="4" fillId="32" borderId="38" xfId="171" applyFont="1" applyFill="1" applyBorder="1" applyAlignment="1" applyProtection="1">
      <alignment horizontal="center" vertical="center"/>
    </xf>
    <xf numFmtId="0" fontId="3" fillId="32" borderId="54" xfId="171" applyFont="1" applyFill="1" applyBorder="1" applyAlignment="1" applyProtection="1">
      <alignment vertical="center"/>
    </xf>
    <xf numFmtId="0" fontId="3" fillId="32" borderId="56" xfId="171" applyFont="1" applyFill="1" applyBorder="1" applyAlignment="1" applyProtection="1">
      <alignment vertical="center"/>
    </xf>
    <xf numFmtId="0" fontId="3" fillId="32" borderId="14" xfId="171" applyFont="1" applyFill="1" applyBorder="1" applyAlignment="1" applyProtection="1">
      <alignment vertical="center"/>
    </xf>
    <xf numFmtId="0" fontId="3" fillId="32" borderId="53" xfId="171" applyFont="1" applyFill="1" applyBorder="1" applyAlignment="1" applyProtection="1">
      <alignment vertical="center"/>
    </xf>
    <xf numFmtId="0" fontId="7" fillId="32" borderId="53" xfId="171" applyFont="1" applyFill="1" applyBorder="1" applyAlignment="1" applyProtection="1">
      <alignment horizontal="right" vertical="center"/>
    </xf>
    <xf numFmtId="0" fontId="7" fillId="32" borderId="54" xfId="171" applyFont="1" applyFill="1" applyBorder="1" applyAlignment="1" applyProtection="1">
      <alignment vertical="center"/>
    </xf>
    <xf numFmtId="0" fontId="7" fillId="32" borderId="56" xfId="171" applyFont="1" applyFill="1" applyBorder="1" applyAlignment="1" applyProtection="1">
      <alignment vertical="center"/>
    </xf>
    <xf numFmtId="0" fontId="7" fillId="32" borderId="14" xfId="171" applyFont="1" applyFill="1" applyBorder="1" applyAlignment="1" applyProtection="1">
      <alignment vertical="center"/>
    </xf>
    <xf numFmtId="0" fontId="3" fillId="32" borderId="54" xfId="171" applyFont="1" applyFill="1" applyBorder="1" applyAlignment="1" applyProtection="1">
      <alignment horizontal="right" vertical="center"/>
    </xf>
    <xf numFmtId="3" fontId="6" fillId="32" borderId="56" xfId="192" applyNumberFormat="1" applyFont="1" applyFill="1" applyBorder="1" applyAlignment="1" applyProtection="1">
      <alignment horizontal="right" vertical="center"/>
    </xf>
    <xf numFmtId="3" fontId="6" fillId="32" borderId="14" xfId="192" applyNumberFormat="1" applyFont="1" applyFill="1" applyBorder="1" applyAlignment="1" applyProtection="1">
      <alignment horizontal="right" vertical="center"/>
    </xf>
    <xf numFmtId="0" fontId="3" fillId="32" borderId="56" xfId="171" applyFont="1" applyFill="1" applyBorder="1" applyAlignment="1" applyProtection="1">
      <alignment horizontal="right" vertical="center"/>
    </xf>
    <xf numFmtId="0" fontId="3" fillId="32" borderId="14" xfId="171" applyFont="1" applyFill="1" applyBorder="1" applyAlignment="1" applyProtection="1">
      <alignment horizontal="right" vertical="center"/>
    </xf>
    <xf numFmtId="0" fontId="7" fillId="32" borderId="44" xfId="171" applyFont="1" applyFill="1" applyBorder="1" applyAlignment="1" applyProtection="1">
      <alignment horizontal="right" vertical="center"/>
    </xf>
    <xf numFmtId="0" fontId="7" fillId="32" borderId="0" xfId="171" applyFont="1" applyFill="1" applyBorder="1" applyAlignment="1" applyProtection="1">
      <alignment vertical="center" wrapText="1"/>
    </xf>
    <xf numFmtId="3" fontId="6" fillId="32" borderId="40" xfId="192" applyNumberFormat="1" applyFont="1" applyFill="1" applyBorder="1" applyAlignment="1" applyProtection="1">
      <alignment horizontal="right" vertical="center"/>
    </xf>
    <xf numFmtId="0" fontId="7" fillId="32" borderId="34" xfId="171" applyFont="1" applyFill="1" applyBorder="1" applyAlignment="1" applyProtection="1">
      <alignment horizontal="right" vertical="center"/>
    </xf>
    <xf numFmtId="0" fontId="7" fillId="32" borderId="47" xfId="171" applyFont="1" applyFill="1" applyBorder="1" applyAlignment="1" applyProtection="1">
      <alignment vertical="center" wrapText="1"/>
    </xf>
    <xf numFmtId="3" fontId="6" fillId="32" borderId="39" xfId="192" applyNumberFormat="1" applyFont="1" applyFill="1" applyBorder="1" applyAlignment="1" applyProtection="1">
      <alignment horizontal="right" vertical="center"/>
    </xf>
    <xf numFmtId="0" fontId="3" fillId="32" borderId="0" xfId="171" applyFont="1" applyFill="1" applyAlignment="1" applyProtection="1">
      <alignment vertical="center"/>
    </xf>
    <xf numFmtId="0" fontId="3" fillId="32" borderId="0" xfId="0" applyFont="1" applyFill="1" applyBorder="1" applyAlignment="1" applyProtection="1">
      <alignment vertical="center" wrapText="1"/>
    </xf>
    <xf numFmtId="0" fontId="25" fillId="32" borderId="0" xfId="30" quotePrefix="1" applyFont="1" applyFill="1" applyProtection="1"/>
    <xf numFmtId="0" fontId="7" fillId="0" borderId="25" xfId="174" applyFont="1" applyFill="1" applyBorder="1" applyAlignment="1" applyProtection="1">
      <alignment horizontal="center" vertical="center" wrapText="1"/>
    </xf>
    <xf numFmtId="14" fontId="7" fillId="0" borderId="0" xfId="171" applyNumberFormat="1" applyFont="1" applyFill="1" applyProtection="1"/>
    <xf numFmtId="4" fontId="5" fillId="32" borderId="16" xfId="186" applyNumberFormat="1" applyFont="1" applyFill="1" applyBorder="1" applyAlignment="1" applyProtection="1">
      <alignment horizontal="center" vertical="center"/>
    </xf>
    <xf numFmtId="4" fontId="5" fillId="32" borderId="0" xfId="186" applyNumberFormat="1" applyFont="1" applyFill="1" applyBorder="1" applyAlignment="1" applyProtection="1">
      <alignment horizontal="center" vertical="center"/>
    </xf>
    <xf numFmtId="4" fontId="5" fillId="32" borderId="17" xfId="186" applyNumberFormat="1" applyFont="1" applyFill="1" applyBorder="1" applyAlignment="1" applyProtection="1">
      <alignment horizontal="center" vertical="center"/>
    </xf>
    <xf numFmtId="4" fontId="7" fillId="32" borderId="66" xfId="186" applyNumberFormat="1" applyFont="1" applyFill="1" applyBorder="1" applyAlignment="1" applyProtection="1">
      <alignment horizontal="center" vertical="center" wrapText="1"/>
    </xf>
    <xf numFmtId="167" fontId="5" fillId="32" borderId="17" xfId="186" applyNumberFormat="1" applyFont="1" applyFill="1" applyBorder="1" applyAlignment="1" applyProtection="1">
      <alignment vertical="center"/>
    </xf>
    <xf numFmtId="167" fontId="3" fillId="32" borderId="17" xfId="186" applyNumberFormat="1" applyFont="1" applyFill="1" applyBorder="1" applyAlignment="1" applyProtection="1">
      <alignment vertical="center"/>
    </xf>
    <xf numFmtId="167" fontId="3" fillId="32" borderId="17" xfId="186" applyNumberFormat="1" applyFont="1" applyFill="1" applyBorder="1" applyProtection="1"/>
    <xf numFmtId="167" fontId="6" fillId="32" borderId="17" xfId="186" applyNumberFormat="1" applyFont="1" applyFill="1" applyBorder="1" applyAlignment="1" applyProtection="1">
      <alignment vertical="center"/>
    </xf>
    <xf numFmtId="167" fontId="3" fillId="32" borderId="65" xfId="186" applyNumberFormat="1" applyFont="1" applyFill="1" applyBorder="1" applyAlignment="1" applyProtection="1">
      <alignment vertical="center"/>
    </xf>
    <xf numFmtId="167" fontId="4" fillId="32" borderId="20" xfId="186" applyNumberFormat="1" applyFont="1" applyFill="1" applyBorder="1" applyAlignment="1" applyProtection="1">
      <alignment vertical="center"/>
    </xf>
    <xf numFmtId="167" fontId="17" fillId="32" borderId="17" xfId="186" applyNumberFormat="1" applyFont="1" applyFill="1" applyBorder="1" applyAlignment="1" applyProtection="1">
      <alignment vertical="center"/>
    </xf>
    <xf numFmtId="167" fontId="7" fillId="32" borderId="0" xfId="186" applyNumberFormat="1" applyFont="1" applyFill="1" applyAlignment="1" applyProtection="1">
      <alignment vertical="center"/>
    </xf>
    <xf numFmtId="0" fontId="3" fillId="32" borderId="42" xfId="174" applyFont="1" applyFill="1" applyBorder="1" applyAlignment="1" applyProtection="1">
      <alignment vertical="center"/>
    </xf>
    <xf numFmtId="0" fontId="3" fillId="32" borderId="45" xfId="174" applyFont="1" applyFill="1" applyBorder="1" applyAlignment="1" applyProtection="1">
      <alignment vertical="center" wrapText="1"/>
    </xf>
    <xf numFmtId="0" fontId="64" fillId="32" borderId="0" xfId="186" applyFont="1" applyFill="1" applyProtection="1"/>
    <xf numFmtId="0" fontId="64" fillId="32" borderId="0" xfId="0" applyFont="1" applyFill="1" applyAlignment="1" applyProtection="1">
      <alignment vertical="top"/>
    </xf>
    <xf numFmtId="167" fontId="7" fillId="32" borderId="69" xfId="192" applyNumberFormat="1" applyFont="1" applyFill="1" applyBorder="1" applyAlignment="1" applyProtection="1">
      <alignment vertical="center"/>
    </xf>
    <xf numFmtId="167" fontId="3" fillId="32" borderId="69" xfId="192" applyNumberFormat="1" applyFont="1" applyFill="1" applyBorder="1" applyAlignment="1" applyProtection="1">
      <alignment vertical="center"/>
    </xf>
    <xf numFmtId="169" fontId="7" fillId="32" borderId="69" xfId="192" applyNumberFormat="1" applyFont="1" applyFill="1" applyBorder="1" applyAlignment="1" applyProtection="1">
      <alignment vertical="center"/>
    </xf>
    <xf numFmtId="167" fontId="7" fillId="32" borderId="72" xfId="171" applyNumberFormat="1" applyFont="1" applyFill="1" applyBorder="1" applyAlignment="1" applyProtection="1">
      <alignment vertical="center"/>
    </xf>
    <xf numFmtId="0" fontId="3" fillId="32" borderId="72" xfId="171" applyFont="1" applyFill="1" applyBorder="1" applyAlignment="1" applyProtection="1">
      <alignment vertical="center"/>
    </xf>
    <xf numFmtId="3" fontId="6" fillId="32" borderId="13" xfId="192" applyNumberFormat="1" applyFont="1" applyFill="1" applyBorder="1" applyAlignment="1" applyProtection="1">
      <alignment horizontal="right" vertical="center"/>
    </xf>
    <xf numFmtId="167" fontId="7" fillId="32" borderId="60" xfId="192" applyNumberFormat="1" applyFont="1" applyFill="1" applyBorder="1" applyAlignment="1" applyProtection="1">
      <alignment horizontal="right" vertical="center"/>
    </xf>
    <xf numFmtId="167" fontId="7" fillId="32" borderId="75" xfId="192" applyNumberFormat="1" applyFont="1" applyFill="1" applyBorder="1" applyAlignment="1" applyProtection="1">
      <alignment horizontal="right" vertical="center"/>
    </xf>
    <xf numFmtId="167" fontId="7" fillId="32" borderId="76" xfId="171" applyNumberFormat="1" applyFont="1" applyFill="1" applyBorder="1" applyAlignment="1" applyProtection="1">
      <alignment vertical="center"/>
    </xf>
    <xf numFmtId="0" fontId="3" fillId="32" borderId="76" xfId="171" applyFont="1" applyFill="1" applyBorder="1" applyAlignment="1" applyProtection="1">
      <alignment vertical="center"/>
    </xf>
    <xf numFmtId="167" fontId="3" fillId="32" borderId="76" xfId="171" applyNumberFormat="1" applyFont="1" applyFill="1" applyBorder="1" applyAlignment="1" applyProtection="1">
      <alignment vertical="center"/>
    </xf>
    <xf numFmtId="3" fontId="6" fillId="32" borderId="76" xfId="192" applyNumberFormat="1" applyFont="1" applyFill="1" applyBorder="1" applyAlignment="1" applyProtection="1">
      <alignment horizontal="right" vertical="center"/>
    </xf>
    <xf numFmtId="0" fontId="3" fillId="32" borderId="76" xfId="171" applyFont="1" applyFill="1" applyBorder="1" applyAlignment="1" applyProtection="1">
      <alignment horizontal="right" vertical="center"/>
    </xf>
    <xf numFmtId="167" fontId="3" fillId="29" borderId="76" xfId="171" applyNumberFormat="1" applyFont="1" applyFill="1" applyBorder="1" applyAlignment="1" applyProtection="1">
      <alignment vertical="center"/>
    </xf>
    <xf numFmtId="3" fontId="6" fillId="32" borderId="77" xfId="192" applyNumberFormat="1" applyFont="1" applyFill="1" applyBorder="1" applyAlignment="1" applyProtection="1">
      <alignment horizontal="right" vertical="center"/>
    </xf>
    <xf numFmtId="167" fontId="7" fillId="32" borderId="25" xfId="192" applyNumberFormat="1" applyFont="1" applyFill="1" applyBorder="1" applyAlignment="1" applyProtection="1">
      <alignment horizontal="right" vertical="center"/>
    </xf>
    <xf numFmtId="0" fontId="7" fillId="32" borderId="25" xfId="0" applyFont="1" applyFill="1" applyBorder="1" applyProtection="1"/>
    <xf numFmtId="0" fontId="52" fillId="29" borderId="11" xfId="13" applyFont="1" applyFill="1" applyBorder="1" applyAlignment="1" applyProtection="1">
      <alignment horizontal="center" vertical="center"/>
    </xf>
    <xf numFmtId="0" fontId="18" fillId="0" borderId="0" xfId="13" applyAlignment="1" applyProtection="1">
      <alignment horizontal="center" vertical="center"/>
    </xf>
    <xf numFmtId="3" fontId="6" fillId="32" borderId="53" xfId="192" applyNumberFormat="1" applyFont="1" applyFill="1" applyBorder="1" applyAlignment="1" applyProtection="1">
      <alignment horizontal="right" vertical="center"/>
    </xf>
    <xf numFmtId="0" fontId="3" fillId="32" borderId="53" xfId="171" applyFont="1" applyFill="1" applyBorder="1" applyAlignment="1" applyProtection="1">
      <alignment horizontal="right" vertical="center"/>
    </xf>
    <xf numFmtId="0" fontId="3" fillId="32" borderId="41" xfId="171" applyFont="1" applyFill="1" applyBorder="1" applyAlignment="1" applyProtection="1">
      <alignment horizontal="right" vertical="center"/>
    </xf>
    <xf numFmtId="167" fontId="3" fillId="29" borderId="41" xfId="192" applyNumberFormat="1" applyFont="1" applyFill="1" applyBorder="1" applyAlignment="1" applyProtection="1">
      <alignment vertical="center"/>
    </xf>
    <xf numFmtId="0" fontId="7" fillId="32" borderId="11" xfId="0" applyFont="1" applyFill="1" applyBorder="1" applyAlignment="1" applyProtection="1">
      <alignment horizontal="center" vertical="center" wrapText="1"/>
    </xf>
    <xf numFmtId="0" fontId="0" fillId="32" borderId="0" xfId="0" applyFill="1" applyAlignment="1" applyProtection="1">
      <alignment vertical="center"/>
    </xf>
    <xf numFmtId="0" fontId="0" fillId="32" borderId="11" xfId="0" applyFill="1" applyBorder="1" applyAlignment="1" applyProtection="1">
      <alignment vertical="center"/>
    </xf>
    <xf numFmtId="4" fontId="7" fillId="32" borderId="11" xfId="0" applyNumberFormat="1" applyFont="1" applyFill="1" applyBorder="1" applyAlignment="1" applyProtection="1">
      <alignment horizontal="right" vertical="center"/>
    </xf>
    <xf numFmtId="0" fontId="7" fillId="38" borderId="11" xfId="0" applyFont="1" applyFill="1" applyBorder="1" applyAlignment="1" applyProtection="1">
      <alignment vertical="center"/>
    </xf>
    <xf numFmtId="4" fontId="7" fillId="38" borderId="11" xfId="0" applyNumberFormat="1" applyFont="1" applyFill="1" applyBorder="1" applyAlignment="1" applyProtection="1">
      <alignment horizontal="center" vertical="center"/>
    </xf>
    <xf numFmtId="0" fontId="7" fillId="38" borderId="11" xfId="0" applyFont="1" applyFill="1" applyBorder="1" applyAlignment="1" applyProtection="1">
      <alignment horizontal="center" vertical="center"/>
    </xf>
    <xf numFmtId="0" fontId="19" fillId="38" borderId="11" xfId="0" applyFont="1" applyFill="1" applyBorder="1" applyAlignment="1" applyProtection="1">
      <alignment vertical="center"/>
    </xf>
    <xf numFmtId="4" fontId="19" fillId="38" borderId="11" xfId="0" applyNumberFormat="1" applyFont="1" applyFill="1" applyBorder="1" applyAlignment="1" applyProtection="1">
      <alignment vertical="center"/>
    </xf>
    <xf numFmtId="0" fontId="6" fillId="32" borderId="11" xfId="0" applyFont="1" applyFill="1" applyBorder="1" applyAlignment="1" applyProtection="1">
      <alignment horizontal="left" vertical="center" wrapText="1" indent="2"/>
    </xf>
    <xf numFmtId="0" fontId="0" fillId="32" borderId="0" xfId="0" applyFill="1" applyAlignment="1" applyProtection="1">
      <alignment horizontal="left" vertical="center"/>
    </xf>
    <xf numFmtId="4" fontId="6" fillId="32" borderId="11" xfId="192" applyNumberFormat="1" applyFont="1" applyFill="1" applyBorder="1" applyAlignment="1" applyProtection="1">
      <alignment vertical="center"/>
    </xf>
    <xf numFmtId="0" fontId="3" fillId="32" borderId="0" xfId="30" applyFill="1" applyAlignment="1" applyProtection="1">
      <alignment vertical="center"/>
    </xf>
    <xf numFmtId="0" fontId="3" fillId="0" borderId="0" xfId="30" applyAlignment="1" applyProtection="1">
      <alignment vertical="center"/>
    </xf>
    <xf numFmtId="0" fontId="0" fillId="32" borderId="11" xfId="0" applyFont="1" applyFill="1" applyBorder="1" applyAlignment="1" applyProtection="1">
      <alignment vertical="center" wrapText="1"/>
    </xf>
    <xf numFmtId="10" fontId="6" fillId="32" borderId="11" xfId="121" applyNumberFormat="1" applyFont="1" applyFill="1" applyBorder="1" applyAlignment="1" applyProtection="1">
      <alignment horizontal="right" vertical="center"/>
    </xf>
    <xf numFmtId="0" fontId="19" fillId="32" borderId="11" xfId="0" applyFont="1" applyFill="1" applyBorder="1" applyAlignment="1" applyProtection="1">
      <alignment vertical="center"/>
    </xf>
    <xf numFmtId="4" fontId="7" fillId="0" borderId="11" xfId="186" applyNumberFormat="1" applyFont="1" applyBorder="1" applyAlignment="1" applyProtection="1">
      <alignment horizontal="left" vertical="center" wrapText="1"/>
    </xf>
    <xf numFmtId="167" fontId="7" fillId="0" borderId="11" xfId="192" applyNumberFormat="1" applyFont="1" applyFill="1" applyBorder="1" applyAlignment="1" applyProtection="1">
      <alignment vertical="center"/>
    </xf>
    <xf numFmtId="0" fontId="0" fillId="32" borderId="11" xfId="0" applyFill="1" applyBorder="1" applyAlignment="1" applyProtection="1">
      <alignment horizontal="left" vertical="center"/>
    </xf>
    <xf numFmtId="167" fontId="7" fillId="35" borderId="11" xfId="0" applyNumberFormat="1" applyFont="1" applyFill="1" applyBorder="1" applyAlignment="1" applyProtection="1">
      <alignment horizontal="left" vertical="center"/>
    </xf>
    <xf numFmtId="0" fontId="0" fillId="32" borderId="0" xfId="0" applyFont="1" applyFill="1" applyAlignment="1" applyProtection="1">
      <alignment horizontal="left" vertical="center"/>
    </xf>
    <xf numFmtId="167" fontId="7" fillId="32" borderId="11" xfId="0" quotePrefix="1" applyNumberFormat="1" applyFont="1" applyFill="1" applyBorder="1" applyAlignment="1" applyProtection="1">
      <alignment horizontal="right" vertical="center"/>
    </xf>
    <xf numFmtId="167" fontId="6" fillId="32" borderId="11" xfId="192" applyNumberFormat="1" applyFont="1" applyFill="1" applyBorder="1" applyAlignment="1" applyProtection="1">
      <alignment vertical="center"/>
    </xf>
    <xf numFmtId="0" fontId="5" fillId="30" borderId="41" xfId="174" applyFont="1" applyFill="1" applyBorder="1" applyAlignment="1" applyProtection="1">
      <alignment vertical="center"/>
    </xf>
    <xf numFmtId="0" fontId="6" fillId="32" borderId="11" xfId="0" applyFont="1" applyFill="1" applyBorder="1" applyAlignment="1" applyProtection="1">
      <alignment horizontal="left" vertical="center" wrapText="1"/>
    </xf>
    <xf numFmtId="0" fontId="18" fillId="32" borderId="11" xfId="13" applyNumberFormat="1" applyFill="1" applyBorder="1" applyAlignment="1" applyProtection="1">
      <alignment horizontal="left" vertical="center"/>
    </xf>
    <xf numFmtId="0" fontId="6" fillId="32" borderId="11" xfId="192" applyNumberFormat="1" applyFont="1" applyFill="1" applyBorder="1" applyAlignment="1" applyProtection="1">
      <alignment horizontal="center" vertical="center"/>
    </xf>
    <xf numFmtId="0" fontId="18" fillId="32" borderId="11" xfId="13" applyNumberFormat="1" applyFill="1" applyBorder="1" applyAlignment="1" applyProtection="1">
      <alignment horizontal="center" vertical="center"/>
    </xf>
    <xf numFmtId="0" fontId="3" fillId="32" borderId="11" xfId="192" applyNumberFormat="1" applyFont="1" applyFill="1" applyBorder="1" applyAlignment="1" applyProtection="1">
      <alignment horizontal="center" vertical="center"/>
    </xf>
    <xf numFmtId="167" fontId="3" fillId="31" borderId="11" xfId="192" applyNumberFormat="1" applyFont="1" applyFill="1" applyBorder="1" applyAlignment="1" applyProtection="1">
      <alignment vertical="center"/>
      <protection locked="0"/>
    </xf>
    <xf numFmtId="167" fontId="3" fillId="32" borderId="11" xfId="192" applyNumberFormat="1" applyFont="1" applyFill="1" applyBorder="1" applyAlignment="1" applyProtection="1">
      <alignment vertical="center"/>
    </xf>
    <xf numFmtId="0" fontId="7" fillId="32" borderId="0" xfId="171" applyFont="1" applyFill="1" applyAlignment="1" applyProtection="1"/>
    <xf numFmtId="0" fontId="0" fillId="32" borderId="0" xfId="0" applyFill="1"/>
    <xf numFmtId="0" fontId="7" fillId="32" borderId="11" xfId="0" applyFont="1" applyFill="1" applyBorder="1" applyAlignment="1" applyProtection="1">
      <alignment vertical="center" wrapText="1"/>
    </xf>
    <xf numFmtId="0" fontId="6" fillId="35" borderId="11" xfId="0" applyFont="1" applyFill="1" applyBorder="1" applyAlignment="1" applyProtection="1">
      <alignment horizontal="center" vertical="center" wrapText="1"/>
    </xf>
    <xf numFmtId="167" fontId="7" fillId="32" borderId="11" xfId="192" applyNumberFormat="1" applyFont="1" applyFill="1" applyBorder="1" applyAlignment="1" applyProtection="1">
      <alignment horizontal="right" vertical="center"/>
    </xf>
    <xf numFmtId="0" fontId="0" fillId="32" borderId="11" xfId="0" applyFont="1" applyFill="1" applyBorder="1" applyAlignment="1" applyProtection="1">
      <alignment horizontal="center" vertical="center" wrapText="1"/>
    </xf>
    <xf numFmtId="0" fontId="3" fillId="32" borderId="29" xfId="192" applyNumberFormat="1" applyFont="1" applyFill="1" applyBorder="1" applyAlignment="1" applyProtection="1">
      <alignment horizontal="center" vertical="center"/>
    </xf>
    <xf numFmtId="0" fontId="6" fillId="32" borderId="29" xfId="192" applyNumberFormat="1" applyFont="1" applyFill="1" applyBorder="1" applyAlignment="1" applyProtection="1">
      <alignment horizontal="center" vertical="center"/>
    </xf>
    <xf numFmtId="0" fontId="52" fillId="29" borderId="28" xfId="13" applyFont="1" applyFill="1" applyBorder="1" applyAlignment="1" applyProtection="1">
      <alignment horizontal="center" vertical="center"/>
    </xf>
    <xf numFmtId="167" fontId="3" fillId="32" borderId="11" xfId="192" applyNumberFormat="1" applyFont="1" applyFill="1" applyBorder="1" applyAlignment="1" applyProtection="1">
      <alignment vertical="center"/>
      <protection locked="0"/>
    </xf>
    <xf numFmtId="167" fontId="6" fillId="32" borderId="11" xfId="192" applyNumberFormat="1" applyFont="1" applyFill="1" applyBorder="1" applyAlignment="1" applyProtection="1">
      <alignment horizontal="right" vertical="center"/>
      <protection locked="0"/>
    </xf>
    <xf numFmtId="0" fontId="64" fillId="32" borderId="0" xfId="0" applyFont="1" applyFill="1" applyAlignment="1" applyProtection="1">
      <alignment vertical="center"/>
    </xf>
    <xf numFmtId="0" fontId="64" fillId="32" borderId="0" xfId="0" applyFont="1" applyFill="1" applyAlignment="1" applyProtection="1">
      <alignment horizontal="center" vertical="center"/>
    </xf>
    <xf numFmtId="0" fontId="73" fillId="32" borderId="0" xfId="0" applyFont="1" applyFill="1" applyAlignment="1" applyProtection="1">
      <alignment vertical="center"/>
    </xf>
    <xf numFmtId="0" fontId="0" fillId="32" borderId="0" xfId="0" applyFont="1" applyFill="1" applyAlignment="1" applyProtection="1">
      <alignment vertical="center"/>
    </xf>
    <xf numFmtId="4" fontId="3" fillId="31" borderId="11" xfId="192" applyNumberFormat="1" applyFont="1" applyFill="1" applyBorder="1" applyAlignment="1" applyProtection="1">
      <alignment vertical="center"/>
      <protection locked="0"/>
    </xf>
    <xf numFmtId="4" fontId="7" fillId="32" borderId="11" xfId="0" applyNumberFormat="1" applyFont="1" applyFill="1" applyBorder="1" applyProtection="1"/>
    <xf numFmtId="167" fontId="6" fillId="0" borderId="11" xfId="192" applyNumberFormat="1" applyFont="1" applyFill="1" applyBorder="1" applyAlignment="1" applyProtection="1">
      <alignment horizontal="right" vertical="center"/>
    </xf>
    <xf numFmtId="0" fontId="7" fillId="32" borderId="11" xfId="0" applyFont="1" applyFill="1" applyBorder="1" applyAlignment="1" applyProtection="1">
      <alignment horizontal="left" vertical="center" wrapText="1"/>
    </xf>
    <xf numFmtId="0" fontId="7" fillId="32" borderId="92" xfId="184" applyFont="1" applyFill="1" applyBorder="1" applyAlignment="1" applyProtection="1">
      <alignment horizontal="center" vertical="center" wrapText="1"/>
    </xf>
    <xf numFmtId="0" fontId="4" fillId="32" borderId="14" xfId="171" applyFont="1" applyFill="1" applyBorder="1" applyAlignment="1" applyProtection="1">
      <alignment horizontal="center" vertical="center"/>
    </xf>
    <xf numFmtId="0" fontId="7" fillId="32" borderId="80" xfId="171" applyFont="1" applyFill="1" applyBorder="1" applyAlignment="1" applyProtection="1">
      <alignment horizontal="center" vertical="center" wrapText="1"/>
    </xf>
    <xf numFmtId="0" fontId="0" fillId="32" borderId="0" xfId="0" applyFill="1" applyAlignment="1" applyProtection="1">
      <alignment horizontal="center" vertical="center"/>
    </xf>
    <xf numFmtId="0" fontId="0" fillId="32" borderId="0" xfId="0" applyFill="1" applyAlignment="1" applyProtection="1">
      <alignment horizontal="right" vertical="center"/>
    </xf>
    <xf numFmtId="0" fontId="6" fillId="32" borderId="0" xfId="192" applyNumberFormat="1" applyFont="1" applyFill="1" applyBorder="1" applyAlignment="1" applyProtection="1">
      <alignment horizontal="center" vertical="center"/>
    </xf>
    <xf numFmtId="0" fontId="6" fillId="32" borderId="0" xfId="0" applyFont="1" applyFill="1" applyAlignment="1" applyProtection="1">
      <alignment horizontal="left" vertical="center"/>
    </xf>
    <xf numFmtId="0" fontId="6" fillId="32" borderId="0" xfId="0" applyFont="1" applyFill="1" applyAlignment="1" applyProtection="1">
      <alignment vertical="center"/>
    </xf>
    <xf numFmtId="0" fontId="6" fillId="32" borderId="0" xfId="0" applyFont="1" applyFill="1" applyAlignment="1" applyProtection="1">
      <alignment horizontal="center" vertical="center"/>
    </xf>
    <xf numFmtId="0" fontId="6" fillId="32" borderId="0" xfId="0" applyFont="1" applyFill="1" applyBorder="1" applyAlignment="1" applyProtection="1">
      <alignment vertical="center"/>
    </xf>
    <xf numFmtId="0" fontId="6" fillId="0" borderId="0" xfId="0" applyFont="1" applyAlignment="1" applyProtection="1">
      <alignment vertical="center"/>
    </xf>
    <xf numFmtId="0" fontId="7" fillId="32" borderId="0" xfId="0" applyFont="1" applyFill="1" applyBorder="1" applyAlignment="1" applyProtection="1">
      <alignment horizontal="center" vertical="center" wrapText="1"/>
    </xf>
    <xf numFmtId="0" fontId="20" fillId="32" borderId="0" xfId="186" applyFont="1" applyFill="1" applyAlignment="1" applyProtection="1">
      <alignment vertical="center"/>
    </xf>
    <xf numFmtId="0" fontId="76" fillId="32" borderId="0" xfId="186" applyFont="1" applyFill="1" applyAlignment="1" applyProtection="1">
      <alignment vertical="center"/>
    </xf>
    <xf numFmtId="0" fontId="75" fillId="32" borderId="0" xfId="30" applyFont="1" applyFill="1" applyAlignment="1" applyProtection="1">
      <alignment vertical="center"/>
    </xf>
    <xf numFmtId="0" fontId="21" fillId="32" borderId="0" xfId="186" applyFont="1" applyFill="1" applyAlignment="1" applyProtection="1">
      <alignment vertical="center"/>
    </xf>
    <xf numFmtId="0" fontId="58" fillId="32" borderId="0" xfId="186" applyFont="1" applyFill="1" applyAlignment="1" applyProtection="1">
      <alignment vertical="center"/>
    </xf>
    <xf numFmtId="0" fontId="74" fillId="32" borderId="0" xfId="186" applyFont="1" applyFill="1" applyAlignment="1" applyProtection="1">
      <alignment vertical="center"/>
    </xf>
    <xf numFmtId="0" fontId="22" fillId="32" borderId="0" xfId="30" applyFont="1" applyFill="1" applyAlignment="1" applyProtection="1">
      <alignment horizontal="center" vertical="center"/>
    </xf>
    <xf numFmtId="0" fontId="78" fillId="32" borderId="0" xfId="30" applyFont="1" applyFill="1" applyAlignment="1" applyProtection="1">
      <alignment horizontal="center" vertical="center"/>
    </xf>
    <xf numFmtId="0" fontId="64" fillId="32" borderId="0" xfId="30" applyFont="1" applyFill="1" applyAlignment="1" applyProtection="1">
      <alignment vertical="center"/>
    </xf>
    <xf numFmtId="0" fontId="7" fillId="32" borderId="60" xfId="30" applyFont="1" applyFill="1" applyBorder="1" applyAlignment="1" applyProtection="1">
      <alignment horizontal="center" vertical="center"/>
    </xf>
    <xf numFmtId="0" fontId="7" fillId="32" borderId="82" xfId="30" applyFont="1" applyFill="1" applyBorder="1" applyAlignment="1" applyProtection="1">
      <alignment horizontal="center" vertical="center"/>
    </xf>
    <xf numFmtId="0" fontId="3" fillId="32" borderId="0" xfId="30" applyFont="1" applyFill="1" applyAlignment="1" applyProtection="1">
      <alignment vertical="center"/>
    </xf>
    <xf numFmtId="0" fontId="6" fillId="32" borderId="0" xfId="30" quotePrefix="1" applyFont="1" applyFill="1" applyAlignment="1" applyProtection="1">
      <alignment vertical="center"/>
    </xf>
    <xf numFmtId="4" fontId="24" fillId="32" borderId="0" xfId="30" applyNumberFormat="1" applyFont="1" applyFill="1" applyBorder="1" applyAlignment="1" applyProtection="1">
      <alignment vertical="center"/>
    </xf>
    <xf numFmtId="0" fontId="6" fillId="32" borderId="0" xfId="30" applyFont="1" applyFill="1" applyAlignment="1" applyProtection="1">
      <alignment vertical="center"/>
    </xf>
    <xf numFmtId="0" fontId="25" fillId="32" borderId="0" xfId="30" applyFont="1" applyFill="1" applyAlignment="1" applyProtection="1">
      <alignment vertical="center"/>
    </xf>
    <xf numFmtId="0" fontId="3" fillId="32" borderId="33" xfId="30" applyFont="1" applyFill="1" applyBorder="1" applyAlignment="1" applyProtection="1">
      <alignment horizontal="center" vertical="center"/>
    </xf>
    <xf numFmtId="0" fontId="3" fillId="32" borderId="33" xfId="30" applyFill="1" applyBorder="1" applyAlignment="1" applyProtection="1">
      <alignment horizontal="center" vertical="center"/>
    </xf>
    <xf numFmtId="0" fontId="3" fillId="32" borderId="11" xfId="30" applyFill="1" applyBorder="1" applyAlignment="1" applyProtection="1">
      <alignment horizontal="center" vertical="center"/>
    </xf>
    <xf numFmtId="0" fontId="3" fillId="32" borderId="28" xfId="30" quotePrefix="1" applyFill="1" applyBorder="1" applyAlignment="1" applyProtection="1">
      <alignment horizontal="center" vertical="center"/>
    </xf>
    <xf numFmtId="1" fontId="3" fillId="0" borderId="29" xfId="30" applyNumberFormat="1" applyBorder="1" applyAlignment="1" applyProtection="1">
      <alignment horizontal="center" vertical="center"/>
    </xf>
    <xf numFmtId="4" fontId="3" fillId="32" borderId="32" xfId="30" applyNumberFormat="1" applyFont="1" applyFill="1" applyBorder="1" applyAlignment="1" applyProtection="1">
      <alignment vertical="center"/>
    </xf>
    <xf numFmtId="4" fontId="3" fillId="32" borderId="35" xfId="30" applyNumberFormat="1" applyFont="1" applyFill="1" applyBorder="1" applyAlignment="1" applyProtection="1">
      <alignment vertical="center"/>
    </xf>
    <xf numFmtId="4" fontId="3" fillId="32" borderId="0" xfId="30" applyNumberFormat="1" applyFill="1" applyAlignment="1" applyProtection="1">
      <alignment vertical="center"/>
    </xf>
    <xf numFmtId="4" fontId="59" fillId="32" borderId="11" xfId="30" applyNumberFormat="1" applyFont="1" applyFill="1" applyBorder="1" applyAlignment="1" applyProtection="1">
      <alignment vertical="center"/>
    </xf>
    <xf numFmtId="1" fontId="3" fillId="0" borderId="37" xfId="30" applyNumberFormat="1" applyBorder="1" applyAlignment="1" applyProtection="1">
      <alignment horizontal="center" vertical="center"/>
    </xf>
    <xf numFmtId="4" fontId="3" fillId="32" borderId="11" xfId="192" applyNumberFormat="1" applyFont="1" applyFill="1" applyBorder="1" applyAlignment="1" applyProtection="1">
      <alignment vertical="center"/>
    </xf>
    <xf numFmtId="4" fontId="3" fillId="32" borderId="0" xfId="30" applyNumberFormat="1" applyFont="1" applyFill="1" applyBorder="1" applyAlignment="1" applyProtection="1">
      <alignment vertical="center"/>
    </xf>
    <xf numFmtId="4" fontId="3" fillId="32" borderId="36" xfId="30" applyNumberFormat="1" applyFont="1" applyFill="1" applyBorder="1" applyAlignment="1" applyProtection="1">
      <alignment vertical="center"/>
    </xf>
    <xf numFmtId="4" fontId="3" fillId="32" borderId="83" xfId="30" applyNumberFormat="1" applyFont="1" applyFill="1" applyBorder="1" applyAlignment="1" applyProtection="1">
      <alignment vertical="center"/>
    </xf>
    <xf numFmtId="4" fontId="3" fillId="32" borderId="0" xfId="192" applyNumberFormat="1" applyFont="1" applyFill="1" applyBorder="1" applyAlignment="1" applyProtection="1">
      <alignment vertical="center"/>
    </xf>
    <xf numFmtId="4" fontId="3" fillId="32" borderId="37" xfId="192" applyNumberFormat="1" applyFont="1" applyFill="1" applyBorder="1" applyAlignment="1" applyProtection="1">
      <alignment vertical="center"/>
    </xf>
    <xf numFmtId="4" fontId="60" fillId="32" borderId="37" xfId="30" applyNumberFormat="1" applyFont="1" applyFill="1" applyBorder="1" applyAlignment="1" applyProtection="1">
      <alignment vertical="center"/>
    </xf>
    <xf numFmtId="4" fontId="27" fillId="32" borderId="0" xfId="30" applyNumberFormat="1" applyFont="1" applyFill="1" applyAlignment="1" applyProtection="1">
      <alignment vertical="center"/>
    </xf>
    <xf numFmtId="4" fontId="61" fillId="32" borderId="11" xfId="30" applyNumberFormat="1" applyFont="1" applyFill="1" applyBorder="1" applyAlignment="1" applyProtection="1">
      <alignment vertical="center"/>
    </xf>
    <xf numFmtId="0" fontId="27" fillId="32" borderId="0" xfId="30" applyFont="1" applyFill="1" applyAlignment="1" applyProtection="1">
      <alignment vertical="center"/>
    </xf>
    <xf numFmtId="0" fontId="27" fillId="0" borderId="0" xfId="30" applyFont="1" applyAlignment="1" applyProtection="1">
      <alignment vertical="center"/>
    </xf>
    <xf numFmtId="4" fontId="62" fillId="32" borderId="0" xfId="30" applyNumberFormat="1" applyFont="1" applyFill="1" applyAlignment="1" applyProtection="1">
      <alignment horizontal="left" vertical="center"/>
    </xf>
    <xf numFmtId="4" fontId="62" fillId="32" borderId="0" xfId="30" applyNumberFormat="1" applyFont="1" applyFill="1" applyAlignment="1" applyProtection="1">
      <alignment horizontal="right" vertical="center"/>
    </xf>
    <xf numFmtId="0" fontId="6" fillId="0" borderId="0" xfId="30" applyFont="1" applyAlignment="1" applyProtection="1">
      <alignment vertical="center"/>
    </xf>
    <xf numFmtId="1" fontId="3" fillId="0" borderId="26" xfId="30" applyNumberFormat="1" applyBorder="1" applyAlignment="1" applyProtection="1">
      <alignment horizontal="center" vertical="center"/>
    </xf>
    <xf numFmtId="4" fontId="3" fillId="32" borderId="0" xfId="30" applyNumberFormat="1" applyFill="1" applyBorder="1" applyAlignment="1" applyProtection="1">
      <alignment vertical="center"/>
    </xf>
    <xf numFmtId="4" fontId="3" fillId="32" borderId="35" xfId="30" applyNumberFormat="1" applyFill="1" applyBorder="1" applyAlignment="1" applyProtection="1">
      <alignment vertical="center"/>
    </xf>
    <xf numFmtId="4" fontId="63" fillId="32" borderId="11" xfId="30" applyNumberFormat="1" applyFont="1" applyFill="1" applyBorder="1" applyAlignment="1" applyProtection="1">
      <alignment vertical="center"/>
    </xf>
    <xf numFmtId="0" fontId="3" fillId="0" borderId="26" xfId="30" applyBorder="1" applyAlignment="1" applyProtection="1">
      <alignment horizontal="center" vertical="center"/>
    </xf>
    <xf numFmtId="4" fontId="3" fillId="32" borderId="36" xfId="30" applyNumberFormat="1" applyFill="1" applyBorder="1" applyAlignment="1" applyProtection="1">
      <alignment vertical="center"/>
    </xf>
    <xf numFmtId="4" fontId="61" fillId="0" borderId="11" xfId="30" applyNumberFormat="1" applyFont="1" applyBorder="1" applyAlignment="1" applyProtection="1">
      <alignment vertical="center"/>
    </xf>
    <xf numFmtId="1" fontId="3" fillId="32" borderId="11" xfId="30" applyNumberFormat="1" applyFill="1" applyBorder="1" applyAlignment="1" applyProtection="1">
      <alignment horizontal="center" vertical="center"/>
    </xf>
    <xf numFmtId="4" fontId="3" fillId="32" borderId="32" xfId="30" applyNumberFormat="1" applyFill="1" applyBorder="1" applyAlignment="1" applyProtection="1">
      <alignment vertical="center"/>
    </xf>
    <xf numFmtId="4" fontId="3" fillId="32" borderId="11" xfId="30" applyNumberFormat="1" applyFill="1" applyBorder="1" applyAlignment="1" applyProtection="1">
      <alignment vertical="center"/>
    </xf>
    <xf numFmtId="4" fontId="59" fillId="32" borderId="0" xfId="30" applyNumberFormat="1" applyFont="1" applyFill="1" applyBorder="1" applyAlignment="1" applyProtection="1">
      <alignment vertical="center"/>
    </xf>
    <xf numFmtId="4" fontId="59" fillId="32" borderId="36" xfId="30" applyNumberFormat="1" applyFont="1" applyFill="1" applyBorder="1" applyAlignment="1" applyProtection="1">
      <alignment vertical="center"/>
    </xf>
    <xf numFmtId="0" fontId="7" fillId="32" borderId="0" xfId="0" applyFont="1" applyFill="1" applyAlignment="1" applyProtection="1">
      <alignment vertical="center"/>
    </xf>
    <xf numFmtId="0" fontId="70" fillId="32" borderId="11" xfId="0" applyFont="1" applyFill="1" applyBorder="1" applyAlignment="1" applyProtection="1">
      <alignment vertical="center"/>
    </xf>
    <xf numFmtId="0" fontId="6" fillId="32" borderId="11" xfId="0" applyFont="1" applyFill="1" applyBorder="1" applyAlignment="1" applyProtection="1">
      <alignment vertical="center"/>
    </xf>
    <xf numFmtId="4" fontId="7" fillId="32" borderId="11" xfId="0" applyNumberFormat="1" applyFont="1" applyFill="1" applyBorder="1" applyAlignment="1" applyProtection="1">
      <alignment vertical="center"/>
    </xf>
    <xf numFmtId="4" fontId="7" fillId="32" borderId="11" xfId="0" applyNumberFormat="1" applyFont="1" applyFill="1" applyBorder="1" applyAlignment="1" applyProtection="1">
      <alignment horizontal="center" vertical="center"/>
    </xf>
    <xf numFmtId="4" fontId="7" fillId="0" borderId="11" xfId="0" applyNumberFormat="1" applyFont="1" applyFill="1" applyBorder="1" applyAlignment="1" applyProtection="1">
      <alignment horizontal="center" vertical="center"/>
    </xf>
    <xf numFmtId="4" fontId="6" fillId="32" borderId="11" xfId="0" applyNumberFormat="1" applyFont="1" applyFill="1" applyBorder="1" applyAlignment="1" applyProtection="1">
      <alignment vertical="center"/>
    </xf>
    <xf numFmtId="0" fontId="66" fillId="32" borderId="0" xfId="186" applyFont="1" applyFill="1" applyAlignment="1" applyProtection="1">
      <alignment vertical="center"/>
    </xf>
    <xf numFmtId="0" fontId="65" fillId="32" borderId="0" xfId="30" applyFont="1" applyFill="1" applyAlignment="1" applyProtection="1">
      <alignment horizontal="center" vertical="center"/>
    </xf>
    <xf numFmtId="1" fontId="3" fillId="0" borderId="11" xfId="30" applyNumberFormat="1" applyBorder="1" applyAlignment="1" applyProtection="1">
      <alignment horizontal="center" vertical="center"/>
    </xf>
    <xf numFmtId="4" fontId="7" fillId="32" borderId="11" xfId="0" applyNumberFormat="1" applyFont="1" applyFill="1" applyBorder="1" applyAlignment="1" applyProtection="1">
      <alignment horizontal="right"/>
    </xf>
    <xf numFmtId="0" fontId="80" fillId="32" borderId="14" xfId="0" applyFont="1" applyFill="1" applyBorder="1" applyAlignment="1" applyProtection="1">
      <alignment vertical="center"/>
    </xf>
    <xf numFmtId="0" fontId="80" fillId="32" borderId="0" xfId="0" applyFont="1" applyFill="1" applyBorder="1" applyAlignment="1" applyProtection="1">
      <alignment vertical="center"/>
    </xf>
    <xf numFmtId="0" fontId="4" fillId="32" borderId="0" xfId="0" applyFont="1" applyFill="1" applyBorder="1" applyAlignment="1" applyProtection="1">
      <alignment vertical="center"/>
    </xf>
    <xf numFmtId="0" fontId="81" fillId="32" borderId="0" xfId="30" quotePrefix="1" applyFont="1" applyFill="1" applyAlignment="1" applyProtection="1">
      <alignment vertical="center"/>
    </xf>
    <xf numFmtId="0" fontId="75" fillId="32" borderId="0" xfId="0" applyFont="1" applyFill="1" applyAlignment="1" applyProtection="1">
      <alignment vertical="center"/>
    </xf>
    <xf numFmtId="0" fontId="3" fillId="32" borderId="0" xfId="0" applyFont="1" applyFill="1" applyAlignment="1" applyProtection="1">
      <alignment vertical="center"/>
    </xf>
    <xf numFmtId="0" fontId="25" fillId="32" borderId="0" xfId="30" quotePrefix="1" applyFont="1" applyFill="1" applyAlignment="1" applyProtection="1">
      <alignment vertical="center"/>
    </xf>
    <xf numFmtId="0" fontId="35" fillId="32" borderId="0" xfId="35" quotePrefix="1" applyFont="1" applyFill="1" applyAlignment="1" applyProtection="1">
      <alignment vertical="center"/>
    </xf>
    <xf numFmtId="0" fontId="35" fillId="32" borderId="0" xfId="30" quotePrefix="1" applyFont="1" applyFill="1" applyAlignment="1" applyProtection="1">
      <alignment vertical="center"/>
    </xf>
    <xf numFmtId="0" fontId="0" fillId="32" borderId="0" xfId="0" applyFill="1" applyBorder="1" applyAlignment="1" applyProtection="1">
      <alignment vertical="center"/>
    </xf>
    <xf numFmtId="0" fontId="7" fillId="32" borderId="32" xfId="0" applyFont="1" applyFill="1" applyBorder="1" applyAlignment="1" applyProtection="1">
      <alignment horizontal="left" vertical="center"/>
    </xf>
    <xf numFmtId="0" fontId="0" fillId="32" borderId="32" xfId="0" applyFill="1" applyBorder="1" applyAlignment="1" applyProtection="1">
      <alignment vertical="center"/>
    </xf>
    <xf numFmtId="0" fontId="7" fillId="32" borderId="32" xfId="0" applyFont="1" applyFill="1" applyBorder="1" applyAlignment="1" applyProtection="1">
      <alignment horizontal="center" vertical="center" wrapText="1"/>
    </xf>
    <xf numFmtId="0" fontId="64" fillId="32" borderId="0" xfId="0" applyFont="1" applyFill="1" applyBorder="1" applyAlignment="1" applyProtection="1">
      <alignment vertical="center"/>
    </xf>
    <xf numFmtId="4" fontId="0" fillId="32" borderId="0" xfId="0" applyNumberFormat="1" applyFill="1" applyAlignment="1" applyProtection="1">
      <alignment vertical="center"/>
    </xf>
    <xf numFmtId="4" fontId="7" fillId="32" borderId="0" xfId="0" applyNumberFormat="1" applyFont="1" applyFill="1" applyAlignment="1" applyProtection="1">
      <alignment vertical="center"/>
    </xf>
    <xf numFmtId="4" fontId="6" fillId="32" borderId="0" xfId="0" applyNumberFormat="1" applyFont="1" applyFill="1" applyBorder="1" applyAlignment="1" applyProtection="1">
      <alignment vertical="center"/>
    </xf>
    <xf numFmtId="4" fontId="6" fillId="32" borderId="0" xfId="0" applyNumberFormat="1" applyFont="1" applyFill="1" applyAlignment="1" applyProtection="1">
      <alignment vertical="center"/>
    </xf>
    <xf numFmtId="0" fontId="19" fillId="32" borderId="0" xfId="0" applyFont="1" applyFill="1" applyBorder="1" applyAlignment="1" applyProtection="1">
      <alignment horizontal="left" vertical="center"/>
    </xf>
    <xf numFmtId="0" fontId="19" fillId="32" borderId="0" xfId="0" applyFont="1" applyFill="1" applyBorder="1" applyAlignment="1" applyProtection="1">
      <alignment vertical="center"/>
    </xf>
    <xf numFmtId="167" fontId="19" fillId="32" borderId="0" xfId="0" applyNumberFormat="1" applyFont="1" applyFill="1" applyBorder="1" applyAlignment="1" applyProtection="1">
      <alignment vertical="center"/>
    </xf>
    <xf numFmtId="0" fontId="25" fillId="32" borderId="0" xfId="35" quotePrefix="1" applyFont="1" applyFill="1" applyAlignment="1" applyProtection="1">
      <alignment vertical="center"/>
    </xf>
    <xf numFmtId="0" fontId="0" fillId="35" borderId="11" xfId="0" applyFill="1" applyBorder="1" applyAlignment="1" applyProtection="1">
      <alignment vertical="center"/>
    </xf>
    <xf numFmtId="0" fontId="6" fillId="32" borderId="37" xfId="0" applyFont="1" applyFill="1" applyBorder="1" applyAlignment="1" applyProtection="1">
      <alignment horizontal="center" vertical="center"/>
    </xf>
    <xf numFmtId="0" fontId="6" fillId="32" borderId="29" xfId="0" applyFont="1" applyFill="1" applyBorder="1" applyAlignment="1" applyProtection="1">
      <alignment horizontal="center" vertical="center"/>
    </xf>
    <xf numFmtId="0" fontId="6" fillId="32" borderId="26" xfId="0" applyFont="1" applyFill="1" applyBorder="1" applyAlignment="1" applyProtection="1">
      <alignment horizontal="center" vertical="center"/>
    </xf>
    <xf numFmtId="0" fontId="6" fillId="38" borderId="11" xfId="0" applyFont="1" applyFill="1" applyBorder="1" applyAlignment="1" applyProtection="1">
      <alignment vertical="center"/>
    </xf>
    <xf numFmtId="4" fontId="72" fillId="32" borderId="0" xfId="0" applyNumberFormat="1" applyFont="1" applyFill="1" applyAlignment="1" applyProtection="1">
      <alignment vertical="center"/>
    </xf>
    <xf numFmtId="0" fontId="71" fillId="32" borderId="32" xfId="0" applyFont="1" applyFill="1" applyBorder="1" applyAlignment="1" applyProtection="1">
      <alignment horizontal="left" vertical="center"/>
    </xf>
    <xf numFmtId="0" fontId="70" fillId="32" borderId="32" xfId="0" applyFont="1" applyFill="1" applyBorder="1" applyAlignment="1" applyProtection="1">
      <alignment vertical="center"/>
    </xf>
    <xf numFmtId="0" fontId="71" fillId="32" borderId="32" xfId="0" applyFont="1" applyFill="1" applyBorder="1" applyAlignment="1" applyProtection="1">
      <alignment horizontal="center" vertical="center" wrapText="1"/>
    </xf>
    <xf numFmtId="0" fontId="71" fillId="32" borderId="0" xfId="0" applyFont="1" applyFill="1" applyBorder="1" applyAlignment="1" applyProtection="1">
      <alignment horizontal="center" vertical="center" wrapText="1"/>
    </xf>
    <xf numFmtId="0" fontId="70" fillId="32" borderId="0" xfId="0" applyFont="1" applyFill="1" applyBorder="1" applyAlignment="1" applyProtection="1">
      <alignment vertical="center"/>
    </xf>
    <xf numFmtId="0" fontId="7" fillId="32" borderId="84" xfId="0" applyFont="1" applyFill="1" applyBorder="1" applyAlignment="1" applyProtection="1">
      <alignment horizontal="left" vertical="center"/>
    </xf>
    <xf numFmtId="0" fontId="5" fillId="34" borderId="0" xfId="0" applyFont="1" applyFill="1" applyAlignment="1" applyProtection="1">
      <alignment vertical="center"/>
    </xf>
    <xf numFmtId="0" fontId="7" fillId="34" borderId="0" xfId="0" applyFont="1" applyFill="1" applyAlignment="1" applyProtection="1">
      <alignment vertical="center"/>
    </xf>
    <xf numFmtId="0" fontId="0" fillId="34" borderId="0" xfId="0" applyFill="1" applyAlignment="1" applyProtection="1">
      <alignment vertical="center"/>
    </xf>
    <xf numFmtId="0" fontId="0" fillId="34" borderId="0" xfId="0" applyFont="1" applyFill="1" applyAlignment="1" applyProtection="1">
      <alignment vertical="center"/>
    </xf>
    <xf numFmtId="4" fontId="60" fillId="32" borderId="93" xfId="30" applyNumberFormat="1" applyFont="1" applyFill="1" applyBorder="1" applyAlignment="1" applyProtection="1">
      <alignment vertical="center"/>
    </xf>
    <xf numFmtId="4" fontId="60" fillId="32" borderId="37" xfId="30" applyNumberFormat="1" applyFont="1" applyFill="1" applyBorder="1" applyAlignment="1" applyProtection="1">
      <alignment horizontal="center" vertical="center"/>
    </xf>
    <xf numFmtId="4" fontId="60" fillId="0" borderId="11" xfId="30" applyNumberFormat="1" applyFont="1" applyBorder="1" applyAlignment="1" applyProtection="1">
      <alignment vertical="center"/>
    </xf>
    <xf numFmtId="0" fontId="15" fillId="32" borderId="0" xfId="30" applyFont="1" applyFill="1" applyAlignment="1" applyProtection="1">
      <alignment horizontal="center" vertical="center"/>
    </xf>
    <xf numFmtId="0" fontId="7" fillId="32" borderId="34" xfId="30" applyFont="1" applyFill="1" applyBorder="1" applyAlignment="1" applyProtection="1">
      <alignment horizontal="center" vertical="center"/>
    </xf>
    <xf numFmtId="0" fontId="7" fillId="32" borderId="25" xfId="30" applyFont="1" applyFill="1" applyBorder="1" applyAlignment="1" applyProtection="1">
      <alignment horizontal="center" vertical="center"/>
    </xf>
    <xf numFmtId="4" fontId="3" fillId="32" borderId="31" xfId="192" applyNumberFormat="1" applyFont="1" applyFill="1" applyBorder="1" applyAlignment="1" applyProtection="1">
      <alignment vertical="center"/>
    </xf>
    <xf numFmtId="0" fontId="57" fillId="32" borderId="0" xfId="46" applyFill="1" applyBorder="1" applyAlignment="1" applyProtection="1">
      <alignment vertical="center"/>
    </xf>
    <xf numFmtId="4" fontId="6" fillId="32" borderId="0" xfId="30" applyNumberFormat="1" applyFont="1" applyFill="1" applyAlignment="1" applyProtection="1">
      <alignment vertical="center"/>
    </xf>
    <xf numFmtId="4" fontId="6" fillId="35" borderId="11" xfId="192" applyNumberFormat="1" applyFont="1" applyFill="1" applyBorder="1" applyAlignment="1" applyProtection="1">
      <alignment vertical="center"/>
    </xf>
    <xf numFmtId="4" fontId="3" fillId="37" borderId="11" xfId="192" applyNumberFormat="1" applyFont="1" applyFill="1" applyBorder="1" applyAlignment="1" applyProtection="1">
      <alignment vertical="center"/>
    </xf>
    <xf numFmtId="0" fontId="6" fillId="35" borderId="11" xfId="0" applyFont="1" applyFill="1" applyBorder="1" applyAlignment="1" applyProtection="1">
      <alignment vertical="center"/>
    </xf>
    <xf numFmtId="4" fontId="6" fillId="35" borderId="11" xfId="0" applyNumberFormat="1" applyFont="1" applyFill="1" applyBorder="1" applyAlignment="1" applyProtection="1">
      <alignment vertical="center"/>
    </xf>
    <xf numFmtId="167" fontId="3" fillId="32" borderId="94" xfId="192" applyNumberFormat="1" applyFont="1" applyFill="1" applyBorder="1" applyAlignment="1" applyProtection="1">
      <alignment vertical="center"/>
    </xf>
    <xf numFmtId="167" fontId="3" fillId="32" borderId="73" xfId="192" applyNumberFormat="1" applyFont="1" applyFill="1" applyBorder="1" applyAlignment="1" applyProtection="1">
      <alignment vertical="center"/>
    </xf>
    <xf numFmtId="0" fontId="21" fillId="0" borderId="0" xfId="174" applyFont="1" applyFill="1" applyAlignment="1" applyProtection="1">
      <alignment vertical="center"/>
    </xf>
    <xf numFmtId="0" fontId="51" fillId="0" borderId="14" xfId="174" applyFont="1" applyFill="1" applyBorder="1" applyAlignment="1" applyProtection="1">
      <alignment horizontal="center" vertical="center"/>
    </xf>
    <xf numFmtId="0" fontId="21" fillId="0" borderId="0" xfId="174" applyFont="1" applyFill="1" applyBorder="1" applyAlignment="1" applyProtection="1">
      <alignment horizontal="center" vertical="center"/>
    </xf>
    <xf numFmtId="0" fontId="21" fillId="0" borderId="40" xfId="174" applyFont="1" applyFill="1" applyBorder="1" applyAlignment="1" applyProtection="1">
      <alignment horizontal="center" vertical="center"/>
    </xf>
    <xf numFmtId="0" fontId="21" fillId="0" borderId="0" xfId="174" applyFont="1" applyFill="1" applyAlignment="1" applyProtection="1">
      <alignment horizontal="center" vertical="center"/>
    </xf>
    <xf numFmtId="167" fontId="7" fillId="32" borderId="60" xfId="192" applyNumberFormat="1" applyFont="1" applyFill="1" applyBorder="1" applyAlignment="1" applyProtection="1">
      <alignment horizontal="center" vertical="center"/>
    </xf>
    <xf numFmtId="167" fontId="7" fillId="32" borderId="82" xfId="192" applyNumberFormat="1" applyFont="1" applyFill="1" applyBorder="1" applyAlignment="1" applyProtection="1">
      <alignment horizontal="center" vertical="center"/>
    </xf>
    <xf numFmtId="167" fontId="7" fillId="32" borderId="47" xfId="192" applyNumberFormat="1" applyFont="1" applyFill="1" applyBorder="1" applyAlignment="1" applyProtection="1">
      <alignment horizontal="center" vertical="center"/>
    </xf>
    <xf numFmtId="167" fontId="7" fillId="32" borderId="42" xfId="192" applyNumberFormat="1" applyFont="1" applyFill="1" applyBorder="1" applyAlignment="1" applyProtection="1">
      <alignment vertical="center"/>
    </xf>
    <xf numFmtId="0" fontId="28" fillId="32" borderId="0" xfId="174" applyFont="1" applyFill="1" applyAlignment="1" applyProtection="1">
      <alignment vertical="center"/>
    </xf>
    <xf numFmtId="0" fontId="69" fillId="32" borderId="0" xfId="174" applyFont="1" applyFill="1" applyAlignment="1" applyProtection="1">
      <alignment vertical="center"/>
    </xf>
    <xf numFmtId="0" fontId="29" fillId="32" borderId="0" xfId="174" applyFont="1" applyFill="1" applyAlignment="1" applyProtection="1">
      <alignment vertical="center"/>
    </xf>
    <xf numFmtId="0" fontId="67" fillId="32" borderId="0" xfId="174" applyFont="1" applyFill="1" applyAlignment="1" applyProtection="1">
      <alignment vertical="center"/>
    </xf>
    <xf numFmtId="0" fontId="5" fillId="32" borderId="0" xfId="0" applyFont="1" applyFill="1" applyAlignment="1" applyProtection="1">
      <alignment vertical="center"/>
    </xf>
    <xf numFmtId="0" fontId="3" fillId="0" borderId="0" xfId="174" applyFill="1" applyBorder="1" applyAlignment="1" applyProtection="1">
      <alignment vertical="center"/>
    </xf>
    <xf numFmtId="0" fontId="3" fillId="0" borderId="0" xfId="174" applyFill="1" applyAlignment="1" applyProtection="1">
      <alignment vertical="center"/>
    </xf>
    <xf numFmtId="0" fontId="3" fillId="0" borderId="0" xfId="174" applyFill="1" applyAlignment="1" applyProtection="1">
      <alignment horizontal="right" vertical="center"/>
    </xf>
    <xf numFmtId="0" fontId="4" fillId="0" borderId="34" xfId="174" applyFont="1" applyFill="1" applyBorder="1" applyAlignment="1" applyProtection="1">
      <alignment vertical="center"/>
    </xf>
    <xf numFmtId="0" fontId="4" fillId="0" borderId="47" xfId="174" applyFont="1" applyFill="1" applyBorder="1" applyAlignment="1" applyProtection="1">
      <alignment vertical="center"/>
    </xf>
    <xf numFmtId="0" fontId="4" fillId="0" borderId="39" xfId="174" applyFont="1" applyFill="1" applyBorder="1" applyAlignment="1" applyProtection="1">
      <alignment horizontal="right" vertical="center"/>
    </xf>
    <xf numFmtId="0" fontId="4" fillId="0" borderId="0" xfId="174" applyFont="1" applyFill="1" applyBorder="1" applyAlignment="1" applyProtection="1">
      <alignment vertical="center"/>
    </xf>
    <xf numFmtId="0" fontId="4" fillId="0" borderId="0" xfId="174" applyFont="1" applyFill="1" applyAlignment="1" applyProtection="1">
      <alignment vertical="center"/>
    </xf>
    <xf numFmtId="0" fontId="5" fillId="0" borderId="41" xfId="174" applyFont="1" applyFill="1" applyBorder="1" applyAlignment="1" applyProtection="1">
      <alignment vertical="center"/>
    </xf>
    <xf numFmtId="0" fontId="5" fillId="0" borderId="42" xfId="174" applyFont="1" applyFill="1" applyBorder="1" applyAlignment="1" applyProtection="1">
      <alignment vertical="center"/>
    </xf>
    <xf numFmtId="0" fontId="5" fillId="0" borderId="43" xfId="174" applyFont="1" applyFill="1" applyBorder="1" applyAlignment="1" applyProtection="1">
      <alignment horizontal="right" vertical="center"/>
    </xf>
    <xf numFmtId="167" fontId="7" fillId="29" borderId="94" xfId="174" applyNumberFormat="1" applyFont="1" applyFill="1" applyBorder="1" applyAlignment="1" applyProtection="1">
      <alignment vertical="center"/>
    </xf>
    <xf numFmtId="167" fontId="7" fillId="29" borderId="74" xfId="174" applyNumberFormat="1" applyFont="1" applyFill="1" applyBorder="1" applyAlignment="1" applyProtection="1">
      <alignment vertical="center"/>
    </xf>
    <xf numFmtId="167" fontId="7" fillId="32" borderId="54" xfId="174" applyNumberFormat="1" applyFont="1" applyFill="1" applyBorder="1" applyAlignment="1" applyProtection="1">
      <alignment vertical="center"/>
    </xf>
    <xf numFmtId="0" fontId="3" fillId="29" borderId="0" xfId="174" applyFont="1" applyFill="1" applyAlignment="1" applyProtection="1">
      <alignment vertical="center"/>
    </xf>
    <xf numFmtId="167" fontId="7" fillId="32" borderId="68" xfId="174" applyNumberFormat="1" applyFont="1" applyFill="1" applyBorder="1" applyAlignment="1" applyProtection="1">
      <alignment vertical="center"/>
    </xf>
    <xf numFmtId="0" fontId="3" fillId="0" borderId="41" xfId="174" applyFont="1" applyFill="1" applyBorder="1" applyAlignment="1" applyProtection="1">
      <alignment vertical="center"/>
    </xf>
    <xf numFmtId="170" fontId="3" fillId="0" borderId="43" xfId="174" applyNumberFormat="1" applyFont="1" applyFill="1" applyBorder="1" applyAlignment="1" applyProtection="1">
      <alignment horizontal="right" vertical="center"/>
    </xf>
    <xf numFmtId="168" fontId="3" fillId="0" borderId="0" xfId="174" applyNumberFormat="1" applyFont="1" applyFill="1" applyAlignment="1" applyProtection="1">
      <alignment vertical="center"/>
    </xf>
    <xf numFmtId="4" fontId="3" fillId="32" borderId="94" xfId="174" applyNumberFormat="1" applyFont="1" applyFill="1" applyBorder="1" applyAlignment="1" applyProtection="1">
      <alignment vertical="center"/>
    </xf>
    <xf numFmtId="4" fontId="3" fillId="32" borderId="73" xfId="174" applyNumberFormat="1" applyFont="1" applyFill="1" applyBorder="1" applyAlignment="1" applyProtection="1">
      <alignment vertical="center"/>
    </xf>
    <xf numFmtId="4" fontId="7" fillId="32" borderId="42" xfId="174" applyNumberFormat="1" applyFont="1" applyFill="1" applyBorder="1" applyAlignment="1" applyProtection="1">
      <alignment vertical="center"/>
    </xf>
    <xf numFmtId="4" fontId="3" fillId="32" borderId="69" xfId="174" applyNumberFormat="1" applyFont="1" applyFill="1" applyBorder="1" applyAlignment="1" applyProtection="1">
      <alignment vertical="center"/>
    </xf>
    <xf numFmtId="0" fontId="3" fillId="0" borderId="43" xfId="174" applyFont="1" applyFill="1" applyBorder="1" applyAlignment="1" applyProtection="1">
      <alignment horizontal="right" vertical="center"/>
    </xf>
    <xf numFmtId="170" fontId="3" fillId="0" borderId="42" xfId="174" applyNumberFormat="1" applyFont="1" applyFill="1" applyBorder="1" applyAlignment="1" applyProtection="1">
      <alignment horizontal="right" vertical="center"/>
    </xf>
    <xf numFmtId="3" fontId="6" fillId="32" borderId="43" xfId="192" applyNumberFormat="1" applyFont="1" applyFill="1" applyBorder="1" applyAlignment="1" applyProtection="1">
      <alignment horizontal="left" vertical="center"/>
    </xf>
    <xf numFmtId="4" fontId="6" fillId="32" borderId="94" xfId="192" applyNumberFormat="1" applyFont="1" applyFill="1" applyBorder="1" applyAlignment="1" applyProtection="1">
      <alignment horizontal="right" vertical="center"/>
    </xf>
    <xf numFmtId="4" fontId="6" fillId="32" borderId="73" xfId="192" applyNumberFormat="1" applyFont="1" applyFill="1" applyBorder="1" applyAlignment="1" applyProtection="1">
      <alignment horizontal="right" vertical="center"/>
    </xf>
    <xf numFmtId="4" fontId="19" fillId="32" borderId="42" xfId="192" applyNumberFormat="1" applyFont="1" applyFill="1" applyBorder="1" applyAlignment="1" applyProtection="1">
      <alignment horizontal="right" vertical="center"/>
    </xf>
    <xf numFmtId="4" fontId="6" fillId="32" borderId="69" xfId="192" applyNumberFormat="1" applyFont="1" applyFill="1" applyBorder="1" applyAlignment="1" applyProtection="1">
      <alignment horizontal="right" vertical="center"/>
    </xf>
    <xf numFmtId="0" fontId="53" fillId="0" borderId="41" xfId="174" applyFont="1" applyFill="1" applyBorder="1" applyAlignment="1" applyProtection="1">
      <alignment vertical="center"/>
    </xf>
    <xf numFmtId="0" fontId="53" fillId="0" borderId="42" xfId="174" applyFont="1" applyFill="1" applyBorder="1" applyAlignment="1" applyProtection="1">
      <alignment vertical="center"/>
    </xf>
    <xf numFmtId="0" fontId="3" fillId="0" borderId="42" xfId="174" applyFont="1" applyFill="1" applyBorder="1" applyAlignment="1" applyProtection="1">
      <alignment horizontal="left" vertical="center"/>
    </xf>
    <xf numFmtId="4" fontId="3" fillId="0" borderId="0" xfId="174" applyNumberFormat="1" applyFont="1" applyFill="1" applyAlignment="1" applyProtection="1">
      <alignment vertical="center"/>
    </xf>
    <xf numFmtId="0" fontId="53" fillId="29" borderId="0" xfId="174" applyFont="1" applyFill="1" applyAlignment="1" applyProtection="1">
      <alignment vertical="center"/>
    </xf>
    <xf numFmtId="0" fontId="53" fillId="0" borderId="0" xfId="174" applyFont="1" applyFill="1" applyAlignment="1" applyProtection="1">
      <alignment vertical="center"/>
    </xf>
    <xf numFmtId="0" fontId="3" fillId="0" borderId="43" xfId="174" applyFont="1" applyFill="1" applyBorder="1" applyAlignment="1" applyProtection="1">
      <alignment horizontal="left" vertical="center"/>
    </xf>
    <xf numFmtId="4" fontId="53" fillId="32" borderId="94" xfId="174" applyNumberFormat="1" applyFont="1" applyFill="1" applyBorder="1" applyAlignment="1" applyProtection="1">
      <alignment horizontal="right" vertical="center"/>
    </xf>
    <xf numFmtId="4" fontId="53" fillId="32" borderId="73" xfId="174" applyNumberFormat="1" applyFont="1" applyFill="1" applyBorder="1" applyAlignment="1" applyProtection="1">
      <alignment horizontal="right" vertical="center"/>
    </xf>
    <xf numFmtId="4" fontId="82" fillId="32" borderId="42" xfId="174" applyNumberFormat="1" applyFont="1" applyFill="1" applyBorder="1" applyAlignment="1" applyProtection="1">
      <alignment horizontal="right" vertical="center"/>
    </xf>
    <xf numFmtId="4" fontId="53" fillId="32" borderId="69" xfId="174" applyNumberFormat="1" applyFont="1" applyFill="1" applyBorder="1" applyAlignment="1" applyProtection="1">
      <alignment horizontal="right" vertical="center"/>
    </xf>
    <xf numFmtId="0" fontId="5" fillId="32" borderId="43" xfId="174" applyFont="1" applyFill="1" applyBorder="1" applyAlignment="1" applyProtection="1">
      <alignment horizontal="right" vertical="center"/>
    </xf>
    <xf numFmtId="0" fontId="3" fillId="0" borderId="0" xfId="174" applyFont="1" applyFill="1" applyAlignment="1" applyProtection="1">
      <alignment horizontal="center" vertical="center"/>
    </xf>
    <xf numFmtId="167" fontId="7" fillId="32" borderId="94" xfId="192" applyNumberFormat="1" applyFont="1" applyFill="1" applyBorder="1" applyAlignment="1" applyProtection="1">
      <alignment vertical="center"/>
    </xf>
    <xf numFmtId="167" fontId="7" fillId="32" borderId="73" xfId="192" applyNumberFormat="1" applyFont="1" applyFill="1" applyBorder="1" applyAlignment="1" applyProtection="1">
      <alignment vertical="center"/>
    </xf>
    <xf numFmtId="0" fontId="3" fillId="32" borderId="43" xfId="174" applyFont="1" applyFill="1" applyBorder="1" applyAlignment="1" applyProtection="1">
      <alignment horizontal="right" vertical="center"/>
    </xf>
    <xf numFmtId="0" fontId="3" fillId="30" borderId="41" xfId="174" applyFont="1" applyFill="1" applyBorder="1" applyAlignment="1" applyProtection="1">
      <alignment vertical="center"/>
    </xf>
    <xf numFmtId="0" fontId="5" fillId="30" borderId="42" xfId="174" applyFont="1" applyFill="1" applyBorder="1" applyAlignment="1" applyProtection="1">
      <alignment vertical="center"/>
    </xf>
    <xf numFmtId="0" fontId="5" fillId="35" borderId="43" xfId="174" applyFont="1" applyFill="1" applyBorder="1" applyAlignment="1" applyProtection="1">
      <alignment horizontal="right" vertical="center"/>
    </xf>
    <xf numFmtId="167" fontId="3" fillId="37" borderId="94" xfId="192" applyNumberFormat="1" applyFont="1" applyFill="1" applyBorder="1" applyAlignment="1" applyProtection="1">
      <alignment vertical="center"/>
    </xf>
    <xf numFmtId="167" fontId="3" fillId="37" borderId="73" xfId="192" applyNumberFormat="1" applyFont="1" applyFill="1" applyBorder="1" applyAlignment="1" applyProtection="1">
      <alignment vertical="center"/>
    </xf>
    <xf numFmtId="167" fontId="7" fillId="35" borderId="42" xfId="192" applyNumberFormat="1" applyFont="1" applyFill="1" applyBorder="1" applyAlignment="1" applyProtection="1">
      <alignment vertical="center"/>
    </xf>
    <xf numFmtId="167" fontId="3" fillId="35" borderId="69" xfId="192" applyNumberFormat="1" applyFont="1" applyFill="1" applyBorder="1" applyAlignment="1" applyProtection="1">
      <alignment vertical="center"/>
    </xf>
    <xf numFmtId="0" fontId="3" fillId="0" borderId="42" xfId="174" applyFont="1" applyFill="1" applyBorder="1" applyAlignment="1" applyProtection="1">
      <alignment vertical="center"/>
    </xf>
    <xf numFmtId="0" fontId="3" fillId="0" borderId="42" xfId="174" applyFont="1" applyFill="1" applyBorder="1" applyAlignment="1" applyProtection="1">
      <alignment horizontal="center" vertical="center"/>
    </xf>
    <xf numFmtId="3" fontId="3" fillId="0" borderId="0" xfId="174" applyNumberFormat="1" applyFont="1" applyFill="1" applyAlignment="1" applyProtection="1">
      <alignment vertical="center"/>
    </xf>
    <xf numFmtId="4" fontId="3" fillId="32" borderId="94" xfId="174" applyNumberFormat="1" applyFont="1" applyFill="1" applyBorder="1" applyAlignment="1" applyProtection="1">
      <alignment horizontal="right" vertical="center"/>
    </xf>
    <xf numFmtId="4" fontId="3" fillId="32" borderId="73" xfId="174" applyNumberFormat="1" applyFont="1" applyFill="1" applyBorder="1" applyAlignment="1" applyProtection="1">
      <alignment horizontal="right" vertical="center"/>
    </xf>
    <xf numFmtId="4" fontId="7" fillId="32" borderId="42" xfId="174" applyNumberFormat="1" applyFont="1" applyFill="1" applyBorder="1" applyAlignment="1" applyProtection="1">
      <alignment horizontal="right" vertical="center"/>
    </xf>
    <xf numFmtId="4" fontId="3" fillId="32" borderId="69" xfId="174" applyNumberFormat="1" applyFont="1" applyFill="1" applyBorder="1" applyAlignment="1" applyProtection="1">
      <alignment horizontal="right" vertical="center"/>
    </xf>
    <xf numFmtId="0" fontId="3" fillId="0" borderId="44" xfId="174" applyFont="1" applyFill="1" applyBorder="1" applyAlignment="1" applyProtection="1">
      <alignment vertical="center"/>
    </xf>
    <xf numFmtId="0" fontId="3" fillId="32" borderId="44" xfId="174" applyFont="1" applyFill="1" applyBorder="1" applyAlignment="1" applyProtection="1">
      <alignment vertical="center"/>
    </xf>
    <xf numFmtId="0" fontId="5" fillId="32" borderId="45" xfId="174" applyFont="1" applyFill="1" applyBorder="1" applyAlignment="1" applyProtection="1">
      <alignment vertical="center"/>
    </xf>
    <xf numFmtId="3" fontId="6" fillId="32" borderId="46" xfId="192" applyNumberFormat="1" applyFont="1" applyFill="1" applyBorder="1" applyAlignment="1" applyProtection="1">
      <alignment horizontal="left" vertical="center"/>
    </xf>
    <xf numFmtId="0" fontId="3" fillId="32" borderId="0" xfId="174" applyFont="1" applyFill="1" applyAlignment="1" applyProtection="1">
      <alignment vertical="center"/>
    </xf>
    <xf numFmtId="4" fontId="6" fillId="32" borderId="95" xfId="192" applyNumberFormat="1" applyFont="1" applyFill="1" applyBorder="1" applyAlignment="1" applyProtection="1">
      <alignment horizontal="right" vertical="center"/>
    </xf>
    <xf numFmtId="4" fontId="6" fillId="32" borderId="96" xfId="192" applyNumberFormat="1" applyFont="1" applyFill="1" applyBorder="1" applyAlignment="1" applyProtection="1">
      <alignment horizontal="right" vertical="center"/>
    </xf>
    <xf numFmtId="4" fontId="19" fillId="32" borderId="45" xfId="192" applyNumberFormat="1" applyFont="1" applyFill="1" applyBorder="1" applyAlignment="1" applyProtection="1">
      <alignment horizontal="right" vertical="center"/>
    </xf>
    <xf numFmtId="4" fontId="6" fillId="32" borderId="70" xfId="192" applyNumberFormat="1" applyFont="1" applyFill="1" applyBorder="1" applyAlignment="1" applyProtection="1">
      <alignment horizontal="right" vertical="center"/>
    </xf>
    <xf numFmtId="167" fontId="7" fillId="37" borderId="94" xfId="192" applyNumberFormat="1" applyFont="1" applyFill="1" applyBorder="1" applyAlignment="1" applyProtection="1">
      <alignment vertical="center"/>
    </xf>
    <xf numFmtId="167" fontId="7" fillId="37" borderId="73" xfId="192" applyNumberFormat="1" applyFont="1" applyFill="1" applyBorder="1" applyAlignment="1" applyProtection="1">
      <alignment vertical="center"/>
    </xf>
    <xf numFmtId="167" fontId="7" fillId="35" borderId="69" xfId="192" applyNumberFormat="1" applyFont="1" applyFill="1" applyBorder="1" applyAlignment="1" applyProtection="1">
      <alignment vertical="center"/>
    </xf>
    <xf numFmtId="0" fontId="51" fillId="0" borderId="34" xfId="174" applyFont="1" applyFill="1" applyBorder="1" applyAlignment="1" applyProtection="1">
      <alignment vertical="center"/>
    </xf>
    <xf numFmtId="0" fontId="7" fillId="0" borderId="47" xfId="174" applyFont="1" applyFill="1" applyBorder="1" applyAlignment="1" applyProtection="1">
      <alignment vertical="center"/>
    </xf>
    <xf numFmtId="0" fontId="21" fillId="0" borderId="47" xfId="174" applyFont="1" applyFill="1" applyBorder="1" applyAlignment="1" applyProtection="1">
      <alignment vertical="center"/>
    </xf>
    <xf numFmtId="0" fontId="21" fillId="0" borderId="39" xfId="174" applyFont="1" applyFill="1" applyBorder="1" applyAlignment="1" applyProtection="1">
      <alignment horizontal="right" vertical="center"/>
    </xf>
    <xf numFmtId="167" fontId="7" fillId="32" borderId="60" xfId="174" applyNumberFormat="1" applyFont="1" applyFill="1" applyBorder="1" applyAlignment="1" applyProtection="1">
      <alignment horizontal="right" vertical="center"/>
    </xf>
    <xf numFmtId="167" fontId="7" fillId="32" borderId="82" xfId="174" applyNumberFormat="1" applyFont="1" applyFill="1" applyBorder="1" applyAlignment="1" applyProtection="1">
      <alignment horizontal="right" vertical="center"/>
    </xf>
    <xf numFmtId="167" fontId="7" fillId="32" borderId="47" xfId="174" applyNumberFormat="1" applyFont="1" applyFill="1" applyBorder="1" applyAlignment="1" applyProtection="1">
      <alignment horizontal="right" vertical="center"/>
    </xf>
    <xf numFmtId="0" fontId="21" fillId="29" borderId="0" xfId="174" applyFont="1" applyFill="1" applyAlignment="1" applyProtection="1">
      <alignment vertical="center"/>
    </xf>
    <xf numFmtId="167" fontId="7" fillId="32" borderId="25" xfId="174" applyNumberFormat="1" applyFont="1" applyFill="1" applyBorder="1" applyAlignment="1" applyProtection="1">
      <alignment horizontal="right" vertical="center"/>
    </xf>
    <xf numFmtId="0" fontId="29" fillId="0" borderId="0" xfId="174" applyFont="1" applyFill="1" applyAlignment="1" applyProtection="1">
      <alignment vertical="center"/>
    </xf>
    <xf numFmtId="0" fontId="29" fillId="0" borderId="0" xfId="174" applyFont="1" applyFill="1" applyAlignment="1" applyProtection="1">
      <alignment horizontal="right" vertical="center"/>
    </xf>
    <xf numFmtId="0" fontId="21" fillId="0" borderId="0" xfId="174" applyFont="1" applyFill="1" applyAlignment="1" applyProtection="1">
      <alignment horizontal="left" vertical="center"/>
    </xf>
    <xf numFmtId="0" fontId="6" fillId="0" borderId="0" xfId="174" applyFont="1" applyFill="1" applyAlignment="1" applyProtection="1">
      <alignment vertical="center"/>
    </xf>
    <xf numFmtId="167" fontId="6" fillId="0" borderId="0" xfId="174" applyNumberFormat="1" applyFont="1" applyFill="1" applyAlignment="1" applyProtection="1">
      <alignment vertical="center"/>
    </xf>
    <xf numFmtId="0" fontId="28" fillId="32" borderId="0" xfId="176" applyFont="1" applyFill="1" applyAlignment="1" applyProtection="1">
      <alignment vertical="center"/>
    </xf>
    <xf numFmtId="0" fontId="21" fillId="32" borderId="0" xfId="187" applyFont="1" applyFill="1" applyAlignment="1" applyProtection="1">
      <alignment vertical="center"/>
    </xf>
    <xf numFmtId="0" fontId="29" fillId="32" borderId="0" xfId="176" applyFont="1" applyFill="1" applyAlignment="1" applyProtection="1">
      <alignment horizontal="right" vertical="center"/>
    </xf>
    <xf numFmtId="0" fontId="29" fillId="32" borderId="0" xfId="176" applyFont="1" applyFill="1" applyAlignment="1" applyProtection="1">
      <alignment vertical="center"/>
    </xf>
    <xf numFmtId="0" fontId="20" fillId="32" borderId="0" xfId="184" applyFont="1" applyFill="1" applyAlignment="1" applyProtection="1">
      <alignment vertical="center"/>
    </xf>
    <xf numFmtId="0" fontId="3" fillId="32" borderId="0" xfId="184" applyFont="1" applyFill="1" applyAlignment="1" applyProtection="1">
      <alignment horizontal="right" vertical="center"/>
    </xf>
    <xf numFmtId="0" fontId="3" fillId="32" borderId="0" xfId="184" applyFill="1" applyAlignment="1" applyProtection="1">
      <alignment vertical="center"/>
    </xf>
    <xf numFmtId="0" fontId="64" fillId="32" borderId="0" xfId="184" applyFont="1" applyFill="1" applyAlignment="1" applyProtection="1">
      <alignment vertical="center"/>
    </xf>
    <xf numFmtId="0" fontId="4" fillId="32" borderId="48" xfId="184" applyFont="1" applyFill="1" applyBorder="1" applyAlignment="1" applyProtection="1">
      <alignment vertical="center"/>
    </xf>
    <xf numFmtId="0" fontId="4" fillId="32" borderId="49" xfId="184" applyFont="1" applyFill="1" applyBorder="1" applyAlignment="1" applyProtection="1">
      <alignment vertical="center"/>
    </xf>
    <xf numFmtId="0" fontId="4" fillId="32" borderId="50" xfId="184" applyFont="1" applyFill="1" applyBorder="1" applyAlignment="1" applyProtection="1">
      <alignment horizontal="right" vertical="center"/>
    </xf>
    <xf numFmtId="0" fontId="4" fillId="32" borderId="0" xfId="184" applyFont="1" applyFill="1" applyAlignment="1" applyProtection="1">
      <alignment vertical="center"/>
    </xf>
    <xf numFmtId="0" fontId="68" fillId="32" borderId="0" xfId="184" applyFont="1" applyFill="1" applyAlignment="1" applyProtection="1">
      <alignment vertical="center"/>
    </xf>
    <xf numFmtId="0" fontId="21" fillId="32" borderId="51" xfId="184" applyFont="1" applyFill="1" applyBorder="1" applyAlignment="1" applyProtection="1">
      <alignment vertical="center"/>
    </xf>
    <xf numFmtId="0" fontId="21" fillId="32" borderId="15" xfId="184" applyFont="1" applyFill="1" applyBorder="1" applyAlignment="1" applyProtection="1">
      <alignment vertical="center"/>
    </xf>
    <xf numFmtId="0" fontId="21" fillId="32" borderId="52" xfId="184" applyFont="1" applyFill="1" applyBorder="1" applyAlignment="1" applyProtection="1">
      <alignment horizontal="right" vertical="center"/>
    </xf>
    <xf numFmtId="0" fontId="5" fillId="32" borderId="53" xfId="184" applyFont="1" applyFill="1" applyBorder="1" applyAlignment="1" applyProtection="1">
      <alignment vertical="center"/>
    </xf>
    <xf numFmtId="0" fontId="7" fillId="32" borderId="54" xfId="184" applyFont="1" applyFill="1" applyBorder="1" applyAlignment="1" applyProtection="1">
      <alignment vertical="center"/>
    </xf>
    <xf numFmtId="0" fontId="3" fillId="32" borderId="55" xfId="184" applyFont="1" applyFill="1" applyBorder="1" applyAlignment="1" applyProtection="1">
      <alignment vertical="center"/>
    </xf>
    <xf numFmtId="0" fontId="3" fillId="32" borderId="56" xfId="184" applyFont="1" applyFill="1" applyBorder="1" applyAlignment="1" applyProtection="1">
      <alignment horizontal="right" vertical="center"/>
    </xf>
    <xf numFmtId="0" fontId="7" fillId="32" borderId="53" xfId="184" applyFont="1" applyFill="1" applyBorder="1" applyAlignment="1" applyProtection="1">
      <alignment vertical="center"/>
    </xf>
    <xf numFmtId="0" fontId="7" fillId="32" borderId="42" xfId="174" applyFont="1" applyFill="1" applyBorder="1" applyAlignment="1" applyProtection="1">
      <alignment vertical="center"/>
    </xf>
    <xf numFmtId="0" fontId="5" fillId="32" borderId="42" xfId="174" applyFont="1" applyFill="1" applyBorder="1" applyAlignment="1" applyProtection="1">
      <alignment vertical="center"/>
    </xf>
    <xf numFmtId="0" fontId="19" fillId="32" borderId="69" xfId="184" applyFont="1" applyFill="1" applyBorder="1" applyAlignment="1" applyProtection="1">
      <alignment horizontal="right" vertical="center"/>
    </xf>
    <xf numFmtId="0" fontId="3" fillId="32" borderId="0" xfId="184" applyFont="1" applyFill="1" applyBorder="1" applyAlignment="1" applyProtection="1">
      <alignment vertical="center"/>
    </xf>
    <xf numFmtId="0" fontId="3" fillId="32" borderId="42" xfId="184" applyFont="1" applyFill="1" applyBorder="1" applyAlignment="1" applyProtection="1">
      <alignment vertical="center"/>
    </xf>
    <xf numFmtId="3" fontId="19" fillId="32" borderId="69" xfId="192" applyNumberFormat="1" applyFont="1" applyFill="1" applyBorder="1" applyAlignment="1" applyProtection="1">
      <alignment horizontal="left" vertical="center"/>
    </xf>
    <xf numFmtId="0" fontId="3" fillId="32" borderId="0" xfId="184" applyFont="1" applyFill="1" applyAlignment="1" applyProtection="1">
      <alignment horizontal="center" vertical="center"/>
    </xf>
    <xf numFmtId="0" fontId="3" fillId="32" borderId="41" xfId="184" applyFont="1" applyFill="1" applyBorder="1" applyAlignment="1" applyProtection="1">
      <alignment vertical="center"/>
    </xf>
    <xf numFmtId="0" fontId="7" fillId="32" borderId="42" xfId="184" applyFont="1" applyFill="1" applyBorder="1" applyAlignment="1" applyProtection="1">
      <alignment vertical="center"/>
    </xf>
    <xf numFmtId="0" fontId="3" fillId="0" borderId="42" xfId="171" applyFont="1" applyFill="1" applyBorder="1" applyAlignment="1" applyProtection="1">
      <alignment horizontal="left" vertical="center"/>
    </xf>
    <xf numFmtId="3" fontId="6" fillId="32" borderId="43" xfId="192" applyNumberFormat="1" applyFont="1" applyFill="1" applyBorder="1" applyAlignment="1" applyProtection="1">
      <alignment horizontal="right" vertical="center"/>
    </xf>
    <xf numFmtId="0" fontId="3" fillId="32" borderId="43" xfId="184" applyFont="1" applyFill="1" applyBorder="1" applyAlignment="1" applyProtection="1">
      <alignment horizontal="right" vertical="center"/>
    </xf>
    <xf numFmtId="0" fontId="7" fillId="32" borderId="69" xfId="184" applyFont="1" applyFill="1" applyBorder="1" applyAlignment="1" applyProtection="1">
      <alignment horizontal="right" vertical="center"/>
    </xf>
    <xf numFmtId="4" fontId="3" fillId="32" borderId="0" xfId="184" applyNumberFormat="1" applyFont="1" applyFill="1" applyAlignment="1" applyProtection="1">
      <alignment vertical="center"/>
    </xf>
    <xf numFmtId="0" fontId="21" fillId="32" borderId="57" xfId="184" applyFont="1" applyFill="1" applyBorder="1" applyAlignment="1" applyProtection="1">
      <alignment vertical="center"/>
    </xf>
    <xf numFmtId="0" fontId="21" fillId="32" borderId="58" xfId="184" applyFont="1" applyFill="1" applyBorder="1" applyAlignment="1" applyProtection="1">
      <alignment vertical="center"/>
    </xf>
    <xf numFmtId="0" fontId="21" fillId="32" borderId="59" xfId="184" applyFont="1" applyFill="1" applyBorder="1" applyAlignment="1" applyProtection="1">
      <alignment horizontal="right" vertical="center"/>
    </xf>
    <xf numFmtId="0" fontId="21" fillId="32" borderId="71" xfId="184" applyFont="1" applyFill="1" applyBorder="1" applyAlignment="1" applyProtection="1">
      <alignment horizontal="right" vertical="center"/>
    </xf>
    <xf numFmtId="0" fontId="51" fillId="32" borderId="34" xfId="174" applyFont="1" applyFill="1" applyBorder="1" applyAlignment="1" applyProtection="1">
      <alignment vertical="center"/>
    </xf>
    <xf numFmtId="0" fontId="7" fillId="32" borderId="47" xfId="174" applyFont="1" applyFill="1" applyBorder="1" applyAlignment="1" applyProtection="1">
      <alignment vertical="center"/>
    </xf>
    <xf numFmtId="0" fontId="21" fillId="32" borderId="47" xfId="174" applyFont="1" applyFill="1" applyBorder="1" applyAlignment="1" applyProtection="1">
      <alignment vertical="center"/>
    </xf>
    <xf numFmtId="0" fontId="21" fillId="32" borderId="39" xfId="174" applyFont="1" applyFill="1" applyBorder="1" applyAlignment="1" applyProtection="1">
      <alignment horizontal="right" vertical="center"/>
    </xf>
    <xf numFmtId="167" fontId="7" fillId="29" borderId="25" xfId="174" applyNumberFormat="1" applyFont="1" applyFill="1" applyBorder="1" applyAlignment="1" applyProtection="1">
      <alignment vertical="center"/>
    </xf>
    <xf numFmtId="0" fontId="21" fillId="32" borderId="0" xfId="174" applyFont="1" applyFill="1" applyAlignment="1" applyProtection="1">
      <alignment vertical="center"/>
    </xf>
    <xf numFmtId="0" fontId="29" fillId="32" borderId="0" xfId="184" applyFont="1" applyFill="1" applyAlignment="1" applyProtection="1">
      <alignment vertical="center"/>
    </xf>
    <xf numFmtId="0" fontId="21" fillId="32" borderId="0" xfId="184" applyFont="1" applyFill="1" applyAlignment="1" applyProtection="1">
      <alignment horizontal="left" vertical="center"/>
    </xf>
    <xf numFmtId="0" fontId="29" fillId="32" borderId="0" xfId="184" applyFont="1" applyFill="1" applyAlignment="1" applyProtection="1">
      <alignment horizontal="right" vertical="center"/>
    </xf>
    <xf numFmtId="0" fontId="3" fillId="32" borderId="0" xfId="184" applyFill="1" applyAlignment="1" applyProtection="1">
      <alignment horizontal="right" vertical="center"/>
    </xf>
    <xf numFmtId="0" fontId="6" fillId="32" borderId="0" xfId="0" applyFont="1" applyFill="1" applyAlignment="1" applyProtection="1">
      <alignment vertical="center" wrapText="1"/>
    </xf>
    <xf numFmtId="0" fontId="7" fillId="32" borderId="76" xfId="184" applyFont="1" applyFill="1" applyBorder="1" applyAlignment="1" applyProtection="1">
      <alignment horizontal="right" vertical="center"/>
    </xf>
    <xf numFmtId="0" fontId="7" fillId="32" borderId="55" xfId="184" applyFont="1" applyFill="1" applyBorder="1" applyAlignment="1" applyProtection="1">
      <alignment horizontal="right" vertical="center"/>
    </xf>
    <xf numFmtId="0" fontId="19" fillId="32" borderId="42" xfId="184" applyFont="1" applyFill="1" applyBorder="1" applyAlignment="1" applyProtection="1">
      <alignment horizontal="right" vertical="center"/>
    </xf>
    <xf numFmtId="3" fontId="19" fillId="32" borderId="42" xfId="192" applyNumberFormat="1" applyFont="1" applyFill="1" applyBorder="1" applyAlignment="1" applyProtection="1">
      <alignment horizontal="left" vertical="center"/>
    </xf>
    <xf numFmtId="0" fontId="7" fillId="32" borderId="42" xfId="184" applyFont="1" applyFill="1" applyBorder="1" applyAlignment="1" applyProtection="1">
      <alignment horizontal="right" vertical="center"/>
    </xf>
    <xf numFmtId="0" fontId="21" fillId="32" borderId="58" xfId="184" applyFont="1" applyFill="1" applyBorder="1" applyAlignment="1" applyProtection="1">
      <alignment horizontal="right" vertical="center"/>
    </xf>
    <xf numFmtId="167" fontId="7" fillId="29" borderId="47" xfId="174" applyNumberFormat="1" applyFont="1" applyFill="1" applyBorder="1" applyAlignment="1" applyProtection="1">
      <alignment vertical="center"/>
    </xf>
    <xf numFmtId="0" fontId="7" fillId="32" borderId="97" xfId="184" applyFont="1" applyFill="1" applyBorder="1" applyAlignment="1" applyProtection="1">
      <alignment horizontal="right" vertical="center"/>
    </xf>
    <xf numFmtId="0" fontId="19" fillId="32" borderId="94" xfId="184" applyFont="1" applyFill="1" applyBorder="1" applyAlignment="1" applyProtection="1">
      <alignment horizontal="right" vertical="center"/>
    </xf>
    <xf numFmtId="169" fontId="7" fillId="32" borderId="94" xfId="192" applyNumberFormat="1" applyFont="1" applyFill="1" applyBorder="1" applyAlignment="1" applyProtection="1">
      <alignment vertical="center"/>
    </xf>
    <xf numFmtId="3" fontId="19" fillId="32" borderId="94" xfId="192" applyNumberFormat="1" applyFont="1" applyFill="1" applyBorder="1" applyAlignment="1" applyProtection="1">
      <alignment horizontal="left" vertical="center"/>
    </xf>
    <xf numFmtId="0" fontId="7" fillId="32" borderId="94" xfId="184" applyFont="1" applyFill="1" applyBorder="1" applyAlignment="1" applyProtection="1">
      <alignment horizontal="right" vertical="center"/>
    </xf>
    <xf numFmtId="0" fontId="21" fillId="32" borderId="98" xfId="184" applyFont="1" applyFill="1" applyBorder="1" applyAlignment="1" applyProtection="1">
      <alignment horizontal="right" vertical="center"/>
    </xf>
    <xf numFmtId="167" fontId="7" fillId="29" borderId="60" xfId="174" applyNumberFormat="1" applyFont="1" applyFill="1" applyBorder="1" applyAlignment="1" applyProtection="1">
      <alignment vertical="center"/>
    </xf>
    <xf numFmtId="0" fontId="7" fillId="32" borderId="99" xfId="184" applyFont="1" applyFill="1" applyBorder="1" applyAlignment="1" applyProtection="1">
      <alignment horizontal="right" vertical="center"/>
    </xf>
    <xf numFmtId="0" fontId="19" fillId="32" borderId="73" xfId="184" applyFont="1" applyFill="1" applyBorder="1" applyAlignment="1" applyProtection="1">
      <alignment horizontal="right" vertical="center"/>
    </xf>
    <xf numFmtId="169" fontId="7" fillId="32" borderId="73" xfId="192" applyNumberFormat="1" applyFont="1" applyFill="1" applyBorder="1" applyAlignment="1" applyProtection="1">
      <alignment vertical="center"/>
    </xf>
    <xf numFmtId="3" fontId="19" fillId="32" borderId="73" xfId="192" applyNumberFormat="1" applyFont="1" applyFill="1" applyBorder="1" applyAlignment="1" applyProtection="1">
      <alignment horizontal="left" vertical="center"/>
    </xf>
    <xf numFmtId="0" fontId="7" fillId="32" borderId="73" xfId="184" applyFont="1" applyFill="1" applyBorder="1" applyAlignment="1" applyProtection="1">
      <alignment horizontal="right" vertical="center"/>
    </xf>
    <xf numFmtId="0" fontId="21" fillId="32" borderId="100" xfId="184" applyFont="1" applyFill="1" applyBorder="1" applyAlignment="1" applyProtection="1">
      <alignment horizontal="right" vertical="center"/>
    </xf>
    <xf numFmtId="167" fontId="7" fillId="29" borderId="82" xfId="174" applyNumberFormat="1" applyFont="1" applyFill="1" applyBorder="1" applyAlignment="1" applyProtection="1">
      <alignment vertical="center"/>
    </xf>
    <xf numFmtId="0" fontId="7" fillId="0" borderId="15" xfId="174" applyFont="1" applyFill="1" applyBorder="1" applyAlignment="1" applyProtection="1">
      <alignment horizontal="center" vertical="center" wrapText="1"/>
    </xf>
    <xf numFmtId="169" fontId="7" fillId="32" borderId="42" xfId="192" applyNumberFormat="1" applyFont="1" applyFill="1" applyBorder="1" applyAlignment="1" applyProtection="1">
      <alignment vertical="center"/>
    </xf>
    <xf numFmtId="0" fontId="83" fillId="32" borderId="0" xfId="174" applyFont="1" applyFill="1" applyAlignment="1" applyProtection="1">
      <alignment vertical="center"/>
    </xf>
    <xf numFmtId="0" fontId="84" fillId="32" borderId="0" xfId="174" applyFont="1" applyFill="1" applyAlignment="1" applyProtection="1">
      <alignment vertical="center"/>
    </xf>
    <xf numFmtId="0" fontId="75" fillId="0" borderId="0" xfId="174" applyFont="1" applyFill="1" applyAlignment="1" applyProtection="1">
      <alignment vertical="center"/>
    </xf>
    <xf numFmtId="0" fontId="80" fillId="0" borderId="0" xfId="174" applyFont="1" applyFill="1" applyBorder="1" applyAlignment="1" applyProtection="1">
      <alignment vertical="center"/>
    </xf>
    <xf numFmtId="0" fontId="80" fillId="0" borderId="0" xfId="174" applyFont="1" applyFill="1" applyAlignment="1" applyProtection="1">
      <alignment vertical="center"/>
    </xf>
    <xf numFmtId="0" fontId="74" fillId="0" borderId="0" xfId="174" applyFont="1" applyFill="1" applyAlignment="1" applyProtection="1">
      <alignment horizontal="center" vertical="center"/>
    </xf>
    <xf numFmtId="0" fontId="84" fillId="32" borderId="0" xfId="176" applyFont="1" applyFill="1" applyAlignment="1" applyProtection="1">
      <alignment vertical="center"/>
    </xf>
    <xf numFmtId="0" fontId="83" fillId="32" borderId="0" xfId="176" applyFont="1" applyFill="1" applyAlignment="1" applyProtection="1">
      <alignment vertical="center"/>
    </xf>
    <xf numFmtId="0" fontId="75" fillId="32" borderId="0" xfId="184" applyFont="1" applyFill="1" applyAlignment="1" applyProtection="1">
      <alignment vertical="center"/>
    </xf>
    <xf numFmtId="0" fontId="80" fillId="32" borderId="0" xfId="184" applyFont="1" applyFill="1" applyAlignment="1" applyProtection="1">
      <alignment vertical="center"/>
    </xf>
    <xf numFmtId="0" fontId="74" fillId="32" borderId="0" xfId="184" applyFont="1" applyFill="1" applyAlignment="1" applyProtection="1">
      <alignment vertical="center"/>
    </xf>
    <xf numFmtId="0" fontId="81" fillId="32" borderId="0" xfId="0" applyFont="1" applyFill="1" applyAlignment="1" applyProtection="1">
      <alignment vertical="center" wrapText="1"/>
    </xf>
    <xf numFmtId="0" fontId="20" fillId="32" borderId="14" xfId="186" applyFont="1" applyFill="1" applyBorder="1" applyAlignment="1" applyProtection="1">
      <alignment vertical="center"/>
    </xf>
    <xf numFmtId="0" fontId="3" fillId="32" borderId="0" xfId="171" applyFill="1" applyAlignment="1" applyProtection="1">
      <alignment vertical="center"/>
    </xf>
    <xf numFmtId="0" fontId="64" fillId="32" borderId="0" xfId="171" applyFont="1" applyFill="1" applyAlignment="1" applyProtection="1">
      <alignment vertical="center"/>
    </xf>
    <xf numFmtId="0" fontId="7" fillId="32" borderId="0" xfId="171" applyFont="1" applyFill="1" applyAlignment="1" applyProtection="1">
      <alignment vertical="center"/>
    </xf>
    <xf numFmtId="0" fontId="6" fillId="32" borderId="0" xfId="171" applyFont="1" applyFill="1" applyAlignment="1" applyProtection="1">
      <alignment vertical="center"/>
    </xf>
    <xf numFmtId="167" fontId="6" fillId="32" borderId="0" xfId="171" applyNumberFormat="1" applyFont="1" applyFill="1" applyAlignment="1" applyProtection="1">
      <alignment vertical="center"/>
    </xf>
    <xf numFmtId="0" fontId="5" fillId="32" borderId="53" xfId="171" applyFont="1" applyFill="1" applyBorder="1" applyAlignment="1" applyProtection="1">
      <alignment vertical="center"/>
    </xf>
    <xf numFmtId="0" fontId="5" fillId="32" borderId="54" xfId="171" applyFont="1" applyFill="1" applyBorder="1" applyAlignment="1" applyProtection="1">
      <alignment vertical="center"/>
    </xf>
    <xf numFmtId="0" fontId="4" fillId="32" borderId="101" xfId="171" applyFont="1" applyFill="1" applyBorder="1" applyAlignment="1" applyProtection="1">
      <alignment horizontal="center" vertical="center"/>
    </xf>
    <xf numFmtId="0" fontId="4" fillId="32" borderId="34" xfId="171" applyFont="1" applyFill="1" applyBorder="1" applyAlignment="1" applyProtection="1">
      <alignment horizontal="center" vertical="center"/>
    </xf>
    <xf numFmtId="167" fontId="7" fillId="32" borderId="53" xfId="171" applyNumberFormat="1" applyFont="1" applyFill="1" applyBorder="1" applyAlignment="1" applyProtection="1">
      <alignment vertical="center"/>
    </xf>
    <xf numFmtId="167" fontId="7" fillId="32" borderId="34" xfId="192" applyNumberFormat="1" applyFont="1" applyFill="1" applyBorder="1" applyAlignment="1" applyProtection="1">
      <alignment horizontal="right" vertical="center"/>
    </xf>
    <xf numFmtId="167" fontId="7" fillId="32" borderId="81" xfId="171" applyNumberFormat="1" applyFont="1" applyFill="1" applyBorder="1" applyAlignment="1" applyProtection="1">
      <alignment vertical="center"/>
    </xf>
    <xf numFmtId="0" fontId="3" fillId="32" borderId="81" xfId="171" applyFont="1" applyFill="1" applyBorder="1" applyAlignment="1" applyProtection="1">
      <alignment vertical="center"/>
    </xf>
    <xf numFmtId="3" fontId="6" fillId="32" borderId="103" xfId="192" applyNumberFormat="1" applyFont="1" applyFill="1" applyBorder="1" applyAlignment="1" applyProtection="1">
      <alignment horizontal="right" vertical="center"/>
    </xf>
    <xf numFmtId="0" fontId="3" fillId="32" borderId="103" xfId="171" applyFont="1" applyFill="1" applyBorder="1" applyAlignment="1" applyProtection="1">
      <alignment horizontal="right" vertical="center"/>
    </xf>
    <xf numFmtId="167" fontId="3" fillId="29" borderId="103" xfId="192" applyNumberFormat="1" applyFont="1" applyFill="1" applyBorder="1" applyAlignment="1" applyProtection="1">
      <alignment vertical="center"/>
    </xf>
    <xf numFmtId="3" fontId="6" fillId="32" borderId="27" xfId="192" applyNumberFormat="1" applyFont="1" applyFill="1" applyBorder="1" applyAlignment="1" applyProtection="1">
      <alignment horizontal="right" vertical="center"/>
    </xf>
    <xf numFmtId="167" fontId="7" fillId="32" borderId="101" xfId="192" applyNumberFormat="1" applyFont="1" applyFill="1" applyBorder="1" applyAlignment="1" applyProtection="1">
      <alignment horizontal="right" vertical="center"/>
    </xf>
    <xf numFmtId="167" fontId="7" fillId="32" borderId="103" xfId="171" applyNumberFormat="1" applyFont="1" applyFill="1" applyBorder="1" applyAlignment="1" applyProtection="1">
      <alignment vertical="center"/>
    </xf>
    <xf numFmtId="0" fontId="3" fillId="32" borderId="103" xfId="171" applyFont="1" applyFill="1" applyBorder="1" applyAlignment="1" applyProtection="1">
      <alignment vertical="center"/>
    </xf>
    <xf numFmtId="3" fontId="6" fillId="32" borderId="83" xfId="192" applyNumberFormat="1" applyFont="1" applyFill="1" applyBorder="1" applyAlignment="1" applyProtection="1">
      <alignment horizontal="right" vertical="center"/>
    </xf>
    <xf numFmtId="167" fontId="3" fillId="32" borderId="102" xfId="192" applyNumberFormat="1" applyFont="1" applyFill="1" applyBorder="1" applyAlignment="1" applyProtection="1">
      <alignment vertical="center"/>
    </xf>
    <xf numFmtId="167" fontId="7" fillId="32" borderId="102" xfId="192" applyNumberFormat="1" applyFont="1" applyFill="1" applyBorder="1" applyAlignment="1" applyProtection="1">
      <alignment vertical="center"/>
    </xf>
    <xf numFmtId="167" fontId="3" fillId="32" borderId="103" xfId="192" applyNumberFormat="1" applyFont="1" applyFill="1" applyBorder="1" applyAlignment="1" applyProtection="1">
      <alignment vertical="center"/>
    </xf>
    <xf numFmtId="0" fontId="76" fillId="32" borderId="0" xfId="186" applyFont="1" applyFill="1" applyBorder="1" applyAlignment="1" applyProtection="1">
      <alignment vertical="center"/>
    </xf>
    <xf numFmtId="0" fontId="75" fillId="32" borderId="0" xfId="171" applyFont="1" applyFill="1" applyAlignment="1" applyProtection="1">
      <alignment vertical="center"/>
    </xf>
    <xf numFmtId="0" fontId="85" fillId="32" borderId="0" xfId="171" applyFont="1" applyFill="1" applyAlignment="1" applyProtection="1">
      <alignment vertical="center"/>
    </xf>
    <xf numFmtId="0" fontId="3" fillId="32" borderId="94" xfId="171" applyFont="1" applyFill="1" applyBorder="1" applyAlignment="1" applyProtection="1">
      <alignment horizontal="right" vertical="center"/>
    </xf>
    <xf numFmtId="167" fontId="3" fillId="29" borderId="94" xfId="192" applyNumberFormat="1" applyFont="1" applyFill="1" applyBorder="1" applyAlignment="1" applyProtection="1">
      <alignment vertical="center"/>
    </xf>
    <xf numFmtId="4" fontId="3" fillId="35" borderId="11" xfId="121" applyNumberFormat="1" applyFont="1" applyFill="1" applyBorder="1" applyAlignment="1" applyProtection="1">
      <alignment vertical="center"/>
    </xf>
    <xf numFmtId="10" fontId="3" fillId="32" borderId="11" xfId="121" applyNumberFormat="1" applyFont="1" applyFill="1" applyBorder="1" applyAlignment="1" applyProtection="1">
      <alignment vertical="center"/>
    </xf>
    <xf numFmtId="171" fontId="3" fillId="32" borderId="11" xfId="192" applyNumberFormat="1" applyFont="1" applyFill="1" applyBorder="1" applyAlignment="1" applyProtection="1">
      <alignment vertical="center"/>
    </xf>
    <xf numFmtId="4" fontId="3" fillId="32" borderId="83" xfId="30" applyNumberFormat="1" applyFill="1" applyBorder="1" applyAlignment="1" applyProtection="1">
      <alignment vertical="center"/>
    </xf>
    <xf numFmtId="0" fontId="0" fillId="32" borderId="0" xfId="0" applyFont="1" applyFill="1" applyAlignment="1" applyProtection="1">
      <alignment horizontal="center" vertical="center"/>
    </xf>
    <xf numFmtId="4" fontId="3" fillId="35" borderId="11" xfId="192" applyNumberFormat="1" applyFont="1" applyFill="1" applyBorder="1" applyAlignment="1" applyProtection="1">
      <alignment vertical="center"/>
    </xf>
    <xf numFmtId="4" fontId="6" fillId="32" borderId="11" xfId="192" applyNumberFormat="1" applyFont="1" applyFill="1" applyBorder="1" applyAlignment="1" applyProtection="1">
      <alignment horizontal="right" vertical="center"/>
    </xf>
    <xf numFmtId="174" fontId="3" fillId="32" borderId="11" xfId="192" applyNumberFormat="1" applyFont="1" applyFill="1" applyBorder="1" applyAlignment="1" applyProtection="1">
      <alignment vertical="center"/>
    </xf>
    <xf numFmtId="4" fontId="6" fillId="35" borderId="11" xfId="192" applyNumberFormat="1" applyFont="1" applyFill="1" applyBorder="1" applyAlignment="1" applyProtection="1">
      <alignment horizontal="right" vertical="center"/>
    </xf>
    <xf numFmtId="0" fontId="0" fillId="34" borderId="0" xfId="0" applyFill="1" applyAlignment="1" applyProtection="1">
      <alignment horizontal="right" vertical="center"/>
    </xf>
    <xf numFmtId="4" fontId="7" fillId="0" borderId="11" xfId="0" applyNumberFormat="1" applyFont="1" applyFill="1" applyBorder="1" applyAlignment="1" applyProtection="1">
      <alignment horizontal="right" vertical="center"/>
    </xf>
    <xf numFmtId="0" fontId="0" fillId="32" borderId="0" xfId="0" applyFill="1" applyAlignment="1" applyProtection="1">
      <alignment horizontal="right"/>
    </xf>
    <xf numFmtId="0" fontId="6" fillId="40" borderId="0" xfId="0" applyFont="1" applyFill="1" applyAlignment="1" applyProtection="1">
      <alignment vertical="center"/>
    </xf>
    <xf numFmtId="4" fontId="6" fillId="40" borderId="0" xfId="0" applyNumberFormat="1" applyFont="1" applyFill="1" applyAlignment="1" applyProtection="1">
      <alignment vertical="center"/>
    </xf>
    <xf numFmtId="0" fontId="73" fillId="40" borderId="0" xfId="0" applyFont="1" applyFill="1" applyAlignment="1" applyProtection="1">
      <alignment vertical="center"/>
    </xf>
    <xf numFmtId="0" fontId="86" fillId="32" borderId="0" xfId="186" applyFont="1" applyFill="1" applyAlignment="1" applyProtection="1">
      <alignment vertical="center"/>
    </xf>
    <xf numFmtId="10" fontId="3" fillId="37" borderId="11" xfId="121" applyNumberFormat="1" applyFont="1" applyFill="1" applyBorder="1" applyAlignment="1" applyProtection="1">
      <alignment vertical="center"/>
    </xf>
    <xf numFmtId="4" fontId="60" fillId="32" borderId="29" xfId="30" applyNumberFormat="1" applyFont="1" applyFill="1" applyBorder="1" applyAlignment="1" applyProtection="1">
      <alignment vertical="center"/>
    </xf>
    <xf numFmtId="4" fontId="60" fillId="32" borderId="11" xfId="30" applyNumberFormat="1" applyFont="1" applyFill="1" applyBorder="1" applyAlignment="1" applyProtection="1">
      <alignment horizontal="center" vertical="center"/>
    </xf>
    <xf numFmtId="0" fontId="18" fillId="32" borderId="0" xfId="13" applyFill="1" applyAlignment="1" applyProtection="1">
      <alignment horizontal="center" vertical="center"/>
    </xf>
    <xf numFmtId="0" fontId="81" fillId="32" borderId="0" xfId="0" applyFont="1" applyFill="1" applyAlignment="1" applyProtection="1">
      <alignment vertical="center"/>
    </xf>
    <xf numFmtId="0" fontId="0" fillId="32" borderId="0" xfId="0" applyFill="1" applyAlignment="1" applyProtection="1">
      <alignment vertical="center" wrapText="1"/>
    </xf>
    <xf numFmtId="0" fontId="5" fillId="32" borderId="0" xfId="0" applyFont="1" applyFill="1" applyAlignment="1" applyProtection="1">
      <alignment vertical="center" wrapText="1"/>
    </xf>
    <xf numFmtId="0" fontId="81" fillId="32" borderId="0" xfId="0" applyFont="1" applyFill="1" applyAlignment="1" applyProtection="1">
      <alignment horizontal="center" vertical="center"/>
    </xf>
    <xf numFmtId="0" fontId="0" fillId="32" borderId="27" xfId="0" applyFill="1" applyBorder="1" applyAlignment="1" applyProtection="1">
      <alignment horizontal="center" vertical="center"/>
    </xf>
    <xf numFmtId="0" fontId="0" fillId="32" borderId="28" xfId="0" applyFill="1" applyBorder="1" applyAlignment="1" applyProtection="1">
      <alignment vertical="center"/>
    </xf>
    <xf numFmtId="0" fontId="3" fillId="32" borderId="29" xfId="0" applyFont="1" applyFill="1" applyBorder="1" applyAlignment="1" applyProtection="1">
      <alignment vertical="center" wrapText="1"/>
    </xf>
    <xf numFmtId="165" fontId="3" fillId="32" borderId="29" xfId="192" applyFont="1" applyFill="1" applyBorder="1" applyAlignment="1" applyProtection="1">
      <alignment vertical="center"/>
    </xf>
    <xf numFmtId="0" fontId="0" fillId="32" borderId="0" xfId="0" applyFont="1" applyFill="1" applyBorder="1" applyAlignment="1" applyProtection="1">
      <alignment vertical="center" wrapText="1"/>
    </xf>
    <xf numFmtId="0" fontId="3" fillId="32" borderId="0" xfId="192" applyNumberFormat="1" applyFont="1" applyFill="1" applyBorder="1" applyAlignment="1" applyProtection="1">
      <alignment horizontal="center" vertical="center" wrapText="1"/>
    </xf>
    <xf numFmtId="167" fontId="3" fillId="32" borderId="0" xfId="192" applyNumberFormat="1" applyFont="1" applyFill="1" applyBorder="1" applyAlignment="1" applyProtection="1">
      <alignment vertical="center"/>
    </xf>
    <xf numFmtId="0" fontId="3" fillId="0" borderId="11" xfId="186" applyNumberFormat="1" applyFont="1" applyBorder="1" applyAlignment="1" applyProtection="1">
      <alignment horizontal="center" vertical="center"/>
    </xf>
    <xf numFmtId="3" fontId="3" fillId="31" borderId="11" xfId="192" applyNumberFormat="1" applyFont="1" applyFill="1" applyBorder="1" applyAlignment="1" applyProtection="1">
      <alignment vertical="center"/>
      <protection locked="0"/>
    </xf>
    <xf numFmtId="167" fontId="6" fillId="31" borderId="11" xfId="192" applyNumberFormat="1" applyFont="1" applyFill="1" applyBorder="1" applyAlignment="1" applyProtection="1">
      <alignment vertical="center"/>
      <protection locked="0"/>
    </xf>
    <xf numFmtId="3" fontId="3" fillId="32" borderId="11" xfId="192" applyNumberFormat="1" applyFont="1" applyFill="1" applyBorder="1" applyAlignment="1" applyProtection="1">
      <alignment vertical="center"/>
      <protection locked="0"/>
    </xf>
    <xf numFmtId="0" fontId="3" fillId="32" borderId="30" xfId="0" applyFont="1" applyFill="1" applyBorder="1" applyAlignment="1" applyProtection="1">
      <alignment vertical="center" wrapText="1"/>
    </xf>
    <xf numFmtId="0" fontId="3" fillId="32" borderId="30" xfId="186" applyNumberFormat="1" applyFont="1" applyFill="1" applyBorder="1" applyAlignment="1" applyProtection="1">
      <alignment horizontal="center" vertical="center"/>
    </xf>
    <xf numFmtId="167" fontId="3" fillId="32" borderId="30" xfId="192" applyNumberFormat="1" applyFont="1" applyFill="1" applyBorder="1" applyAlignment="1" applyProtection="1">
      <alignment vertical="center"/>
    </xf>
    <xf numFmtId="0" fontId="0" fillId="0" borderId="11" xfId="0" applyFont="1" applyBorder="1" applyAlignment="1" applyProtection="1">
      <alignment vertical="center" wrapText="1"/>
    </xf>
    <xf numFmtId="167" fontId="3" fillId="0" borderId="11" xfId="192" applyNumberFormat="1" applyFont="1" applyFill="1" applyBorder="1" applyAlignment="1" applyProtection="1">
      <alignment vertical="center"/>
    </xf>
    <xf numFmtId="167" fontId="0" fillId="29" borderId="11" xfId="192" applyNumberFormat="1" applyFont="1" applyFill="1" applyBorder="1" applyAlignment="1" applyProtection="1">
      <alignment vertical="center"/>
    </xf>
    <xf numFmtId="0" fontId="6" fillId="32" borderId="31" xfId="192" applyNumberFormat="1" applyFont="1" applyFill="1" applyBorder="1" applyAlignment="1" applyProtection="1">
      <alignment horizontal="center" vertical="center"/>
    </xf>
    <xf numFmtId="0" fontId="6" fillId="32" borderId="29" xfId="0" applyFont="1" applyFill="1" applyBorder="1" applyAlignment="1" applyProtection="1">
      <alignment horizontal="right" vertical="center" wrapText="1"/>
    </xf>
    <xf numFmtId="0" fontId="3" fillId="32" borderId="29" xfId="186" applyNumberFormat="1" applyFont="1" applyFill="1" applyBorder="1" applyAlignment="1" applyProtection="1">
      <alignment horizontal="center" vertical="center"/>
    </xf>
    <xf numFmtId="167" fontId="3" fillId="32" borderId="29" xfId="192" applyNumberFormat="1" applyFont="1" applyFill="1" applyBorder="1" applyAlignment="1" applyProtection="1">
      <alignment vertical="center"/>
    </xf>
    <xf numFmtId="0" fontId="6" fillId="32" borderId="32" xfId="192" applyNumberFormat="1" applyFont="1" applyFill="1" applyBorder="1" applyAlignment="1" applyProtection="1">
      <alignment horizontal="center" vertical="center"/>
    </xf>
    <xf numFmtId="0" fontId="0" fillId="0" borderId="11" xfId="0" applyFont="1" applyBorder="1" applyAlignment="1" applyProtection="1">
      <alignment horizontal="left" vertical="center" wrapText="1"/>
    </xf>
    <xf numFmtId="167" fontId="6" fillId="32" borderId="11" xfId="192" applyNumberFormat="1" applyFont="1" applyFill="1" applyBorder="1" applyAlignment="1" applyProtection="1">
      <alignment vertical="center"/>
      <protection locked="0"/>
    </xf>
    <xf numFmtId="0" fontId="3" fillId="0" borderId="11" xfId="0" applyFont="1" applyBorder="1" applyAlignment="1" applyProtection="1">
      <alignment vertical="center" wrapText="1"/>
    </xf>
    <xf numFmtId="0" fontId="6" fillId="32" borderId="0" xfId="192" applyNumberFormat="1" applyFont="1" applyFill="1" applyBorder="1" applyAlignment="1" applyProtection="1">
      <alignment vertical="center"/>
    </xf>
    <xf numFmtId="3" fontId="6" fillId="32" borderId="0" xfId="192" applyNumberFormat="1" applyFont="1" applyFill="1" applyBorder="1" applyAlignment="1" applyProtection="1">
      <alignment vertical="center"/>
    </xf>
    <xf numFmtId="0" fontId="3" fillId="32" borderId="0" xfId="186" applyNumberFormat="1" applyFont="1" applyFill="1" applyBorder="1" applyAlignment="1" applyProtection="1">
      <alignment horizontal="center" vertical="center"/>
    </xf>
    <xf numFmtId="0" fontId="3" fillId="32" borderId="11" xfId="0" applyFont="1" applyFill="1" applyBorder="1" applyAlignment="1" applyProtection="1">
      <alignment vertical="center" wrapText="1"/>
    </xf>
    <xf numFmtId="3" fontId="6" fillId="32" borderId="11" xfId="192" applyNumberFormat="1" applyFont="1" applyFill="1" applyBorder="1" applyAlignment="1" applyProtection="1">
      <alignment vertical="center"/>
    </xf>
    <xf numFmtId="0" fontId="6" fillId="32" borderId="11" xfId="0" applyFont="1" applyFill="1" applyBorder="1" applyAlignment="1" applyProtection="1">
      <alignment horizontal="center" vertical="center"/>
    </xf>
    <xf numFmtId="0" fontId="6" fillId="32" borderId="33" xfId="0" applyFont="1" applyFill="1" applyBorder="1" applyAlignment="1" applyProtection="1">
      <alignment horizontal="left" vertical="center" wrapText="1"/>
    </xf>
    <xf numFmtId="0" fontId="0" fillId="32" borderId="33" xfId="0" applyFill="1" applyBorder="1" applyAlignment="1" applyProtection="1">
      <alignment vertical="center"/>
    </xf>
    <xf numFmtId="167" fontId="6" fillId="32" borderId="11" xfId="192" applyNumberFormat="1" applyFont="1" applyFill="1" applyBorder="1" applyAlignment="1" applyProtection="1">
      <alignment horizontal="right" vertical="center"/>
    </xf>
    <xf numFmtId="3" fontId="6" fillId="32" borderId="33" xfId="192" applyNumberFormat="1" applyFont="1" applyFill="1" applyBorder="1" applyAlignment="1" applyProtection="1">
      <alignment vertical="center"/>
    </xf>
    <xf numFmtId="3" fontId="72" fillId="32" borderId="33" xfId="192" applyNumberFormat="1" applyFont="1" applyFill="1" applyBorder="1" applyAlignment="1" applyProtection="1">
      <alignment vertical="center"/>
    </xf>
    <xf numFmtId="0" fontId="70" fillId="32" borderId="0" xfId="0" applyFont="1" applyFill="1" applyAlignment="1" applyProtection="1">
      <alignment vertical="center"/>
    </xf>
    <xf numFmtId="0" fontId="70" fillId="32" borderId="28" xfId="0" applyFont="1" applyFill="1" applyBorder="1" applyAlignment="1" applyProtection="1">
      <alignment vertical="center"/>
    </xf>
    <xf numFmtId="165" fontId="3" fillId="32" borderId="0" xfId="192" applyFont="1" applyFill="1" applyBorder="1" applyAlignment="1" applyProtection="1">
      <alignment vertical="center"/>
    </xf>
    <xf numFmtId="165" fontId="7" fillId="32" borderId="11" xfId="192" applyFont="1" applyFill="1" applyBorder="1" applyAlignment="1" applyProtection="1">
      <alignment horizontal="center" vertical="center"/>
    </xf>
    <xf numFmtId="0" fontId="0" fillId="32" borderId="11" xfId="0" applyFill="1" applyBorder="1" applyAlignment="1" applyProtection="1">
      <alignment vertical="center" wrapText="1"/>
    </xf>
    <xf numFmtId="0" fontId="0" fillId="32" borderId="11" xfId="0"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0" fillId="32" borderId="0" xfId="0" applyFill="1" applyBorder="1" applyAlignment="1" applyProtection="1">
      <alignment horizontal="center" vertical="center"/>
    </xf>
    <xf numFmtId="0" fontId="0" fillId="32" borderId="33" xfId="0" applyFill="1" applyBorder="1" applyAlignment="1" applyProtection="1">
      <alignment vertical="center" wrapText="1"/>
    </xf>
    <xf numFmtId="0" fontId="0" fillId="32" borderId="33" xfId="0" applyFill="1" applyBorder="1" applyAlignment="1" applyProtection="1">
      <alignment horizontal="center" vertical="center"/>
    </xf>
    <xf numFmtId="0" fontId="0" fillId="32" borderId="33" xfId="0" applyFont="1" applyFill="1" applyBorder="1" applyAlignment="1" applyProtection="1">
      <alignment horizontal="center" vertical="center"/>
    </xf>
    <xf numFmtId="0" fontId="0" fillId="32" borderId="27" xfId="0" applyFill="1" applyBorder="1" applyAlignment="1" applyProtection="1">
      <alignment vertical="center" wrapText="1"/>
    </xf>
    <xf numFmtId="0" fontId="0" fillId="32" borderId="28" xfId="0" applyFont="1" applyFill="1" applyBorder="1" applyAlignment="1" applyProtection="1">
      <alignment horizontal="center" vertical="center"/>
    </xf>
    <xf numFmtId="0" fontId="19" fillId="32" borderId="11" xfId="0" applyFont="1" applyFill="1" applyBorder="1" applyAlignment="1" applyProtection="1">
      <alignment vertical="center" wrapText="1"/>
    </xf>
    <xf numFmtId="167" fontId="19" fillId="32" borderId="11" xfId="192" applyNumberFormat="1" applyFont="1" applyFill="1" applyBorder="1" applyAlignment="1" applyProtection="1">
      <alignment vertical="center"/>
    </xf>
    <xf numFmtId="4" fontId="19" fillId="0" borderId="11" xfId="186" applyNumberFormat="1" applyFont="1" applyBorder="1" applyAlignment="1" applyProtection="1">
      <alignment horizontal="left" vertical="center" wrapText="1"/>
    </xf>
    <xf numFmtId="4" fontId="19" fillId="32" borderId="11" xfId="186" applyNumberFormat="1" applyFont="1" applyFill="1" applyBorder="1" applyAlignment="1" applyProtection="1">
      <alignment horizontal="left" vertical="center" wrapText="1"/>
    </xf>
    <xf numFmtId="0" fontId="3" fillId="32" borderId="11" xfId="186" applyNumberFormat="1" applyFont="1" applyFill="1" applyBorder="1" applyAlignment="1" applyProtection="1">
      <alignment horizontal="center" vertical="center"/>
    </xf>
    <xf numFmtId="167" fontId="19" fillId="0" borderId="11" xfId="192" applyNumberFormat="1" applyFont="1" applyFill="1" applyBorder="1" applyAlignment="1" applyProtection="1">
      <alignment vertical="center"/>
    </xf>
    <xf numFmtId="167" fontId="19" fillId="29" borderId="11" xfId="192" applyNumberFormat="1" applyFont="1" applyFill="1" applyBorder="1" applyAlignment="1" applyProtection="1">
      <alignment vertical="center"/>
    </xf>
    <xf numFmtId="167" fontId="7" fillId="29" borderId="11" xfId="192" applyNumberFormat="1" applyFont="1" applyFill="1" applyBorder="1" applyAlignment="1" applyProtection="1">
      <alignment vertical="center"/>
    </xf>
    <xf numFmtId="165" fontId="0" fillId="32" borderId="0" xfId="0" applyNumberFormat="1" applyFill="1" applyBorder="1" applyAlignment="1" applyProtection="1">
      <alignment vertical="center"/>
    </xf>
    <xf numFmtId="167" fontId="6" fillId="32" borderId="0" xfId="0" applyNumberFormat="1" applyFont="1" applyFill="1" applyAlignment="1" applyProtection="1">
      <alignment vertical="center"/>
    </xf>
    <xf numFmtId="0" fontId="0" fillId="32" borderId="33" xfId="0" applyFont="1" applyFill="1" applyBorder="1" applyAlignment="1" applyProtection="1">
      <alignment horizontal="center" vertical="center" wrapText="1"/>
    </xf>
    <xf numFmtId="0" fontId="0" fillId="32" borderId="0" xfId="0" applyFont="1" applyFill="1" applyAlignment="1" applyProtection="1">
      <alignment vertical="center" wrapText="1"/>
    </xf>
    <xf numFmtId="167" fontId="7" fillId="32" borderId="0" xfId="0" applyNumberFormat="1" applyFont="1" applyFill="1" applyAlignment="1" applyProtection="1">
      <alignment vertical="center"/>
    </xf>
    <xf numFmtId="167" fontId="7" fillId="32" borderId="0" xfId="0" applyNumberFormat="1" applyFont="1" applyFill="1" applyAlignment="1" applyProtection="1">
      <alignment horizontal="right" vertical="center"/>
    </xf>
    <xf numFmtId="167" fontId="6" fillId="32" borderId="11" xfId="0" quotePrefix="1" applyNumberFormat="1" applyFont="1" applyFill="1" applyBorder="1" applyAlignment="1" applyProtection="1">
      <alignment horizontal="right" vertical="center"/>
    </xf>
    <xf numFmtId="0" fontId="6" fillId="32" borderId="0" xfId="30" applyFont="1" applyFill="1" applyAlignment="1" applyProtection="1">
      <alignment vertical="center" wrapText="1"/>
    </xf>
    <xf numFmtId="0" fontId="18" fillId="32" borderId="11" xfId="13" applyFill="1" applyBorder="1" applyAlignment="1" applyProtection="1">
      <alignment horizontal="center" vertical="center"/>
    </xf>
    <xf numFmtId="167" fontId="6" fillId="40" borderId="11" xfId="192" applyNumberFormat="1" applyFont="1" applyFill="1" applyBorder="1" applyAlignment="1" applyProtection="1">
      <alignment horizontal="right" vertical="center"/>
      <protection locked="0"/>
    </xf>
    <xf numFmtId="167" fontId="3" fillId="32" borderId="11" xfId="192" applyNumberFormat="1" applyFont="1" applyFill="1" applyBorder="1" applyAlignment="1" applyProtection="1">
      <alignment horizontal="center" vertical="center"/>
    </xf>
    <xf numFmtId="0" fontId="6" fillId="0" borderId="11" xfId="0" applyFont="1" applyBorder="1" applyAlignment="1" applyProtection="1">
      <alignment horizontal="left" vertical="center" wrapText="1" indent="2"/>
    </xf>
    <xf numFmtId="1" fontId="3" fillId="40" borderId="26" xfId="30" applyNumberFormat="1" applyFill="1" applyBorder="1" applyAlignment="1" applyProtection="1">
      <alignment horizontal="center" vertical="center"/>
    </xf>
    <xf numFmtId="0" fontId="3" fillId="40" borderId="26" xfId="30" applyFill="1" applyBorder="1" applyAlignment="1" applyProtection="1">
      <alignment horizontal="center" vertical="center"/>
    </xf>
    <xf numFmtId="4" fontId="60" fillId="40" borderId="37" xfId="30" applyNumberFormat="1" applyFont="1" applyFill="1" applyBorder="1" applyAlignment="1" applyProtection="1">
      <alignment horizontal="center" vertical="center"/>
    </xf>
    <xf numFmtId="0" fontId="3" fillId="40" borderId="0" xfId="30" applyFill="1" applyAlignment="1" applyProtection="1">
      <alignment vertical="center"/>
    </xf>
    <xf numFmtId="0" fontId="7" fillId="32" borderId="27" xfId="0" applyFont="1" applyFill="1" applyBorder="1" applyAlignment="1" applyProtection="1">
      <alignment horizontal="center" vertical="center"/>
    </xf>
    <xf numFmtId="0" fontId="7" fillId="32" borderId="28" xfId="0" applyFont="1" applyFill="1" applyBorder="1" applyAlignment="1" applyProtection="1">
      <alignment vertical="center"/>
    </xf>
    <xf numFmtId="0" fontId="7" fillId="32" borderId="0" xfId="30" applyFont="1" applyFill="1" applyAlignment="1" applyProtection="1">
      <alignment vertical="center"/>
    </xf>
    <xf numFmtId="10" fontId="3" fillId="31" borderId="11" xfId="121" applyNumberFormat="1" applyFill="1" applyBorder="1" applyAlignment="1" applyProtection="1">
      <alignment horizontal="right" vertical="center"/>
      <protection locked="0"/>
    </xf>
    <xf numFmtId="0" fontId="0" fillId="32" borderId="0" xfId="0" applyFill="1" applyAlignment="1">
      <alignment vertical="center"/>
    </xf>
    <xf numFmtId="0" fontId="64" fillId="32" borderId="0" xfId="0" applyFont="1" applyFill="1" applyAlignment="1">
      <alignment vertical="center"/>
    </xf>
    <xf numFmtId="0" fontId="0" fillId="32" borderId="0" xfId="0" applyFill="1" applyAlignment="1">
      <alignment horizontal="center" vertical="center"/>
    </xf>
    <xf numFmtId="0" fontId="6" fillId="32" borderId="0" xfId="0" applyFont="1" applyFill="1" applyAlignment="1">
      <alignment vertical="center"/>
    </xf>
    <xf numFmtId="167" fontId="3" fillId="31" borderId="67" xfId="192" applyNumberFormat="1" applyFill="1" applyBorder="1" applyAlignment="1" applyProtection="1">
      <alignment vertical="center"/>
      <protection locked="0"/>
    </xf>
    <xf numFmtId="167" fontId="3" fillId="31" borderId="43" xfId="192" applyNumberFormat="1" applyFill="1" applyBorder="1" applyAlignment="1" applyProtection="1">
      <alignment vertical="center"/>
      <protection locked="0"/>
    </xf>
    <xf numFmtId="167" fontId="3" fillId="31" borderId="69" xfId="192" applyNumberFormat="1" applyFill="1" applyBorder="1" applyAlignment="1" applyProtection="1">
      <alignment vertical="center"/>
      <protection locked="0"/>
    </xf>
    <xf numFmtId="167" fontId="3" fillId="31" borderId="52" xfId="192" applyNumberFormat="1" applyFill="1" applyBorder="1" applyAlignment="1" applyProtection="1">
      <alignment vertical="center"/>
      <protection locked="0"/>
    </xf>
    <xf numFmtId="0" fontId="75" fillId="32" borderId="0" xfId="0" applyFont="1" applyFill="1" applyAlignment="1">
      <alignment vertical="center"/>
    </xf>
    <xf numFmtId="167" fontId="3" fillId="31" borderId="46" xfId="192" applyNumberFormat="1" applyFill="1" applyBorder="1" applyAlignment="1" applyProtection="1">
      <alignment vertical="center"/>
      <protection locked="0"/>
    </xf>
    <xf numFmtId="167" fontId="3" fillId="31" borderId="59" xfId="192" applyNumberFormat="1" applyFill="1" applyBorder="1" applyAlignment="1" applyProtection="1">
      <alignment vertical="center"/>
      <protection locked="0"/>
    </xf>
    <xf numFmtId="10" fontId="7" fillId="32" borderId="25" xfId="121" applyNumberFormat="1" applyFont="1" applyFill="1" applyBorder="1" applyAlignment="1">
      <alignment vertical="center"/>
    </xf>
    <xf numFmtId="10" fontId="7" fillId="32" borderId="39" xfId="121" applyNumberFormat="1" applyFont="1" applyFill="1" applyBorder="1" applyAlignment="1">
      <alignment vertical="center"/>
    </xf>
    <xf numFmtId="0" fontId="85" fillId="32" borderId="0" xfId="0" applyFont="1" applyFill="1" applyBorder="1" applyAlignment="1">
      <alignment vertical="center"/>
    </xf>
    <xf numFmtId="167" fontId="7" fillId="32" borderId="25" xfId="194" applyNumberFormat="1" applyFont="1" applyFill="1" applyBorder="1" applyAlignment="1">
      <alignment vertical="center"/>
    </xf>
    <xf numFmtId="167" fontId="7" fillId="32" borderId="39" xfId="194" applyNumberFormat="1" applyFont="1" applyFill="1" applyBorder="1" applyAlignment="1">
      <alignment vertical="center"/>
    </xf>
    <xf numFmtId="0" fontId="3" fillId="32" borderId="48" xfId="0" applyFont="1" applyFill="1" applyBorder="1" applyAlignment="1">
      <alignment vertical="center"/>
    </xf>
    <xf numFmtId="0" fontId="3" fillId="32" borderId="49" xfId="0" applyFont="1" applyFill="1" applyBorder="1" applyAlignment="1">
      <alignment vertical="center"/>
    </xf>
    <xf numFmtId="0" fontId="3" fillId="32" borderId="51" xfId="0" applyFont="1" applyFill="1" applyBorder="1" applyAlignment="1">
      <alignment vertical="center"/>
    </xf>
    <xf numFmtId="0" fontId="3" fillId="32" borderId="15" xfId="0" applyFont="1" applyFill="1" applyBorder="1" applyAlignment="1">
      <alignment vertical="center"/>
    </xf>
    <xf numFmtId="1" fontId="7" fillId="32" borderId="92" xfId="0" applyNumberFormat="1" applyFont="1" applyFill="1" applyBorder="1" applyAlignment="1">
      <alignment horizontal="center" vertical="center"/>
    </xf>
    <xf numFmtId="0" fontId="3" fillId="32" borderId="105" xfId="0" applyFont="1" applyFill="1" applyBorder="1" applyAlignment="1">
      <alignment horizontal="left" vertical="center"/>
    </xf>
    <xf numFmtId="164" fontId="3" fillId="32" borderId="106" xfId="192" applyNumberFormat="1" applyFill="1" applyBorder="1" applyAlignment="1">
      <alignment vertical="center"/>
    </xf>
    <xf numFmtId="164" fontId="3" fillId="32" borderId="107" xfId="192" applyNumberFormat="1" applyFill="1" applyBorder="1" applyAlignment="1">
      <alignment vertical="center"/>
    </xf>
    <xf numFmtId="0" fontId="3" fillId="32" borderId="14" xfId="0" applyFont="1" applyFill="1" applyBorder="1" applyAlignment="1">
      <alignment vertical="center"/>
    </xf>
    <xf numFmtId="0" fontId="3" fillId="32" borderId="110" xfId="0" applyFont="1" applyFill="1" applyBorder="1" applyAlignment="1">
      <alignment horizontal="left" vertical="center"/>
    </xf>
    <xf numFmtId="164" fontId="3" fillId="32" borderId="111" xfId="192" applyNumberFormat="1" applyFill="1" applyBorder="1" applyAlignment="1">
      <alignment vertical="center"/>
    </xf>
    <xf numFmtId="164" fontId="3" fillId="32" borderId="108" xfId="192" applyNumberFormat="1" applyFill="1" applyBorder="1" applyAlignment="1">
      <alignment vertical="center"/>
    </xf>
    <xf numFmtId="0" fontId="3" fillId="32" borderId="109" xfId="0" applyFont="1" applyFill="1" applyBorder="1" applyAlignment="1">
      <alignment vertical="center"/>
    </xf>
    <xf numFmtId="0" fontId="3" fillId="32" borderId="32" xfId="0" applyFont="1" applyFill="1" applyBorder="1" applyAlignment="1">
      <alignment horizontal="left" vertical="center"/>
    </xf>
    <xf numFmtId="164" fontId="3" fillId="32" borderId="112" xfId="192" applyNumberFormat="1" applyFill="1" applyBorder="1" applyAlignment="1">
      <alignment vertical="center"/>
    </xf>
    <xf numFmtId="164" fontId="3" fillId="32" borderId="62" xfId="192" applyNumberFormat="1" applyFill="1" applyBorder="1" applyAlignment="1">
      <alignment vertical="center"/>
    </xf>
    <xf numFmtId="0" fontId="3" fillId="32" borderId="0" xfId="0" applyFont="1" applyFill="1" applyBorder="1" applyAlignment="1">
      <alignment vertical="center"/>
    </xf>
    <xf numFmtId="164" fontId="3" fillId="32" borderId="77" xfId="192" applyNumberFormat="1" applyFill="1" applyBorder="1" applyAlignment="1">
      <alignment vertical="center"/>
    </xf>
    <xf numFmtId="164" fontId="3" fillId="32" borderId="40" xfId="192" applyNumberFormat="1" applyFill="1" applyBorder="1" applyAlignment="1">
      <alignment vertical="center"/>
    </xf>
    <xf numFmtId="0" fontId="3" fillId="32" borderId="32" xfId="0" applyFont="1" applyFill="1" applyBorder="1" applyAlignment="1">
      <alignment vertical="center"/>
    </xf>
    <xf numFmtId="0" fontId="3" fillId="32" borderId="61" xfId="0" applyFont="1" applyFill="1" applyBorder="1" applyAlignment="1">
      <alignment vertical="center"/>
    </xf>
    <xf numFmtId="0" fontId="3" fillId="32" borderId="30" xfId="0" applyFont="1" applyFill="1" applyBorder="1" applyAlignment="1">
      <alignment vertical="center"/>
    </xf>
    <xf numFmtId="164" fontId="3" fillId="32" borderId="113" xfId="192" applyNumberFormat="1" applyFill="1" applyBorder="1" applyAlignment="1">
      <alignment vertical="center"/>
    </xf>
    <xf numFmtId="164" fontId="3" fillId="32" borderId="64" xfId="192" applyNumberFormat="1" applyFill="1" applyBorder="1" applyAlignment="1">
      <alignment vertical="center"/>
    </xf>
    <xf numFmtId="0" fontId="35" fillId="32" borderId="61" xfId="0" applyFont="1" applyFill="1" applyBorder="1" applyAlignment="1">
      <alignment vertical="center"/>
    </xf>
    <xf numFmtId="0" fontId="35" fillId="32" borderId="30" xfId="0" applyFont="1" applyFill="1" applyBorder="1" applyAlignment="1">
      <alignment vertical="center"/>
    </xf>
    <xf numFmtId="164" fontId="35" fillId="32" borderId="113" xfId="192" applyNumberFormat="1" applyFont="1" applyFill="1" applyBorder="1" applyAlignment="1">
      <alignment vertical="center"/>
    </xf>
    <xf numFmtId="164" fontId="35" fillId="32" borderId="64" xfId="192" applyNumberFormat="1" applyFont="1" applyFill="1" applyBorder="1" applyAlignment="1">
      <alignment vertical="center"/>
    </xf>
    <xf numFmtId="164" fontId="7" fillId="32" borderId="77" xfId="192" applyNumberFormat="1" applyFont="1" applyFill="1" applyBorder="1" applyAlignment="1">
      <alignment vertical="center"/>
    </xf>
    <xf numFmtId="164" fontId="7" fillId="32" borderId="40" xfId="192" applyNumberFormat="1" applyFont="1" applyFill="1" applyBorder="1" applyAlignment="1">
      <alignment vertical="center"/>
    </xf>
    <xf numFmtId="0" fontId="3" fillId="32" borderId="104" xfId="0" applyFont="1" applyFill="1" applyBorder="1" applyAlignment="1">
      <alignment vertical="center"/>
    </xf>
    <xf numFmtId="0" fontId="3" fillId="32" borderId="52" xfId="0" applyFont="1" applyFill="1" applyBorder="1" applyAlignment="1">
      <alignment vertical="center"/>
    </xf>
    <xf numFmtId="0" fontId="64" fillId="33" borderId="0" xfId="171" applyFont="1" applyFill="1" applyProtection="1"/>
    <xf numFmtId="0" fontId="89" fillId="33" borderId="14" xfId="171" applyFont="1" applyFill="1" applyBorder="1" applyAlignment="1" applyProtection="1"/>
    <xf numFmtId="0" fontId="89" fillId="33" borderId="0" xfId="171" applyFont="1" applyFill="1" applyBorder="1" applyAlignment="1" applyProtection="1"/>
    <xf numFmtId="15" fontId="64" fillId="33" borderId="0" xfId="171" applyNumberFormat="1" applyFont="1" applyFill="1" applyProtection="1"/>
    <xf numFmtId="0" fontId="0" fillId="0" borderId="0" xfId="0" applyFill="1"/>
    <xf numFmtId="0" fontId="18" fillId="0" borderId="0" xfId="13" applyFill="1" applyAlignment="1" applyProtection="1"/>
    <xf numFmtId="0" fontId="19" fillId="32" borderId="0" xfId="171" applyFont="1" applyFill="1" applyAlignment="1" applyProtection="1"/>
    <xf numFmtId="0" fontId="90" fillId="0" borderId="0" xfId="13" applyFont="1" applyFill="1" applyAlignment="1" applyProtection="1"/>
    <xf numFmtId="0" fontId="91" fillId="0" borderId="0" xfId="171" applyFont="1" applyFill="1" applyProtection="1"/>
    <xf numFmtId="0" fontId="90" fillId="32" borderId="0" xfId="13" applyFont="1" applyFill="1" applyAlignment="1" applyProtection="1"/>
    <xf numFmtId="0" fontId="91" fillId="0" borderId="0" xfId="0" applyFont="1" applyFill="1"/>
    <xf numFmtId="0" fontId="91" fillId="32" borderId="0" xfId="171" applyFont="1" applyFill="1" applyProtection="1"/>
    <xf numFmtId="0" fontId="6" fillId="32" borderId="11" xfId="0" applyFont="1" applyFill="1" applyBorder="1" applyAlignment="1" applyProtection="1">
      <alignment horizontal="left" vertical="center" wrapText="1" indent="4"/>
    </xf>
    <xf numFmtId="0" fontId="0" fillId="32" borderId="25" xfId="0" applyFill="1" applyBorder="1" applyAlignment="1" applyProtection="1">
      <alignment vertical="center"/>
    </xf>
    <xf numFmtId="0" fontId="0" fillId="0" borderId="0" xfId="0" applyAlignment="1" applyProtection="1">
      <alignment vertical="center"/>
    </xf>
    <xf numFmtId="0" fontId="3" fillId="33" borderId="0" xfId="171" applyFont="1" applyFill="1" applyProtection="1"/>
    <xf numFmtId="167" fontId="7" fillId="32" borderId="25" xfId="192" applyNumberFormat="1" applyFont="1" applyFill="1" applyBorder="1" applyAlignment="1" applyProtection="1">
      <alignment horizontal="center" vertical="center"/>
    </xf>
    <xf numFmtId="0" fontId="7" fillId="0" borderId="75" xfId="174" applyFont="1" applyFill="1" applyBorder="1" applyAlignment="1" applyProtection="1">
      <alignment horizontal="center" vertical="center" wrapText="1"/>
    </xf>
    <xf numFmtId="167" fontId="35" fillId="32" borderId="75" xfId="192" applyNumberFormat="1" applyFont="1" applyFill="1" applyBorder="1" applyAlignment="1" applyProtection="1">
      <alignment horizontal="center" vertical="center"/>
    </xf>
    <xf numFmtId="10" fontId="7" fillId="29" borderId="114" xfId="121" applyNumberFormat="1" applyFont="1" applyFill="1" applyBorder="1" applyAlignment="1" applyProtection="1">
      <alignment vertical="center"/>
    </xf>
    <xf numFmtId="10" fontId="3" fillId="32" borderId="115" xfId="121" applyNumberFormat="1" applyFont="1" applyFill="1" applyBorder="1" applyAlignment="1" applyProtection="1">
      <alignment horizontal="right" vertical="center"/>
    </xf>
    <xf numFmtId="10" fontId="6" fillId="32" borderId="115" xfId="121" applyNumberFormat="1" applyFont="1" applyFill="1" applyBorder="1" applyAlignment="1" applyProtection="1">
      <alignment horizontal="right" vertical="center"/>
    </xf>
    <xf numFmtId="10" fontId="53" fillId="32" borderId="115" xfId="121" applyNumberFormat="1" applyFont="1" applyFill="1" applyBorder="1" applyAlignment="1" applyProtection="1">
      <alignment horizontal="right" vertical="center"/>
    </xf>
    <xf numFmtId="10" fontId="3" fillId="32" borderId="115" xfId="121" applyNumberFormat="1" applyFont="1" applyFill="1" applyBorder="1" applyAlignment="1" applyProtection="1">
      <alignment vertical="center"/>
    </xf>
    <xf numFmtId="10" fontId="3" fillId="37" borderId="115" xfId="121" applyNumberFormat="1" applyFont="1" applyFill="1" applyBorder="1" applyAlignment="1" applyProtection="1">
      <alignment vertical="center"/>
    </xf>
    <xf numFmtId="10" fontId="6" fillId="32" borderId="116" xfId="121" applyNumberFormat="1" applyFont="1" applyFill="1" applyBorder="1" applyAlignment="1" applyProtection="1">
      <alignment horizontal="right" vertical="center"/>
    </xf>
    <xf numFmtId="10" fontId="7" fillId="37" borderId="115" xfId="121" applyNumberFormat="1" applyFont="1" applyFill="1" applyBorder="1" applyAlignment="1" applyProtection="1">
      <alignment vertical="center"/>
    </xf>
    <xf numFmtId="10" fontId="7" fillId="32" borderId="115" xfId="121" applyNumberFormat="1" applyFont="1" applyFill="1" applyBorder="1" applyAlignment="1" applyProtection="1">
      <alignment vertical="center"/>
    </xf>
    <xf numFmtId="10" fontId="6" fillId="32" borderId="116" xfId="126" applyNumberFormat="1" applyFont="1" applyFill="1" applyBorder="1" applyAlignment="1" applyProtection="1">
      <alignment horizontal="right" vertical="center"/>
    </xf>
    <xf numFmtId="10" fontId="7" fillId="32" borderId="75" xfId="126" applyNumberFormat="1" applyFont="1" applyFill="1" applyBorder="1" applyAlignment="1" applyProtection="1">
      <alignment horizontal="right" vertical="center"/>
    </xf>
    <xf numFmtId="0" fontId="7" fillId="0" borderId="0" xfId="174" applyFont="1" applyFill="1" applyBorder="1" applyAlignment="1" applyProtection="1">
      <alignment horizontal="center" vertical="center" wrapText="1"/>
    </xf>
    <xf numFmtId="10" fontId="3" fillId="32" borderId="0" xfId="121" applyNumberFormat="1" applyFont="1" applyFill="1" applyBorder="1" applyAlignment="1" applyProtection="1">
      <alignment horizontal="right" vertical="center"/>
    </xf>
    <xf numFmtId="10" fontId="6" fillId="32" borderId="0" xfId="121" applyNumberFormat="1" applyFont="1" applyFill="1" applyBorder="1" applyAlignment="1" applyProtection="1">
      <alignment horizontal="right" vertical="center"/>
    </xf>
    <xf numFmtId="10" fontId="7" fillId="32" borderId="0" xfId="121" applyNumberFormat="1" applyFont="1" applyFill="1" applyBorder="1" applyAlignment="1" applyProtection="1">
      <alignment vertical="center"/>
    </xf>
    <xf numFmtId="0" fontId="21" fillId="0" borderId="0" xfId="174" applyFont="1" applyFill="1" applyBorder="1" applyAlignment="1" applyProtection="1">
      <alignment horizontal="left" vertical="center"/>
    </xf>
    <xf numFmtId="167" fontId="6" fillId="0" borderId="0" xfId="174" applyNumberFormat="1" applyFont="1" applyFill="1" applyBorder="1" applyAlignment="1" applyProtection="1">
      <alignment vertical="center"/>
    </xf>
    <xf numFmtId="0" fontId="29" fillId="0" borderId="0" xfId="174" applyFont="1" applyFill="1" applyBorder="1" applyAlignment="1" applyProtection="1">
      <alignment vertical="center"/>
    </xf>
    <xf numFmtId="0" fontId="0" fillId="0" borderId="0" xfId="0" applyFill="1" applyBorder="1" applyAlignment="1" applyProtection="1">
      <alignment vertical="center"/>
    </xf>
    <xf numFmtId="167" fontId="35" fillId="0" borderId="0" xfId="192" applyNumberFormat="1" applyFont="1" applyFill="1" applyBorder="1" applyAlignment="1" applyProtection="1">
      <alignment horizontal="center" vertical="center"/>
    </xf>
    <xf numFmtId="10" fontId="7" fillId="0" borderId="0" xfId="121" applyNumberFormat="1" applyFont="1" applyFill="1" applyBorder="1" applyAlignment="1" applyProtection="1">
      <alignment vertical="center"/>
    </xf>
    <xf numFmtId="10" fontId="3" fillId="0" borderId="0" xfId="121" applyNumberFormat="1" applyFont="1" applyFill="1" applyBorder="1" applyAlignment="1" applyProtection="1">
      <alignment vertical="center"/>
    </xf>
    <xf numFmtId="10" fontId="3" fillId="0" borderId="0" xfId="121" applyNumberFormat="1" applyFont="1" applyFill="1" applyBorder="1" applyAlignment="1" applyProtection="1">
      <alignment horizontal="right" vertical="center"/>
    </xf>
    <xf numFmtId="10" fontId="6" fillId="0" borderId="0" xfId="121" applyNumberFormat="1" applyFont="1" applyFill="1" applyBorder="1" applyAlignment="1" applyProtection="1">
      <alignment horizontal="right" vertical="center"/>
    </xf>
    <xf numFmtId="10" fontId="53" fillId="0" borderId="0" xfId="121" applyNumberFormat="1" applyFont="1" applyFill="1" applyBorder="1" applyAlignment="1" applyProtection="1">
      <alignment horizontal="right" vertical="center"/>
    </xf>
    <xf numFmtId="10" fontId="6" fillId="0" borderId="0" xfId="126" applyNumberFormat="1" applyFont="1" applyFill="1" applyBorder="1" applyAlignment="1" applyProtection="1">
      <alignment horizontal="right" vertical="center"/>
    </xf>
    <xf numFmtId="10" fontId="7" fillId="0" borderId="0" xfId="126" applyNumberFormat="1" applyFont="1" applyFill="1" applyBorder="1" applyAlignment="1" applyProtection="1">
      <alignment horizontal="right" vertical="center"/>
    </xf>
    <xf numFmtId="0" fontId="29" fillId="32" borderId="0" xfId="176" applyFont="1" applyFill="1" applyBorder="1" applyAlignment="1" applyProtection="1">
      <alignment horizontal="right" vertical="center"/>
    </xf>
    <xf numFmtId="0" fontId="75" fillId="32" borderId="0" xfId="0" applyFont="1" applyFill="1" applyBorder="1" applyAlignment="1" applyProtection="1">
      <alignment vertical="center"/>
    </xf>
    <xf numFmtId="0" fontId="81" fillId="32" borderId="0" xfId="0" applyFont="1" applyFill="1" applyBorder="1" applyAlignment="1" applyProtection="1">
      <alignment vertical="center" wrapText="1"/>
    </xf>
    <xf numFmtId="0" fontId="3" fillId="32" borderId="0" xfId="184" applyFont="1" applyFill="1" applyBorder="1" applyAlignment="1" applyProtection="1">
      <alignment horizontal="right" vertical="center"/>
    </xf>
    <xf numFmtId="0" fontId="7" fillId="32" borderId="0" xfId="184" applyFont="1" applyFill="1" applyBorder="1" applyAlignment="1" applyProtection="1">
      <alignment horizontal="center" vertical="center" wrapText="1"/>
    </xf>
    <xf numFmtId="0" fontId="7" fillId="32" borderId="0" xfId="184" applyFont="1" applyFill="1" applyBorder="1" applyAlignment="1" applyProtection="1">
      <alignment vertical="center" wrapText="1"/>
    </xf>
    <xf numFmtId="0" fontId="7" fillId="32" borderId="0" xfId="184" applyFont="1" applyFill="1" applyBorder="1" applyAlignment="1" applyProtection="1">
      <alignment horizontal="right" vertical="center"/>
    </xf>
    <xf numFmtId="0" fontId="19" fillId="32" borderId="0" xfId="184" applyFont="1" applyFill="1" applyBorder="1" applyAlignment="1" applyProtection="1">
      <alignment horizontal="right" vertical="center"/>
    </xf>
    <xf numFmtId="10" fontId="7" fillId="32" borderId="0" xfId="192" applyNumberFormat="1" applyFont="1" applyFill="1" applyBorder="1" applyAlignment="1" applyProtection="1">
      <alignment vertical="center"/>
    </xf>
    <xf numFmtId="10" fontId="19" fillId="32" borderId="0" xfId="121" applyNumberFormat="1" applyFont="1" applyFill="1" applyBorder="1" applyAlignment="1" applyProtection="1">
      <alignment horizontal="left" vertical="center"/>
    </xf>
    <xf numFmtId="10" fontId="7" fillId="32" borderId="0" xfId="121" applyNumberFormat="1" applyFont="1" applyFill="1" applyBorder="1" applyAlignment="1" applyProtection="1">
      <alignment horizontal="right" vertical="center"/>
    </xf>
    <xf numFmtId="169" fontId="7" fillId="32" borderId="0" xfId="192" applyNumberFormat="1" applyFont="1" applyFill="1" applyBorder="1" applyAlignment="1" applyProtection="1">
      <alignment vertical="center"/>
    </xf>
    <xf numFmtId="0" fontId="21" fillId="32" borderId="0" xfId="184" applyFont="1" applyFill="1" applyBorder="1" applyAlignment="1" applyProtection="1">
      <alignment horizontal="right" vertical="center"/>
    </xf>
    <xf numFmtId="167" fontId="7" fillId="32" borderId="0" xfId="174" applyNumberFormat="1" applyFont="1" applyFill="1" applyBorder="1" applyAlignment="1" applyProtection="1">
      <alignment horizontal="right" vertical="center"/>
    </xf>
    <xf numFmtId="0" fontId="29" fillId="32" borderId="0" xfId="184" applyFont="1" applyFill="1" applyBorder="1" applyAlignment="1" applyProtection="1">
      <alignment vertical="center"/>
    </xf>
    <xf numFmtId="0" fontId="29" fillId="32" borderId="0" xfId="184" applyFont="1" applyFill="1" applyBorder="1" applyAlignment="1" applyProtection="1">
      <alignment horizontal="right" vertical="center"/>
    </xf>
    <xf numFmtId="0" fontId="3" fillId="32" borderId="0" xfId="184" applyFill="1" applyBorder="1" applyAlignment="1" applyProtection="1">
      <alignment horizontal="right" vertical="center"/>
    </xf>
    <xf numFmtId="0" fontId="7" fillId="32" borderId="117" xfId="184" applyFont="1" applyFill="1" applyBorder="1" applyAlignment="1" applyProtection="1">
      <alignment horizontal="center" vertical="center" wrapText="1"/>
    </xf>
    <xf numFmtId="0" fontId="7" fillId="32" borderId="75" xfId="184" applyFont="1" applyFill="1" applyBorder="1" applyAlignment="1" applyProtection="1">
      <alignment vertical="center" wrapText="1"/>
    </xf>
    <xf numFmtId="0" fontId="7" fillId="32" borderId="118" xfId="184" applyFont="1" applyFill="1" applyBorder="1" applyAlignment="1" applyProtection="1">
      <alignment horizontal="right" vertical="center"/>
    </xf>
    <xf numFmtId="0" fontId="19" fillId="32" borderId="115" xfId="184" applyFont="1" applyFill="1" applyBorder="1" applyAlignment="1" applyProtection="1">
      <alignment horizontal="right" vertical="center"/>
    </xf>
    <xf numFmtId="10" fontId="19" fillId="32" borderId="115" xfId="121" applyNumberFormat="1" applyFont="1" applyFill="1" applyBorder="1" applyAlignment="1" applyProtection="1">
      <alignment horizontal="left" vertical="center"/>
    </xf>
    <xf numFmtId="10" fontId="7" fillId="32" borderId="115" xfId="121" applyNumberFormat="1" applyFont="1" applyFill="1" applyBorder="1" applyAlignment="1" applyProtection="1">
      <alignment horizontal="right" vertical="center"/>
    </xf>
    <xf numFmtId="169" fontId="7" fillId="32" borderId="115" xfId="192" applyNumberFormat="1" applyFont="1" applyFill="1" applyBorder="1" applyAlignment="1" applyProtection="1">
      <alignment vertical="center"/>
    </xf>
    <xf numFmtId="0" fontId="21" fillId="32" borderId="119" xfId="184" applyFont="1" applyFill="1" applyBorder="1" applyAlignment="1" applyProtection="1">
      <alignment horizontal="right" vertical="center"/>
    </xf>
    <xf numFmtId="167" fontId="7" fillId="32" borderId="75" xfId="174" applyNumberFormat="1" applyFont="1" applyFill="1" applyBorder="1" applyAlignment="1" applyProtection="1">
      <alignment horizontal="right" vertical="center"/>
    </xf>
    <xf numFmtId="0" fontId="7" fillId="32" borderId="25" xfId="184" applyFont="1" applyFill="1" applyBorder="1" applyAlignment="1" applyProtection="1">
      <alignment horizontal="center" vertical="center" wrapText="1"/>
    </xf>
    <xf numFmtId="167" fontId="7" fillId="32" borderId="39" xfId="192" applyNumberFormat="1" applyFont="1" applyFill="1" applyBorder="1" applyAlignment="1" applyProtection="1">
      <alignment horizontal="right" vertical="center"/>
    </xf>
    <xf numFmtId="0" fontId="3" fillId="32" borderId="0" xfId="171" applyFill="1" applyBorder="1" applyAlignment="1" applyProtection="1">
      <alignment vertical="center"/>
    </xf>
    <xf numFmtId="0" fontId="6" fillId="32" borderId="0" xfId="0" applyFont="1" applyFill="1" applyBorder="1" applyAlignment="1" applyProtection="1">
      <alignment vertical="center" wrapText="1"/>
    </xf>
    <xf numFmtId="0" fontId="7" fillId="32" borderId="0" xfId="171" applyFont="1" applyFill="1" applyBorder="1" applyAlignment="1" applyProtection="1">
      <alignment horizontal="center" vertical="center" wrapText="1"/>
    </xf>
    <xf numFmtId="0" fontId="4" fillId="32" borderId="0" xfId="171" applyFont="1" applyFill="1" applyBorder="1" applyAlignment="1" applyProtection="1">
      <alignment horizontal="center" vertical="center"/>
    </xf>
    <xf numFmtId="167" fontId="7" fillId="32" borderId="0" xfId="192" applyNumberFormat="1" applyFont="1" applyFill="1" applyBorder="1" applyAlignment="1" applyProtection="1">
      <alignment horizontal="right" vertical="center"/>
    </xf>
    <xf numFmtId="167" fontId="6" fillId="32" borderId="0" xfId="171" applyNumberFormat="1" applyFont="1" applyFill="1" applyBorder="1" applyAlignment="1" applyProtection="1">
      <alignment vertical="center"/>
    </xf>
    <xf numFmtId="10" fontId="3" fillId="32" borderId="0" xfId="192" applyNumberFormat="1" applyFont="1" applyFill="1" applyBorder="1" applyAlignment="1" applyProtection="1">
      <alignment vertical="center"/>
    </xf>
    <xf numFmtId="0" fontId="7" fillId="32" borderId="117" xfId="171" applyFont="1" applyFill="1" applyBorder="1" applyAlignment="1" applyProtection="1">
      <alignment horizontal="center" vertical="center" wrapText="1"/>
    </xf>
    <xf numFmtId="0" fontId="4" fillId="32" borderId="75" xfId="171" applyFont="1" applyFill="1" applyBorder="1" applyAlignment="1" applyProtection="1">
      <alignment horizontal="center" vertical="center"/>
    </xf>
    <xf numFmtId="10" fontId="7" fillId="29" borderId="43" xfId="121" applyNumberFormat="1" applyFont="1" applyFill="1" applyBorder="1" applyAlignment="1" applyProtection="1">
      <alignment vertical="center"/>
    </xf>
    <xf numFmtId="10" fontId="3" fillId="32" borderId="56" xfId="121" applyNumberFormat="1" applyFont="1" applyFill="1" applyBorder="1" applyAlignment="1" applyProtection="1">
      <alignment horizontal="right" vertical="center"/>
    </xf>
    <xf numFmtId="10" fontId="6" fillId="32" borderId="118" xfId="121" applyNumberFormat="1" applyFont="1" applyFill="1" applyBorder="1" applyAlignment="1" applyProtection="1">
      <alignment horizontal="right" vertical="center"/>
    </xf>
    <xf numFmtId="10" fontId="3" fillId="32" borderId="118" xfId="121" applyNumberFormat="1" applyFont="1" applyFill="1" applyBorder="1" applyAlignment="1" applyProtection="1">
      <alignment horizontal="right" vertical="center"/>
    </xf>
    <xf numFmtId="10" fontId="3" fillId="29" borderId="118" xfId="121" applyNumberFormat="1" applyFont="1" applyFill="1" applyBorder="1" applyAlignment="1" applyProtection="1">
      <alignment horizontal="right" vertical="center"/>
    </xf>
    <xf numFmtId="10" fontId="6" fillId="32" borderId="40" xfId="121" applyNumberFormat="1" applyFont="1" applyFill="1" applyBorder="1" applyAlignment="1" applyProtection="1">
      <alignment horizontal="right" vertical="center"/>
    </xf>
    <xf numFmtId="0" fontId="6" fillId="32" borderId="0" xfId="0" applyFont="1" applyFill="1" applyBorder="1" applyAlignment="1" applyProtection="1">
      <alignment horizontal="left" vertical="center" wrapText="1"/>
    </xf>
    <xf numFmtId="0" fontId="7" fillId="32" borderId="50" xfId="171" applyFont="1" applyFill="1" applyBorder="1" applyAlignment="1" applyProtection="1">
      <alignment horizontal="center" vertical="center" wrapText="1"/>
    </xf>
    <xf numFmtId="0" fontId="4" fillId="32" borderId="39" xfId="171" applyFont="1" applyFill="1" applyBorder="1" applyAlignment="1" applyProtection="1">
      <alignment horizontal="center" vertical="center"/>
    </xf>
    <xf numFmtId="10" fontId="3" fillId="29" borderId="56" xfId="121" applyNumberFormat="1" applyFont="1" applyFill="1" applyBorder="1" applyAlignment="1" applyProtection="1">
      <alignment horizontal="right" vertical="center"/>
    </xf>
    <xf numFmtId="0" fontId="7" fillId="32" borderId="60" xfId="171" applyFont="1" applyFill="1" applyBorder="1" applyAlignment="1" applyProtection="1">
      <alignment horizontal="center" vertical="center"/>
    </xf>
    <xf numFmtId="0" fontId="3" fillId="32" borderId="0" xfId="171" applyFont="1" applyFill="1" applyAlignment="1" applyProtection="1">
      <alignment horizontal="center" vertical="center"/>
    </xf>
    <xf numFmtId="0" fontId="70" fillId="32" borderId="11" xfId="0" applyFont="1" applyFill="1" applyBorder="1" applyAlignment="1" applyProtection="1">
      <alignment horizontal="center" vertical="center"/>
    </xf>
    <xf numFmtId="0" fontId="7" fillId="32" borderId="14" xfId="0" applyFont="1" applyFill="1" applyBorder="1" applyAlignment="1">
      <alignment vertical="center"/>
    </xf>
    <xf numFmtId="0" fontId="4" fillId="32" borderId="0" xfId="0" applyFont="1" applyFill="1" applyBorder="1" applyAlignment="1">
      <alignment vertical="center"/>
    </xf>
    <xf numFmtId="172" fontId="6" fillId="31" borderId="11" xfId="121" applyNumberFormat="1" applyFont="1" applyFill="1" applyBorder="1" applyAlignment="1" applyProtection="1">
      <alignment horizontal="right" vertical="center"/>
      <protection locked="0"/>
    </xf>
    <xf numFmtId="0" fontId="7" fillId="35" borderId="82" xfId="30" applyFont="1" applyFill="1" applyBorder="1" applyAlignment="1" applyProtection="1">
      <alignment horizontal="center" vertical="center"/>
    </xf>
    <xf numFmtId="0" fontId="3" fillId="35" borderId="11" xfId="30" applyFill="1" applyBorder="1" applyAlignment="1" applyProtection="1">
      <alignment horizontal="center" vertical="center"/>
    </xf>
    <xf numFmtId="4" fontId="3" fillId="35" borderId="32" xfId="30" applyNumberFormat="1" applyFont="1" applyFill="1" applyBorder="1" applyAlignment="1" applyProtection="1">
      <alignment vertical="center"/>
    </xf>
    <xf numFmtId="4" fontId="3" fillId="35" borderId="35" xfId="30" applyNumberFormat="1" applyFont="1" applyFill="1" applyBorder="1" applyAlignment="1" applyProtection="1">
      <alignment vertical="center"/>
    </xf>
    <xf numFmtId="4" fontId="3" fillId="35" borderId="0" xfId="30" applyNumberFormat="1" applyFont="1" applyFill="1" applyBorder="1" applyAlignment="1" applyProtection="1">
      <alignment vertical="center"/>
    </xf>
    <xf numFmtId="4" fontId="3" fillId="35" borderId="36" xfId="30" applyNumberFormat="1" applyFont="1" applyFill="1" applyBorder="1" applyAlignment="1" applyProtection="1">
      <alignment vertical="center"/>
    </xf>
    <xf numFmtId="4" fontId="3" fillId="37" borderId="25" xfId="192" applyNumberFormat="1" applyFont="1" applyFill="1" applyBorder="1" applyAlignment="1" applyProtection="1">
      <alignment vertical="center"/>
    </xf>
    <xf numFmtId="4" fontId="3" fillId="35" borderId="0" xfId="192" applyNumberFormat="1" applyFont="1" applyFill="1" applyBorder="1" applyAlignment="1" applyProtection="1">
      <alignment vertical="center"/>
    </xf>
    <xf numFmtId="4" fontId="60" fillId="35" borderId="37" xfId="30" applyNumberFormat="1" applyFont="1" applyFill="1" applyBorder="1" applyAlignment="1" applyProtection="1">
      <alignment vertical="center"/>
    </xf>
    <xf numFmtId="4" fontId="60" fillId="35" borderId="11" xfId="30" applyNumberFormat="1" applyFont="1" applyFill="1" applyBorder="1" applyAlignment="1" applyProtection="1">
      <alignment vertical="center"/>
    </xf>
    <xf numFmtId="4" fontId="62" fillId="35" borderId="0" xfId="30" applyNumberFormat="1" applyFont="1" applyFill="1" applyAlignment="1" applyProtection="1">
      <alignment horizontal="right" vertical="center"/>
    </xf>
    <xf numFmtId="4" fontId="3" fillId="35" borderId="0" xfId="30" applyNumberFormat="1" applyFill="1" applyBorder="1" applyAlignment="1" applyProtection="1">
      <alignment vertical="center"/>
    </xf>
    <xf numFmtId="4" fontId="3" fillId="35" borderId="35" xfId="30" applyNumberFormat="1" applyFill="1" applyBorder="1" applyAlignment="1" applyProtection="1">
      <alignment vertical="center"/>
    </xf>
    <xf numFmtId="4" fontId="3" fillId="35" borderId="36" xfId="30" applyNumberFormat="1" applyFill="1" applyBorder="1" applyAlignment="1" applyProtection="1">
      <alignment vertical="center"/>
    </xf>
    <xf numFmtId="4" fontId="60" fillId="30" borderId="11" xfId="30" applyNumberFormat="1" applyFont="1" applyFill="1" applyBorder="1" applyAlignment="1" applyProtection="1">
      <alignment vertical="center"/>
    </xf>
    <xf numFmtId="4" fontId="59" fillId="35" borderId="0" xfId="30" applyNumberFormat="1" applyFont="1" applyFill="1" applyBorder="1" applyAlignment="1" applyProtection="1">
      <alignment vertical="center"/>
    </xf>
    <xf numFmtId="4" fontId="59" fillId="35" borderId="36" xfId="30" applyNumberFormat="1" applyFont="1" applyFill="1" applyBorder="1" applyAlignment="1" applyProtection="1">
      <alignment vertical="center"/>
    </xf>
    <xf numFmtId="1" fontId="3" fillId="30" borderId="11" xfId="30" applyNumberFormat="1" applyFill="1" applyBorder="1" applyAlignment="1" applyProtection="1">
      <alignment horizontal="center" vertical="center"/>
    </xf>
    <xf numFmtId="4" fontId="3" fillId="35" borderId="0" xfId="30" applyNumberFormat="1" applyFill="1" applyAlignment="1" applyProtection="1">
      <alignment vertical="center"/>
    </xf>
    <xf numFmtId="4" fontId="59" fillId="35" borderId="11" xfId="30" applyNumberFormat="1" applyFont="1" applyFill="1" applyBorder="1" applyAlignment="1" applyProtection="1">
      <alignment vertical="center"/>
    </xf>
    <xf numFmtId="0" fontId="3" fillId="42" borderId="26" xfId="30" applyFill="1" applyBorder="1" applyAlignment="1" applyProtection="1">
      <alignment horizontal="center" vertical="center"/>
    </xf>
    <xf numFmtId="1" fontId="3" fillId="35" borderId="11" xfId="30" applyNumberFormat="1" applyFill="1" applyBorder="1" applyAlignment="1" applyProtection="1">
      <alignment horizontal="center" vertical="center"/>
    </xf>
    <xf numFmtId="0" fontId="3" fillId="35" borderId="0" xfId="30" applyFill="1" applyAlignment="1" applyProtection="1">
      <alignment vertical="center"/>
    </xf>
    <xf numFmtId="4" fontId="3" fillId="35" borderId="11" xfId="30" applyNumberFormat="1" applyFill="1" applyBorder="1" applyAlignment="1" applyProtection="1">
      <alignment vertical="center"/>
    </xf>
    <xf numFmtId="4" fontId="59" fillId="35" borderId="83" xfId="30" applyNumberFormat="1" applyFont="1" applyFill="1" applyBorder="1" applyAlignment="1" applyProtection="1">
      <alignment vertical="center"/>
    </xf>
    <xf numFmtId="4" fontId="59" fillId="35" borderId="31" xfId="30" applyNumberFormat="1" applyFont="1" applyFill="1" applyBorder="1" applyAlignment="1" applyProtection="1">
      <alignment vertical="center"/>
    </xf>
    <xf numFmtId="4" fontId="59" fillId="35" borderId="30" xfId="30" applyNumberFormat="1" applyFont="1" applyFill="1" applyBorder="1" applyAlignment="1" applyProtection="1">
      <alignment vertical="center"/>
    </xf>
    <xf numFmtId="4" fontId="3" fillId="35" borderId="28" xfId="192" applyNumberFormat="1" applyFont="1" applyFill="1" applyBorder="1" applyAlignment="1" applyProtection="1">
      <alignment vertical="center"/>
    </xf>
    <xf numFmtId="4" fontId="59" fillId="35" borderId="79" xfId="30" applyNumberFormat="1" applyFont="1" applyFill="1" applyBorder="1" applyAlignment="1" applyProtection="1">
      <alignment vertical="center"/>
    </xf>
    <xf numFmtId="0" fontId="7" fillId="35" borderId="11" xfId="0" applyFont="1" applyFill="1" applyBorder="1" applyAlignment="1" applyProtection="1">
      <alignment horizontal="center" vertical="center" wrapText="1"/>
    </xf>
    <xf numFmtId="0" fontId="0" fillId="35" borderId="0" xfId="0" applyFill="1" applyBorder="1" applyAlignment="1" applyProtection="1">
      <alignment vertical="center"/>
    </xf>
    <xf numFmtId="4" fontId="0" fillId="35" borderId="0" xfId="0" applyNumberFormat="1" applyFill="1" applyAlignment="1" applyProtection="1">
      <alignment vertical="center"/>
    </xf>
    <xf numFmtId="4" fontId="19" fillId="43" borderId="11" xfId="0" applyNumberFormat="1" applyFont="1" applyFill="1" applyBorder="1" applyAlignment="1" applyProtection="1">
      <alignment vertical="center"/>
    </xf>
    <xf numFmtId="4" fontId="6" fillId="35" borderId="0" xfId="0" applyNumberFormat="1" applyFont="1" applyFill="1" applyAlignment="1" applyProtection="1">
      <alignment vertical="center"/>
    </xf>
    <xf numFmtId="0" fontId="0" fillId="35" borderId="0" xfId="0" applyFill="1" applyAlignment="1" applyProtection="1">
      <alignment vertical="center"/>
    </xf>
    <xf numFmtId="4" fontId="7" fillId="43" borderId="11" xfId="0" applyNumberFormat="1" applyFont="1" applyFill="1" applyBorder="1" applyAlignment="1" applyProtection="1">
      <alignment horizontal="center" vertical="center"/>
    </xf>
    <xf numFmtId="0" fontId="70" fillId="35" borderId="0" xfId="0" applyFont="1" applyFill="1" applyBorder="1" applyAlignment="1" applyProtection="1">
      <alignment vertical="center"/>
    </xf>
    <xf numFmtId="0" fontId="64" fillId="35" borderId="0" xfId="0" applyFont="1" applyFill="1" applyAlignment="1" applyProtection="1">
      <alignment vertical="center"/>
    </xf>
    <xf numFmtId="0" fontId="6" fillId="43" borderId="11" xfId="0" applyFont="1" applyFill="1" applyBorder="1" applyAlignment="1" applyProtection="1">
      <alignment vertical="center"/>
    </xf>
    <xf numFmtId="0" fontId="7" fillId="35" borderId="0" xfId="0" applyFont="1" applyFill="1" applyAlignment="1" applyProtection="1">
      <alignment vertical="center"/>
    </xf>
    <xf numFmtId="0" fontId="70" fillId="35" borderId="11" xfId="0" applyFont="1" applyFill="1" applyBorder="1" applyAlignment="1" applyProtection="1">
      <alignment vertical="center"/>
    </xf>
    <xf numFmtId="4" fontId="7" fillId="35" borderId="11" xfId="0" applyNumberFormat="1" applyFont="1" applyFill="1" applyBorder="1" applyAlignment="1" applyProtection="1">
      <alignment vertical="center"/>
    </xf>
    <xf numFmtId="0" fontId="7" fillId="35" borderId="25" xfId="30" applyFont="1" applyFill="1" applyBorder="1" applyAlignment="1" applyProtection="1">
      <alignment horizontal="center" vertical="center"/>
    </xf>
    <xf numFmtId="4" fontId="3" fillId="41" borderId="11" xfId="192" applyNumberFormat="1" applyFont="1" applyFill="1" applyBorder="1" applyAlignment="1" applyProtection="1">
      <alignment vertical="center"/>
    </xf>
    <xf numFmtId="4" fontId="3" fillId="35" borderId="31" xfId="192" applyNumberFormat="1" applyFont="1" applyFill="1" applyBorder="1" applyAlignment="1" applyProtection="1">
      <alignment vertical="center"/>
    </xf>
    <xf numFmtId="1" fontId="3" fillId="30" borderId="26" xfId="30" applyNumberFormat="1" applyFill="1" applyBorder="1" applyAlignment="1" applyProtection="1">
      <alignment horizontal="center" vertical="center"/>
    </xf>
    <xf numFmtId="4" fontId="63" fillId="35" borderId="11" xfId="30" applyNumberFormat="1" applyFont="1" applyFill="1" applyBorder="1" applyAlignment="1" applyProtection="1">
      <alignment vertical="center"/>
    </xf>
    <xf numFmtId="0" fontId="0" fillId="35" borderId="0" xfId="0" applyFill="1" applyAlignment="1" applyProtection="1">
      <alignment horizontal="right" vertical="center"/>
    </xf>
    <xf numFmtId="4" fontId="7" fillId="35" borderId="11" xfId="0" applyNumberFormat="1" applyFont="1" applyFill="1" applyBorder="1" applyAlignment="1" applyProtection="1">
      <alignment horizontal="right" vertical="center"/>
    </xf>
    <xf numFmtId="10" fontId="3" fillId="35" borderId="11" xfId="121" applyNumberFormat="1" applyFont="1" applyFill="1" applyBorder="1" applyAlignment="1" applyProtection="1">
      <alignment vertical="center"/>
    </xf>
    <xf numFmtId="168" fontId="3" fillId="37" borderId="11" xfId="192" applyNumberFormat="1" applyFont="1" applyFill="1" applyBorder="1" applyAlignment="1" applyProtection="1">
      <alignment vertical="center"/>
    </xf>
    <xf numFmtId="173" fontId="3" fillId="35" borderId="11" xfId="121" applyNumberFormat="1" applyFont="1" applyFill="1" applyBorder="1" applyAlignment="1" applyProtection="1">
      <alignment vertical="center"/>
    </xf>
    <xf numFmtId="4" fontId="3" fillId="35" borderId="36" xfId="192" applyNumberFormat="1" applyFont="1" applyFill="1" applyBorder="1" applyAlignment="1" applyProtection="1">
      <alignment vertical="center"/>
    </xf>
    <xf numFmtId="4" fontId="3" fillId="37" borderId="75" xfId="192" applyNumberFormat="1" applyFont="1" applyFill="1" applyBorder="1" applyAlignment="1" applyProtection="1">
      <alignment vertical="center"/>
    </xf>
    <xf numFmtId="4" fontId="3" fillId="37" borderId="60" xfId="192" applyNumberFormat="1" applyFont="1" applyFill="1" applyBorder="1" applyAlignment="1" applyProtection="1">
      <alignment vertical="center"/>
    </xf>
    <xf numFmtId="4" fontId="60" fillId="35" borderId="93" xfId="30" applyNumberFormat="1" applyFont="1" applyFill="1" applyBorder="1" applyAlignment="1" applyProtection="1">
      <alignment vertical="center"/>
    </xf>
    <xf numFmtId="4" fontId="3" fillId="35" borderId="79" xfId="30" applyNumberFormat="1" applyFill="1" applyBorder="1" applyAlignment="1" applyProtection="1">
      <alignment vertical="center"/>
    </xf>
    <xf numFmtId="4" fontId="61" fillId="30" borderId="11" xfId="30" applyNumberFormat="1" applyFont="1" applyFill="1" applyBorder="1" applyAlignment="1" applyProtection="1">
      <alignment vertical="center"/>
    </xf>
    <xf numFmtId="4" fontId="3" fillId="35" borderId="83" xfId="192" applyNumberFormat="1" applyFont="1" applyFill="1" applyBorder="1" applyAlignment="1" applyProtection="1">
      <alignment vertical="center"/>
    </xf>
    <xf numFmtId="4" fontId="3" fillId="35" borderId="30" xfId="192" applyNumberFormat="1" applyFont="1" applyFill="1" applyBorder="1" applyAlignment="1" applyProtection="1">
      <alignment vertical="center"/>
    </xf>
    <xf numFmtId="1" fontId="3" fillId="30" borderId="37" xfId="30" applyNumberFormat="1" applyFill="1" applyBorder="1" applyAlignment="1" applyProtection="1">
      <alignment horizontal="center" vertical="center"/>
    </xf>
    <xf numFmtId="4" fontId="3" fillId="35" borderId="83" xfId="30" applyNumberFormat="1" applyFont="1" applyFill="1" applyBorder="1" applyAlignment="1" applyProtection="1">
      <alignment vertical="center"/>
    </xf>
    <xf numFmtId="4" fontId="6" fillId="35" borderId="0" xfId="0" applyNumberFormat="1" applyFont="1" applyFill="1" applyBorder="1" applyAlignment="1" applyProtection="1">
      <alignment vertical="center"/>
    </xf>
    <xf numFmtId="4" fontId="6" fillId="42" borderId="0" xfId="0" applyNumberFormat="1" applyFont="1" applyFill="1" applyAlignment="1" applyProtection="1">
      <alignment vertical="center"/>
    </xf>
    <xf numFmtId="4" fontId="3" fillId="35" borderId="83" xfId="30" applyNumberFormat="1" applyFill="1" applyBorder="1" applyAlignment="1" applyProtection="1">
      <alignment vertical="center"/>
    </xf>
    <xf numFmtId="4" fontId="3" fillId="35" borderId="31" xfId="30" applyNumberFormat="1" applyFill="1" applyBorder="1" applyAlignment="1" applyProtection="1">
      <alignment vertical="center"/>
    </xf>
    <xf numFmtId="4" fontId="3" fillId="35" borderId="30" xfId="30" applyNumberFormat="1" applyFill="1" applyBorder="1" applyAlignment="1" applyProtection="1">
      <alignment vertical="center"/>
    </xf>
    <xf numFmtId="0" fontId="3" fillId="30" borderId="26" xfId="30" applyFill="1" applyBorder="1" applyAlignment="1" applyProtection="1">
      <alignment horizontal="center" vertical="center"/>
    </xf>
    <xf numFmtId="3" fontId="3" fillId="32" borderId="11" xfId="121" applyNumberFormat="1" applyFont="1" applyFill="1" applyBorder="1" applyAlignment="1" applyProtection="1">
      <alignment vertical="center"/>
    </xf>
    <xf numFmtId="0" fontId="7" fillId="32" borderId="33" xfId="30" applyFont="1" applyFill="1" applyBorder="1" applyAlignment="1" applyProtection="1">
      <alignment horizontal="center" vertical="center"/>
    </xf>
    <xf numFmtId="0" fontId="7" fillId="35" borderId="33" xfId="30" applyFont="1" applyFill="1" applyBorder="1" applyAlignment="1" applyProtection="1">
      <alignment horizontal="center" vertical="center"/>
    </xf>
    <xf numFmtId="4" fontId="3" fillId="37" borderId="28" xfId="192" applyNumberFormat="1" applyFont="1" applyFill="1" applyBorder="1" applyAlignment="1" applyProtection="1">
      <alignment vertical="center"/>
    </xf>
    <xf numFmtId="4" fontId="7" fillId="32" borderId="38" xfId="192" applyNumberFormat="1" applyFont="1" applyFill="1" applyBorder="1" applyAlignment="1" applyProtection="1">
      <alignment horizontal="right" vertical="center"/>
    </xf>
    <xf numFmtId="4" fontId="7" fillId="35" borderId="38" xfId="192" applyNumberFormat="1" applyFont="1" applyFill="1" applyBorder="1" applyAlignment="1" applyProtection="1">
      <alignment horizontal="right" vertical="center"/>
    </xf>
    <xf numFmtId="4" fontId="7" fillId="35" borderId="75" xfId="192" applyNumberFormat="1" applyFont="1" applyFill="1" applyBorder="1" applyAlignment="1" applyProtection="1">
      <alignment horizontal="right" vertical="center"/>
    </xf>
    <xf numFmtId="4" fontId="3" fillId="37" borderId="120" xfId="192" applyNumberFormat="1" applyFont="1" applyFill="1" applyBorder="1" applyAlignment="1" applyProtection="1">
      <alignment vertical="center"/>
    </xf>
    <xf numFmtId="4" fontId="3" fillId="37" borderId="122" xfId="192" applyNumberFormat="1" applyFont="1" applyFill="1" applyBorder="1" applyAlignment="1" applyProtection="1">
      <alignment vertical="center"/>
    </xf>
    <xf numFmtId="4" fontId="3" fillId="37" borderId="125" xfId="192" applyNumberFormat="1" applyFont="1" applyFill="1" applyBorder="1" applyAlignment="1" applyProtection="1">
      <alignment vertical="center"/>
    </xf>
    <xf numFmtId="4" fontId="3" fillId="37" borderId="126" xfId="192" applyNumberFormat="1" applyFont="1" applyFill="1" applyBorder="1" applyAlignment="1" applyProtection="1">
      <alignment vertical="center"/>
    </xf>
    <xf numFmtId="4" fontId="6" fillId="32" borderId="28" xfId="192" applyNumberFormat="1" applyFont="1" applyFill="1" applyBorder="1" applyAlignment="1" applyProtection="1">
      <alignment vertical="center"/>
    </xf>
    <xf numFmtId="4" fontId="6" fillId="35" borderId="28" xfId="192" applyNumberFormat="1" applyFont="1" applyFill="1" applyBorder="1" applyAlignment="1" applyProtection="1">
      <alignment vertical="center"/>
    </xf>
    <xf numFmtId="4" fontId="19" fillId="32" borderId="38" xfId="192" applyNumberFormat="1" applyFont="1" applyFill="1" applyBorder="1" applyAlignment="1" applyProtection="1">
      <alignment horizontal="right" vertical="center"/>
    </xf>
    <xf numFmtId="4" fontId="19" fillId="35" borderId="38" xfId="192" applyNumberFormat="1" applyFont="1" applyFill="1" applyBorder="1" applyAlignment="1" applyProtection="1">
      <alignment horizontal="right" vertical="center"/>
    </xf>
    <xf numFmtId="4" fontId="19" fillId="35" borderId="75" xfId="192" applyNumberFormat="1" applyFont="1" applyFill="1" applyBorder="1" applyAlignment="1" applyProtection="1">
      <alignment horizontal="right" vertical="center"/>
    </xf>
    <xf numFmtId="4" fontId="6" fillId="35" borderId="120" xfId="192" applyNumberFormat="1" applyFont="1" applyFill="1" applyBorder="1" applyAlignment="1" applyProtection="1">
      <alignment vertical="center"/>
    </xf>
    <xf numFmtId="4" fontId="6" fillId="35" borderId="122" xfId="192" applyNumberFormat="1" applyFont="1" applyFill="1" applyBorder="1" applyAlignment="1" applyProtection="1">
      <alignment vertical="center"/>
    </xf>
    <xf numFmtId="4" fontId="6" fillId="32" borderId="125" xfId="192" applyNumberFormat="1" applyFont="1" applyFill="1" applyBorder="1" applyAlignment="1" applyProtection="1">
      <alignment vertical="center"/>
    </xf>
    <xf numFmtId="4" fontId="6" fillId="35" borderId="125" xfId="192" applyNumberFormat="1" applyFont="1" applyFill="1" applyBorder="1" applyAlignment="1" applyProtection="1">
      <alignment vertical="center"/>
    </xf>
    <xf numFmtId="4" fontId="6" fillId="35" borderId="126" xfId="192" applyNumberFormat="1" applyFont="1" applyFill="1" applyBorder="1" applyAlignment="1" applyProtection="1">
      <alignment vertical="center"/>
    </xf>
    <xf numFmtId="4" fontId="3" fillId="32" borderId="28" xfId="192" applyNumberFormat="1" applyFont="1" applyFill="1" applyBorder="1" applyAlignment="1" applyProtection="1">
      <alignment vertical="center"/>
    </xf>
    <xf numFmtId="4" fontId="3" fillId="37" borderId="131" xfId="192" applyNumberFormat="1" applyFont="1" applyFill="1" applyBorder="1" applyAlignment="1" applyProtection="1">
      <alignment vertical="center"/>
    </xf>
    <xf numFmtId="4" fontId="3" fillId="37" borderId="132" xfId="192" applyNumberFormat="1" applyFont="1" applyFill="1" applyBorder="1" applyAlignment="1" applyProtection="1">
      <alignment vertical="center"/>
    </xf>
    <xf numFmtId="4" fontId="3" fillId="32" borderId="125" xfId="192" applyNumberFormat="1" applyFont="1" applyFill="1" applyBorder="1" applyAlignment="1" applyProtection="1">
      <alignment vertical="center"/>
    </xf>
    <xf numFmtId="10" fontId="3" fillId="32" borderId="93" xfId="121" applyNumberFormat="1" applyFont="1" applyFill="1" applyBorder="1" applyAlignment="1" applyProtection="1">
      <alignment vertical="center"/>
    </xf>
    <xf numFmtId="10" fontId="1" fillId="32" borderId="93" xfId="121" applyNumberFormat="1" applyFont="1" applyFill="1" applyBorder="1" applyAlignment="1">
      <alignment vertical="center"/>
    </xf>
    <xf numFmtId="10" fontId="3" fillId="37" borderId="93" xfId="121" applyNumberFormat="1" applyFont="1" applyFill="1" applyBorder="1" applyAlignment="1" applyProtection="1">
      <alignment vertical="center"/>
    </xf>
    <xf numFmtId="10" fontId="3" fillId="37" borderId="129" xfId="121" applyNumberFormat="1" applyFont="1" applyFill="1" applyBorder="1" applyAlignment="1" applyProtection="1">
      <alignment vertical="center"/>
    </xf>
    <xf numFmtId="10" fontId="3" fillId="37" borderId="122" xfId="121" applyNumberFormat="1" applyFont="1" applyFill="1" applyBorder="1" applyAlignment="1" applyProtection="1">
      <alignment vertical="center"/>
    </xf>
    <xf numFmtId="168" fontId="3" fillId="37" borderId="122" xfId="192" applyNumberFormat="1" applyFont="1" applyFill="1" applyBorder="1" applyAlignment="1" applyProtection="1">
      <alignment vertical="center"/>
    </xf>
    <xf numFmtId="10" fontId="3" fillId="35" borderId="122" xfId="121" applyNumberFormat="1" applyFont="1" applyFill="1" applyBorder="1" applyAlignment="1" applyProtection="1">
      <alignment vertical="center"/>
    </xf>
    <xf numFmtId="4" fontId="3" fillId="35" borderId="122" xfId="121" applyNumberFormat="1" applyFont="1" applyFill="1" applyBorder="1" applyAlignment="1" applyProtection="1">
      <alignment vertical="center"/>
    </xf>
    <xf numFmtId="173" fontId="3" fillId="35" borderId="122" xfId="121" applyNumberFormat="1" applyFont="1" applyFill="1" applyBorder="1" applyAlignment="1" applyProtection="1">
      <alignment vertical="center"/>
    </xf>
    <xf numFmtId="4" fontId="3" fillId="35" borderId="125" xfId="192" applyNumberFormat="1" applyFont="1" applyFill="1" applyBorder="1" applyAlignment="1" applyProtection="1">
      <alignment vertical="center"/>
    </xf>
    <xf numFmtId="168" fontId="3" fillId="32" borderId="125" xfId="192" applyNumberFormat="1" applyFont="1" applyFill="1" applyBorder="1" applyAlignment="1" applyProtection="1">
      <alignment vertical="center"/>
    </xf>
    <xf numFmtId="168" fontId="3" fillId="35" borderId="125" xfId="192" applyNumberFormat="1" applyFont="1" applyFill="1" applyBorder="1" applyAlignment="1" applyProtection="1">
      <alignment vertical="center"/>
    </xf>
    <xf numFmtId="168" fontId="3" fillId="35" borderId="126" xfId="192" applyNumberFormat="1" applyFont="1" applyFill="1" applyBorder="1" applyAlignment="1" applyProtection="1">
      <alignment vertical="center"/>
    </xf>
    <xf numFmtId="0" fontId="7" fillId="32" borderId="127" xfId="0" applyFont="1" applyFill="1" applyBorder="1" applyAlignment="1" applyProtection="1">
      <alignment horizontal="center" vertical="center"/>
    </xf>
    <xf numFmtId="0" fontId="7" fillId="32" borderId="128" xfId="0" applyFont="1" applyFill="1" applyBorder="1" applyAlignment="1" applyProtection="1">
      <alignment horizontal="center" vertical="center"/>
    </xf>
    <xf numFmtId="0" fontId="7" fillId="32" borderId="93" xfId="192" applyNumberFormat="1" applyFont="1" applyFill="1" applyBorder="1" applyAlignment="1" applyProtection="1">
      <alignment horizontal="center" vertical="center"/>
    </xf>
    <xf numFmtId="0" fontId="7" fillId="35" borderId="93" xfId="192" applyNumberFormat="1" applyFont="1" applyFill="1" applyBorder="1" applyAlignment="1" applyProtection="1">
      <alignment horizontal="center" vertical="center"/>
    </xf>
    <xf numFmtId="0" fontId="7" fillId="35" borderId="129" xfId="192" applyNumberFormat="1" applyFont="1" applyFill="1" applyBorder="1" applyAlignment="1" applyProtection="1">
      <alignment horizontal="center" vertical="center"/>
    </xf>
    <xf numFmtId="4" fontId="6" fillId="35" borderId="122" xfId="192" applyNumberFormat="1" applyFont="1" applyFill="1" applyBorder="1" applyAlignment="1" applyProtection="1">
      <alignment horizontal="right" vertical="center"/>
    </xf>
    <xf numFmtId="4" fontId="6" fillId="32" borderId="125" xfId="192" applyNumberFormat="1" applyFont="1" applyFill="1" applyBorder="1" applyAlignment="1" applyProtection="1">
      <alignment horizontal="right" vertical="center"/>
    </xf>
    <xf numFmtId="4" fontId="6" fillId="35" borderId="125" xfId="192" applyNumberFormat="1" applyFont="1" applyFill="1" applyBorder="1" applyAlignment="1" applyProtection="1">
      <alignment horizontal="right" vertical="center"/>
    </xf>
    <xf numFmtId="4" fontId="6" fillId="35" borderId="126" xfId="192" applyNumberFormat="1" applyFont="1" applyFill="1" applyBorder="1" applyAlignment="1" applyProtection="1">
      <alignment horizontal="right" vertical="center"/>
    </xf>
    <xf numFmtId="4" fontId="6" fillId="32" borderId="28" xfId="192" applyNumberFormat="1" applyFont="1" applyFill="1" applyBorder="1" applyAlignment="1" applyProtection="1">
      <alignment horizontal="right" vertical="center"/>
    </xf>
    <xf numFmtId="4" fontId="6" fillId="35" borderId="28" xfId="192" applyNumberFormat="1" applyFont="1" applyFill="1" applyBorder="1" applyAlignment="1" applyProtection="1">
      <alignment horizontal="right" vertical="center"/>
    </xf>
    <xf numFmtId="4" fontId="6" fillId="35" borderId="120" xfId="192" applyNumberFormat="1" applyFont="1" applyFill="1" applyBorder="1" applyAlignment="1" applyProtection="1">
      <alignment horizontal="right" vertical="center"/>
    </xf>
    <xf numFmtId="4" fontId="7" fillId="32" borderId="125" xfId="192" applyNumberFormat="1" applyFont="1" applyFill="1" applyBorder="1" applyAlignment="1" applyProtection="1">
      <alignment horizontal="right" vertical="center"/>
    </xf>
    <xf numFmtId="4" fontId="7" fillId="32" borderId="125" xfId="192" applyNumberFormat="1" applyFont="1" applyFill="1" applyBorder="1" applyAlignment="1" applyProtection="1">
      <alignment vertical="center"/>
    </xf>
    <xf numFmtId="4" fontId="7" fillId="35" borderId="125" xfId="192" applyNumberFormat="1" applyFont="1" applyFill="1" applyBorder="1" applyAlignment="1" applyProtection="1">
      <alignment horizontal="right" vertical="center"/>
    </xf>
    <xf numFmtId="4" fontId="7" fillId="35" borderId="126" xfId="192" applyNumberFormat="1" applyFont="1" applyFill="1" applyBorder="1" applyAlignment="1" applyProtection="1">
      <alignment horizontal="right" vertical="center"/>
    </xf>
    <xf numFmtId="0" fontId="7" fillId="32" borderId="38" xfId="30" applyFont="1" applyFill="1" applyBorder="1" applyAlignment="1" applyProtection="1">
      <alignment horizontal="center" vertical="center"/>
    </xf>
    <xf numFmtId="0" fontId="7" fillId="35" borderId="38" xfId="30" applyFont="1" applyFill="1" applyBorder="1" applyAlignment="1" applyProtection="1">
      <alignment horizontal="center" vertical="center"/>
    </xf>
    <xf numFmtId="0" fontId="7" fillId="35" borderId="75" xfId="30" applyFont="1" applyFill="1" applyBorder="1" applyAlignment="1" applyProtection="1">
      <alignment horizontal="center" vertical="center"/>
    </xf>
    <xf numFmtId="172" fontId="3" fillId="32" borderId="11" xfId="121" applyNumberFormat="1" applyFont="1" applyFill="1" applyBorder="1" applyAlignment="1" applyProtection="1">
      <alignment vertical="center"/>
    </xf>
    <xf numFmtId="4" fontId="7" fillId="32" borderId="65" xfId="186" applyNumberFormat="1" applyFont="1" applyFill="1" applyBorder="1" applyAlignment="1" applyProtection="1">
      <alignment horizontal="center" vertical="center"/>
    </xf>
    <xf numFmtId="0" fontId="3" fillId="32" borderId="17" xfId="186" applyNumberFormat="1" applyFont="1" applyFill="1" applyBorder="1" applyAlignment="1" applyProtection="1">
      <alignment horizontal="center"/>
    </xf>
    <xf numFmtId="0" fontId="7" fillId="32" borderId="25" xfId="0" applyFont="1" applyFill="1" applyBorder="1" applyAlignment="1">
      <alignment horizontal="center" vertical="center" wrapText="1"/>
    </xf>
    <xf numFmtId="165" fontId="7" fillId="32" borderId="63" xfId="192" applyFont="1" applyFill="1" applyBorder="1" applyAlignment="1">
      <alignment horizontal="center" vertical="center"/>
    </xf>
    <xf numFmtId="165" fontId="7" fillId="32" borderId="120" xfId="192" applyFont="1" applyFill="1" applyBorder="1" applyAlignment="1">
      <alignment horizontal="center" vertical="center"/>
    </xf>
    <xf numFmtId="0" fontId="7" fillId="32" borderId="133" xfId="0" applyFont="1" applyFill="1" applyBorder="1" applyAlignment="1">
      <alignment horizontal="center" vertical="center"/>
    </xf>
    <xf numFmtId="0" fontId="7" fillId="32" borderId="126" xfId="0" applyFont="1" applyFill="1" applyBorder="1" applyAlignment="1">
      <alignment horizontal="center" vertical="center"/>
    </xf>
    <xf numFmtId="167" fontId="19" fillId="32" borderId="134" xfId="0" applyNumberFormat="1" applyFont="1" applyFill="1" applyBorder="1" applyAlignment="1" applyProtection="1">
      <alignment vertical="center"/>
    </xf>
    <xf numFmtId="167" fontId="19" fillId="32" borderId="122" xfId="0" applyNumberFormat="1" applyFont="1" applyFill="1" applyBorder="1" applyAlignment="1" applyProtection="1">
      <alignment vertical="center"/>
    </xf>
    <xf numFmtId="167" fontId="0" fillId="32" borderId="134" xfId="0" applyNumberFormat="1" applyFont="1" applyFill="1" applyBorder="1" applyAlignment="1" applyProtection="1">
      <alignment vertical="center"/>
    </xf>
    <xf numFmtId="167" fontId="0" fillId="32" borderId="122" xfId="0" applyNumberFormat="1" applyFont="1" applyFill="1" applyBorder="1" applyAlignment="1" applyProtection="1">
      <alignment vertical="center"/>
    </xf>
    <xf numFmtId="167" fontId="7" fillId="0" borderId="134" xfId="186" applyNumberFormat="1" applyFont="1" applyBorder="1" applyAlignment="1" applyProtection="1">
      <alignment horizontal="right" vertical="center"/>
    </xf>
    <xf numFmtId="167" fontId="7" fillId="0" borderId="122" xfId="186" applyNumberFormat="1" applyFont="1" applyBorder="1" applyAlignment="1" applyProtection="1">
      <alignment horizontal="right" vertical="center"/>
    </xf>
    <xf numFmtId="167" fontId="7" fillId="0" borderId="133" xfId="186" applyNumberFormat="1" applyFont="1" applyBorder="1" applyAlignment="1" applyProtection="1">
      <alignment horizontal="right" vertical="center"/>
    </xf>
    <xf numFmtId="167" fontId="7" fillId="0" borderId="126" xfId="186" applyNumberFormat="1" applyFont="1" applyBorder="1" applyAlignment="1" applyProtection="1">
      <alignment horizontal="right" vertical="center"/>
    </xf>
    <xf numFmtId="167" fontId="19" fillId="32" borderId="135" xfId="0" applyNumberFormat="1" applyFont="1" applyFill="1" applyBorder="1" applyAlignment="1" applyProtection="1">
      <alignment vertical="center"/>
    </xf>
    <xf numFmtId="167" fontId="0" fillId="32" borderId="135" xfId="0" applyNumberFormat="1" applyFont="1" applyFill="1" applyBorder="1" applyAlignment="1" applyProtection="1">
      <alignment vertical="center"/>
    </xf>
    <xf numFmtId="167" fontId="7" fillId="0" borderId="135" xfId="186" applyNumberFormat="1" applyFont="1" applyBorder="1" applyAlignment="1" applyProtection="1">
      <alignment horizontal="right" vertical="center"/>
    </xf>
    <xf numFmtId="167" fontId="7" fillId="0" borderId="136" xfId="186" applyNumberFormat="1" applyFont="1" applyBorder="1" applyAlignment="1" applyProtection="1">
      <alignment horizontal="right" vertical="center"/>
    </xf>
    <xf numFmtId="0" fontId="7" fillId="32" borderId="137" xfId="0" applyFont="1" applyFill="1" applyBorder="1" applyAlignment="1" applyProtection="1">
      <alignment horizontal="right" vertical="center"/>
    </xf>
    <xf numFmtId="0" fontId="19" fillId="32" borderId="135" xfId="0" applyFont="1" applyFill="1" applyBorder="1" applyAlignment="1" applyProtection="1">
      <alignment vertical="center" wrapText="1"/>
    </xf>
    <xf numFmtId="4" fontId="19" fillId="0" borderId="135" xfId="186" applyNumberFormat="1" applyFont="1" applyBorder="1" applyAlignment="1" applyProtection="1">
      <alignment horizontal="left" vertical="center" wrapText="1"/>
    </xf>
    <xf numFmtId="4" fontId="19" fillId="32" borderId="135" xfId="186" applyNumberFormat="1" applyFont="1" applyFill="1" applyBorder="1" applyAlignment="1" applyProtection="1">
      <alignment horizontal="left" vertical="center" wrapText="1"/>
    </xf>
    <xf numFmtId="4" fontId="3" fillId="0" borderId="135" xfId="186" applyNumberFormat="1" applyFont="1" applyBorder="1" applyAlignment="1" applyProtection="1">
      <alignment horizontal="left" vertical="center" wrapText="1"/>
    </xf>
    <xf numFmtId="4" fontId="7" fillId="0" borderId="135" xfId="186" applyNumberFormat="1" applyFont="1" applyBorder="1" applyAlignment="1" applyProtection="1">
      <alignment horizontal="left" vertical="center" wrapText="1"/>
    </xf>
    <xf numFmtId="4" fontId="7" fillId="0" borderId="136" xfId="186" applyNumberFormat="1" applyFont="1" applyBorder="1" applyAlignment="1" applyProtection="1">
      <alignment horizontal="left" vertical="center" wrapText="1"/>
    </xf>
    <xf numFmtId="0" fontId="0" fillId="32" borderId="0" xfId="0" applyFill="1" applyAlignment="1">
      <alignment vertical="center" wrapText="1"/>
    </xf>
    <xf numFmtId="0" fontId="19" fillId="39" borderId="138" xfId="0" applyFont="1" applyFill="1" applyBorder="1" applyAlignment="1">
      <alignment vertical="center" wrapText="1"/>
    </xf>
    <xf numFmtId="0" fontId="0" fillId="39" borderId="139" xfId="0" applyFill="1" applyBorder="1" applyAlignment="1">
      <alignment horizontal="center" vertical="center"/>
    </xf>
    <xf numFmtId="0" fontId="0" fillId="39" borderId="139" xfId="0" applyFill="1" applyBorder="1" applyAlignment="1">
      <alignment vertical="center"/>
    </xf>
    <xf numFmtId="0" fontId="0" fillId="39" borderId="140" xfId="0" applyFill="1" applyBorder="1" applyAlignment="1">
      <alignment horizontal="center" vertical="center"/>
    </xf>
    <xf numFmtId="167" fontId="3" fillId="35" borderId="11" xfId="192" applyNumberFormat="1" applyFont="1" applyFill="1" applyBorder="1" applyAlignment="1" applyProtection="1">
      <alignment vertical="center"/>
    </xf>
    <xf numFmtId="0" fontId="6" fillId="0" borderId="11" xfId="0" applyFont="1" applyBorder="1" applyAlignment="1">
      <alignment horizontal="left" vertical="center" wrapText="1" indent="2"/>
    </xf>
    <xf numFmtId="3" fontId="3" fillId="31" borderId="11" xfId="192" applyNumberFormat="1" applyFill="1" applyBorder="1" applyAlignment="1" applyProtection="1">
      <alignment vertical="center"/>
      <protection locked="0"/>
    </xf>
    <xf numFmtId="0" fontId="6" fillId="32" borderId="11" xfId="192" applyNumberFormat="1" applyFont="1" applyFill="1" applyBorder="1" applyAlignment="1">
      <alignment horizontal="center" vertical="center"/>
    </xf>
    <xf numFmtId="167" fontId="3" fillId="31" borderId="17" xfId="192" applyNumberFormat="1" applyFont="1" applyFill="1" applyBorder="1" applyAlignment="1" applyProtection="1">
      <alignment vertical="top"/>
      <protection locked="0"/>
    </xf>
    <xf numFmtId="167" fontId="5" fillId="31" borderId="17" xfId="192" applyNumberFormat="1" applyFont="1" applyFill="1" applyBorder="1" applyAlignment="1" applyProtection="1">
      <alignment vertical="top"/>
      <protection locked="0"/>
    </xf>
    <xf numFmtId="167" fontId="19" fillId="35" borderId="11" xfId="192" applyNumberFormat="1" applyFont="1" applyFill="1" applyBorder="1" applyAlignment="1" applyProtection="1">
      <alignment vertical="center"/>
    </xf>
    <xf numFmtId="167" fontId="6" fillId="35" borderId="11" xfId="0" quotePrefix="1" applyNumberFormat="1" applyFont="1" applyFill="1" applyBorder="1" applyAlignment="1" applyProtection="1">
      <alignment horizontal="right" vertical="center"/>
    </xf>
    <xf numFmtId="0" fontId="6" fillId="35" borderId="11" xfId="0" applyFont="1" applyFill="1" applyBorder="1" applyAlignment="1" applyProtection="1">
      <alignment horizontal="left" vertical="center" wrapText="1"/>
    </xf>
    <xf numFmtId="0" fontId="0" fillId="35" borderId="11" xfId="0" applyFont="1" applyFill="1" applyBorder="1" applyAlignment="1" applyProtection="1">
      <alignment horizontal="center" vertical="center" wrapText="1"/>
    </xf>
    <xf numFmtId="0" fontId="7" fillId="32" borderId="26" xfId="0" applyFont="1" applyFill="1" applyBorder="1" applyAlignment="1" applyProtection="1">
      <alignment horizontal="center" vertical="center" wrapText="1"/>
    </xf>
    <xf numFmtId="0" fontId="6" fillId="35" borderId="37" xfId="0" applyFont="1" applyFill="1" applyBorder="1" applyAlignment="1" applyProtection="1">
      <alignment horizontal="center" vertical="center" wrapText="1"/>
    </xf>
    <xf numFmtId="0" fontId="6" fillId="35" borderId="29" xfId="0" applyFont="1" applyFill="1" applyBorder="1" applyAlignment="1" applyProtection="1">
      <alignment horizontal="center" vertical="center" wrapText="1"/>
    </xf>
    <xf numFmtId="0" fontId="6" fillId="35" borderId="26" xfId="0" applyFont="1" applyFill="1" applyBorder="1" applyAlignment="1" applyProtection="1">
      <alignment horizontal="center" vertical="center" wrapText="1"/>
    </xf>
    <xf numFmtId="0" fontId="7" fillId="32" borderId="11" xfId="0" applyFont="1" applyFill="1" applyBorder="1" applyAlignment="1" applyProtection="1">
      <alignment horizontal="left" vertical="center" wrapText="1"/>
    </xf>
    <xf numFmtId="0" fontId="0" fillId="32" borderId="11" xfId="0" applyFill="1" applyBorder="1" applyAlignment="1" applyProtection="1">
      <alignment horizontal="left" vertical="center" wrapText="1"/>
    </xf>
    <xf numFmtId="0" fontId="7" fillId="32" borderId="35" xfId="0" applyFont="1" applyFill="1" applyBorder="1" applyAlignment="1" applyProtection="1">
      <alignment horizontal="center" vertical="center" wrapText="1"/>
    </xf>
    <xf numFmtId="0" fontId="6" fillId="32" borderId="0" xfId="0" applyFont="1" applyFill="1" applyAlignment="1" applyProtection="1">
      <alignment horizontal="left" vertical="center" wrapText="1"/>
    </xf>
    <xf numFmtId="0" fontId="7" fillId="31" borderId="25" xfId="0" applyFont="1" applyFill="1" applyBorder="1" applyAlignment="1" applyProtection="1">
      <protection locked="0"/>
    </xf>
    <xf numFmtId="10" fontId="3" fillId="31" borderId="11" xfId="121" applyNumberFormat="1" applyFont="1" applyFill="1" applyBorder="1" applyAlignment="1" applyProtection="1">
      <alignment vertical="center"/>
      <protection locked="0"/>
    </xf>
    <xf numFmtId="10" fontId="6" fillId="45" borderId="11" xfId="121" applyNumberFormat="1" applyFont="1" applyFill="1" applyBorder="1" applyAlignment="1" applyProtection="1">
      <alignment vertical="center"/>
      <protection locked="0"/>
    </xf>
    <xf numFmtId="4" fontId="3" fillId="36" borderId="11" xfId="192" applyNumberFormat="1" applyFont="1" applyFill="1" applyBorder="1" applyAlignment="1" applyProtection="1">
      <alignment vertical="center"/>
      <protection locked="0"/>
    </xf>
    <xf numFmtId="4" fontId="3" fillId="36" borderId="26" xfId="192" applyNumberFormat="1" applyFont="1" applyFill="1" applyBorder="1" applyAlignment="1" applyProtection="1">
      <alignment vertical="center"/>
      <protection locked="0"/>
    </xf>
    <xf numFmtId="4" fontId="3" fillId="41" borderId="26" xfId="192" applyNumberFormat="1" applyFont="1" applyFill="1" applyBorder="1" applyAlignment="1" applyProtection="1">
      <alignment vertical="center"/>
      <protection locked="0"/>
    </xf>
    <xf numFmtId="4" fontId="3" fillId="31" borderId="25" xfId="192" applyNumberFormat="1" applyFont="1" applyFill="1" applyBorder="1" applyAlignment="1" applyProtection="1">
      <alignment vertical="center"/>
      <protection locked="0"/>
    </xf>
    <xf numFmtId="4" fontId="3" fillId="37" borderId="25" xfId="192" applyNumberFormat="1" applyFont="1" applyFill="1" applyBorder="1" applyAlignment="1" applyProtection="1">
      <alignment vertical="center"/>
      <protection locked="0"/>
    </xf>
    <xf numFmtId="4" fontId="7" fillId="32" borderId="11" xfId="192" applyNumberFormat="1" applyFont="1" applyFill="1" applyBorder="1" applyAlignment="1" applyProtection="1">
      <alignment vertical="center"/>
    </xf>
    <xf numFmtId="4" fontId="7" fillId="32" borderId="11" xfId="192" applyNumberFormat="1" applyFont="1" applyFill="1" applyBorder="1" applyAlignment="1" applyProtection="1">
      <alignment horizontal="center" vertical="center"/>
    </xf>
    <xf numFmtId="4" fontId="7" fillId="35" borderId="11" xfId="192" applyNumberFormat="1" applyFont="1" applyFill="1" applyBorder="1" applyAlignment="1" applyProtection="1">
      <alignment horizontal="center" vertical="center"/>
    </xf>
    <xf numFmtId="4" fontId="7" fillId="35" borderId="11" xfId="192" applyNumberFormat="1" applyFont="1" applyFill="1" applyBorder="1" applyAlignment="1" applyProtection="1">
      <alignment vertical="center"/>
    </xf>
    <xf numFmtId="4" fontId="6" fillId="38" borderId="11" xfId="192" applyNumberFormat="1" applyFont="1" applyFill="1" applyBorder="1" applyAlignment="1" applyProtection="1">
      <alignment vertical="center"/>
    </xf>
    <xf numFmtId="4" fontId="6" fillId="43" borderId="11" xfId="192" applyNumberFormat="1" applyFont="1" applyFill="1" applyBorder="1" applyAlignment="1" applyProtection="1">
      <alignment vertical="center"/>
    </xf>
    <xf numFmtId="4" fontId="19" fillId="38" borderId="11" xfId="192" applyNumberFormat="1" applyFont="1" applyFill="1" applyBorder="1" applyAlignment="1" applyProtection="1">
      <alignment vertical="center"/>
    </xf>
    <xf numFmtId="4" fontId="19" fillId="43" borderId="11" xfId="192" applyNumberFormat="1" applyFont="1" applyFill="1" applyBorder="1" applyAlignment="1" applyProtection="1">
      <alignment vertical="center"/>
    </xf>
    <xf numFmtId="4" fontId="3" fillId="32" borderId="11" xfId="192" applyNumberFormat="1" applyFont="1" applyFill="1" applyBorder="1" applyAlignment="1" applyProtection="1">
      <alignment horizontal="right" vertical="center"/>
    </xf>
    <xf numFmtId="0" fontId="3" fillId="0" borderId="11" xfId="192" applyNumberFormat="1" applyFont="1" applyFill="1" applyBorder="1" applyAlignment="1" applyProtection="1">
      <alignment vertical="center"/>
    </xf>
    <xf numFmtId="4" fontId="19" fillId="32" borderId="11" xfId="192" applyNumberFormat="1" applyFont="1" applyFill="1" applyBorder="1" applyAlignment="1" applyProtection="1">
      <alignment vertical="center"/>
    </xf>
    <xf numFmtId="4" fontId="19" fillId="32" borderId="0" xfId="192" applyNumberFormat="1" applyFont="1" applyFill="1" applyBorder="1" applyAlignment="1" applyProtection="1">
      <alignment vertical="center"/>
    </xf>
    <xf numFmtId="4" fontId="6" fillId="0" borderId="11" xfId="192" applyNumberFormat="1" applyFont="1" applyFill="1" applyBorder="1" applyAlignment="1" applyProtection="1">
      <alignment horizontal="right" vertical="center"/>
    </xf>
    <xf numFmtId="0" fontId="3" fillId="30" borderId="11" xfId="192" applyNumberFormat="1" applyFont="1" applyFill="1" applyBorder="1" applyAlignment="1" applyProtection="1">
      <alignment vertical="center"/>
    </xf>
    <xf numFmtId="4" fontId="6" fillId="38" borderId="11" xfId="192" applyNumberFormat="1" applyFont="1" applyFill="1" applyBorder="1" applyAlignment="1" applyProtection="1">
      <alignment horizontal="right" vertical="center"/>
    </xf>
    <xf numFmtId="4" fontId="3" fillId="31" borderId="28" xfId="192" applyNumberFormat="1" applyFont="1" applyFill="1" applyBorder="1" applyAlignment="1" applyProtection="1">
      <alignment vertical="center"/>
      <protection locked="0"/>
    </xf>
    <xf numFmtId="4" fontId="3" fillId="31" borderId="125" xfId="192" applyNumberFormat="1" applyFont="1" applyFill="1" applyBorder="1" applyAlignment="1" applyProtection="1">
      <alignment vertical="center"/>
      <protection locked="0"/>
    </xf>
    <xf numFmtId="4" fontId="6" fillId="32" borderId="11" xfId="192" applyNumberFormat="1" applyFont="1" applyFill="1" applyBorder="1" applyAlignment="1" applyProtection="1">
      <alignment vertical="top"/>
    </xf>
    <xf numFmtId="4" fontId="6" fillId="38" borderId="11" xfId="192" applyNumberFormat="1" applyFont="1" applyFill="1" applyBorder="1" applyAlignment="1" applyProtection="1">
      <alignment vertical="top"/>
    </xf>
    <xf numFmtId="4" fontId="6" fillId="32" borderId="11" xfId="192" applyNumberFormat="1" applyFont="1" applyFill="1" applyBorder="1" applyAlignment="1" applyProtection="1">
      <alignment horizontal="right" vertical="top"/>
    </xf>
    <xf numFmtId="167" fontId="3" fillId="31" borderId="94" xfId="192" applyNumberFormat="1" applyFont="1" applyFill="1" applyBorder="1" applyAlignment="1" applyProtection="1">
      <alignment vertical="center"/>
      <protection locked="0"/>
    </xf>
    <xf numFmtId="167" fontId="3" fillId="31" borderId="73" xfId="192" applyNumberFormat="1" applyFont="1" applyFill="1" applyBorder="1" applyAlignment="1" applyProtection="1">
      <alignment vertical="center"/>
      <protection locked="0"/>
    </xf>
    <xf numFmtId="10" fontId="3" fillId="31" borderId="115" xfId="121" applyNumberFormat="1" applyFont="1" applyFill="1" applyBorder="1" applyAlignment="1" applyProtection="1">
      <alignment vertical="center"/>
      <protection locked="0"/>
    </xf>
    <xf numFmtId="10" fontId="7" fillId="31" borderId="115" xfId="121" applyNumberFormat="1" applyFont="1" applyFill="1" applyBorder="1" applyAlignment="1" applyProtection="1">
      <alignment vertical="center"/>
      <protection locked="0"/>
    </xf>
    <xf numFmtId="167" fontId="7" fillId="31" borderId="94" xfId="192" applyNumberFormat="1" applyFont="1" applyFill="1" applyBorder="1" applyAlignment="1" applyProtection="1">
      <alignment vertical="center"/>
      <protection locked="0"/>
    </xf>
    <xf numFmtId="167" fontId="7" fillId="31" borderId="73" xfId="192" applyNumberFormat="1" applyFont="1" applyFill="1" applyBorder="1" applyAlignment="1" applyProtection="1">
      <alignment vertical="center"/>
      <protection locked="0"/>
    </xf>
    <xf numFmtId="10" fontId="7" fillId="31" borderId="115" xfId="192" applyNumberFormat="1" applyFont="1" applyFill="1" applyBorder="1" applyAlignment="1" applyProtection="1">
      <alignment vertical="center"/>
      <protection locked="0"/>
    </xf>
    <xf numFmtId="167" fontId="3" fillId="31" borderId="41" xfId="192" applyNumberFormat="1" applyFont="1" applyFill="1" applyBorder="1" applyAlignment="1" applyProtection="1">
      <alignment vertical="center"/>
      <protection locked="0"/>
    </xf>
    <xf numFmtId="167" fontId="3" fillId="31" borderId="102" xfId="192" applyNumberFormat="1" applyFont="1" applyFill="1" applyBorder="1" applyAlignment="1" applyProtection="1">
      <alignment vertical="center"/>
      <protection locked="0"/>
    </xf>
    <xf numFmtId="10" fontId="3" fillId="31" borderId="115" xfId="192" applyNumberFormat="1" applyFont="1" applyFill="1" applyBorder="1" applyAlignment="1" applyProtection="1">
      <alignment vertical="center"/>
      <protection locked="0"/>
    </xf>
    <xf numFmtId="167" fontId="7" fillId="31" borderId="41" xfId="192" applyNumberFormat="1" applyFont="1" applyFill="1" applyBorder="1" applyAlignment="1" applyProtection="1">
      <alignment vertical="center"/>
      <protection locked="0"/>
    </xf>
    <xf numFmtId="167" fontId="7" fillId="31" borderId="102" xfId="192" applyNumberFormat="1" applyFont="1" applyFill="1" applyBorder="1" applyAlignment="1" applyProtection="1">
      <alignment vertical="center"/>
      <protection locked="0"/>
    </xf>
    <xf numFmtId="10" fontId="3" fillId="31" borderId="43" xfId="192" applyNumberFormat="1" applyFont="1" applyFill="1" applyBorder="1" applyAlignment="1" applyProtection="1">
      <alignment vertical="center"/>
      <protection locked="0"/>
    </xf>
    <xf numFmtId="4" fontId="3" fillId="31" borderId="131" xfId="192" applyNumberFormat="1" applyFont="1" applyFill="1" applyBorder="1" applyAlignment="1" applyProtection="1">
      <alignment vertical="center"/>
      <protection locked="0"/>
    </xf>
    <xf numFmtId="10" fontId="3" fillId="31" borderId="93" xfId="121" applyNumberFormat="1" applyFont="1" applyFill="1" applyBorder="1" applyAlignment="1" applyProtection="1">
      <alignment vertical="center"/>
      <protection locked="0"/>
    </xf>
    <xf numFmtId="175" fontId="3" fillId="31" borderId="11" xfId="121" applyNumberFormat="1" applyFont="1" applyFill="1" applyBorder="1" applyAlignment="1" applyProtection="1">
      <alignment vertical="center"/>
      <protection locked="0"/>
    </xf>
    <xf numFmtId="4" fontId="3" fillId="31" borderId="75" xfId="192" applyNumberFormat="1" applyFont="1" applyFill="1" applyBorder="1" applyAlignment="1" applyProtection="1">
      <alignment vertical="center"/>
      <protection locked="0"/>
    </xf>
    <xf numFmtId="4" fontId="3" fillId="32" borderId="11" xfId="192" applyNumberFormat="1" applyFont="1" applyFill="1" applyBorder="1" applyAlignment="1" applyProtection="1">
      <alignment vertical="top"/>
    </xf>
    <xf numFmtId="4" fontId="6" fillId="44" borderId="11" xfId="192" applyNumberFormat="1" applyFont="1" applyFill="1" applyBorder="1" applyAlignment="1" applyProtection="1">
      <alignment vertical="center"/>
    </xf>
    <xf numFmtId="4" fontId="3" fillId="32" borderId="11" xfId="192" applyNumberFormat="1" applyFont="1" applyFill="1" applyBorder="1" applyAlignment="1" applyProtection="1">
      <alignment horizontal="right" vertical="top"/>
    </xf>
    <xf numFmtId="4" fontId="3" fillId="35" borderId="11" xfId="192" applyNumberFormat="1" applyFont="1" applyFill="1" applyBorder="1" applyAlignment="1" applyProtection="1">
      <alignment horizontal="right" vertical="top"/>
    </xf>
    <xf numFmtId="4" fontId="19" fillId="32" borderId="11" xfId="192" applyNumberFormat="1" applyFont="1" applyFill="1" applyBorder="1" applyAlignment="1" applyProtection="1">
      <alignment horizontal="right" vertical="center"/>
    </xf>
    <xf numFmtId="4" fontId="6" fillId="38" borderId="11" xfId="192" applyNumberFormat="1" applyFont="1" applyFill="1" applyBorder="1" applyAlignment="1" applyProtection="1">
      <alignment horizontal="right" vertical="top"/>
    </xf>
    <xf numFmtId="0" fontId="6" fillId="32" borderId="11" xfId="30" applyFont="1" applyFill="1" applyBorder="1" applyAlignment="1" applyProtection="1">
      <alignment horizontal="right" vertical="center" indent="1"/>
    </xf>
    <xf numFmtId="4" fontId="6" fillId="32" borderId="11" xfId="30" applyNumberFormat="1" applyFont="1" applyFill="1" applyBorder="1" applyAlignment="1" applyProtection="1">
      <alignment vertical="center"/>
    </xf>
    <xf numFmtId="4" fontId="6" fillId="32" borderId="11" xfId="192" applyNumberFormat="1" applyFont="1" applyFill="1" applyBorder="1" applyAlignment="1" applyProtection="1">
      <alignment horizontal="center" vertical="center"/>
    </xf>
    <xf numFmtId="4" fontId="6" fillId="0" borderId="11" xfId="192" applyNumberFormat="1" applyFont="1" applyFill="1" applyBorder="1" applyAlignment="1" applyProtection="1">
      <alignment horizontal="center" vertical="center"/>
    </xf>
    <xf numFmtId="0" fontId="6" fillId="32" borderId="11" xfId="30" applyFont="1" applyFill="1" applyBorder="1" applyAlignment="1" applyProtection="1">
      <alignment horizontal="right" vertical="center"/>
    </xf>
    <xf numFmtId="164" fontId="6" fillId="32" borderId="11" xfId="30" applyNumberFormat="1" applyFont="1" applyFill="1" applyBorder="1" applyAlignment="1" applyProtection="1">
      <alignment vertical="center"/>
    </xf>
    <xf numFmtId="4" fontId="3" fillId="31" borderId="39" xfId="192" applyNumberFormat="1" applyFont="1" applyFill="1" applyBorder="1" applyAlignment="1" applyProtection="1">
      <alignment vertical="center"/>
      <protection locked="0"/>
    </xf>
    <xf numFmtId="0" fontId="3" fillId="32" borderId="0" xfId="171" applyFill="1" applyAlignment="1" applyProtection="1">
      <alignment horizontal="right" vertical="center"/>
    </xf>
    <xf numFmtId="0" fontId="3" fillId="32" borderId="25" xfId="171" applyFill="1" applyBorder="1" applyAlignment="1" applyProtection="1">
      <alignment vertical="center"/>
    </xf>
    <xf numFmtId="0" fontId="3" fillId="32" borderId="25" xfId="171" applyFill="1" applyBorder="1" applyAlignment="1" applyProtection="1">
      <alignment horizontal="right" vertical="center"/>
    </xf>
    <xf numFmtId="0" fontId="3" fillId="29" borderId="0" xfId="171" applyFont="1" applyFill="1" applyAlignment="1" applyProtection="1">
      <alignment vertical="center"/>
    </xf>
    <xf numFmtId="0" fontId="3" fillId="29" borderId="0" xfId="171" applyFill="1" applyAlignment="1" applyProtection="1">
      <alignment vertical="center"/>
    </xf>
    <xf numFmtId="164" fontId="3" fillId="32" borderId="0" xfId="171" applyNumberFormat="1" applyFill="1" applyAlignment="1" applyProtection="1">
      <alignment vertical="center"/>
    </xf>
    <xf numFmtId="0" fontId="5" fillId="32" borderId="0" xfId="171" applyFont="1" applyFill="1" applyAlignment="1" applyProtection="1">
      <alignment vertical="center"/>
    </xf>
    <xf numFmtId="0" fontId="7" fillId="32" borderId="37" xfId="171" applyFont="1" applyFill="1" applyBorder="1" applyAlignment="1" applyProtection="1">
      <alignment horizontal="center" vertical="center"/>
    </xf>
    <xf numFmtId="0" fontId="7" fillId="32" borderId="11" xfId="171" applyFont="1" applyFill="1" applyBorder="1" applyAlignment="1" applyProtection="1">
      <alignment horizontal="center" vertical="center"/>
    </xf>
    <xf numFmtId="0" fontId="19" fillId="32" borderId="11" xfId="171" applyFont="1" applyFill="1" applyBorder="1" applyAlignment="1" applyProtection="1">
      <alignment horizontal="right" vertical="center"/>
    </xf>
    <xf numFmtId="0" fontId="19" fillId="32" borderId="37" xfId="171" applyFont="1" applyFill="1" applyBorder="1" applyAlignment="1" applyProtection="1">
      <alignment horizontal="center" vertical="center"/>
    </xf>
    <xf numFmtId="0" fontId="19" fillId="32" borderId="11" xfId="171" applyFont="1" applyFill="1" applyBorder="1" applyAlignment="1" applyProtection="1">
      <alignment horizontal="center" vertical="center"/>
    </xf>
    <xf numFmtId="0" fontId="3" fillId="32" borderId="37" xfId="171" applyFill="1" applyBorder="1" applyAlignment="1" applyProtection="1">
      <alignment horizontal="left" vertical="center"/>
    </xf>
    <xf numFmtId="164" fontId="3" fillId="32" borderId="37" xfId="171" applyNumberFormat="1" applyFill="1" applyBorder="1" applyAlignment="1" applyProtection="1">
      <alignment vertical="center"/>
    </xf>
    <xf numFmtId="164" fontId="3" fillId="32" borderId="11" xfId="171" applyNumberFormat="1" applyFill="1" applyBorder="1" applyAlignment="1" applyProtection="1">
      <alignment vertical="center"/>
    </xf>
    <xf numFmtId="0" fontId="3" fillId="32" borderId="37" xfId="171" applyFill="1" applyBorder="1" applyAlignment="1" applyProtection="1">
      <alignment horizontal="left" vertical="center" wrapText="1"/>
    </xf>
    <xf numFmtId="0" fontId="3" fillId="32" borderId="11" xfId="171" applyFill="1" applyBorder="1" applyAlignment="1" applyProtection="1">
      <alignment vertical="center"/>
    </xf>
    <xf numFmtId="0" fontId="19" fillId="32" borderId="11" xfId="171" applyFont="1" applyFill="1" applyBorder="1" applyAlignment="1" applyProtection="1">
      <alignment vertical="center" wrapText="1"/>
    </xf>
    <xf numFmtId="164" fontId="19" fillId="32" borderId="37" xfId="171" applyNumberFormat="1" applyFont="1" applyFill="1" applyBorder="1" applyAlignment="1" applyProtection="1">
      <alignment vertical="center"/>
    </xf>
    <xf numFmtId="164" fontId="19" fillId="32" borderId="11" xfId="171" applyNumberFormat="1" applyFont="1" applyFill="1" applyBorder="1" applyAlignment="1" applyProtection="1">
      <alignment vertical="center"/>
    </xf>
    <xf numFmtId="164" fontId="3" fillId="40" borderId="37" xfId="171" applyNumberFormat="1" applyFill="1" applyBorder="1" applyAlignment="1" applyProtection="1">
      <alignment vertical="center"/>
    </xf>
    <xf numFmtId="164" fontId="3" fillId="40" borderId="11" xfId="171" applyNumberFormat="1" applyFill="1" applyBorder="1" applyAlignment="1" applyProtection="1">
      <alignment vertical="center"/>
    </xf>
    <xf numFmtId="0" fontId="7" fillId="32" borderId="11" xfId="0" applyFont="1" applyFill="1" applyBorder="1" applyAlignment="1" applyProtection="1">
      <alignment horizontal="center" vertical="center"/>
    </xf>
    <xf numFmtId="0" fontId="7" fillId="32" borderId="26" xfId="0" applyFont="1" applyFill="1" applyBorder="1" applyAlignment="1" applyProtection="1">
      <alignment horizontal="center" vertical="center"/>
    </xf>
    <xf numFmtId="0" fontId="3" fillId="32" borderId="33" xfId="0" applyFont="1" applyFill="1" applyBorder="1" applyAlignment="1" applyProtection="1">
      <alignment horizontal="center" vertical="center"/>
    </xf>
    <xf numFmtId="0" fontId="3" fillId="32" borderId="27" xfId="0" applyFont="1" applyFill="1" applyBorder="1" applyAlignment="1" applyProtection="1">
      <alignment horizontal="center" vertical="center" wrapText="1"/>
    </xf>
    <xf numFmtId="0" fontId="3" fillId="32" borderId="27" xfId="0" applyFont="1" applyFill="1" applyBorder="1" applyAlignment="1" applyProtection="1">
      <alignment horizontal="center" vertical="center"/>
    </xf>
    <xf numFmtId="0" fontId="0" fillId="32" borderId="27" xfId="0" applyFill="1" applyBorder="1" applyAlignment="1" applyProtection="1">
      <alignment vertical="center"/>
    </xf>
    <xf numFmtId="165" fontId="3" fillId="32" borderId="11" xfId="194" applyFill="1" applyBorder="1" applyAlignment="1" applyProtection="1">
      <alignment horizontal="left" vertical="center"/>
    </xf>
    <xf numFmtId="0" fontId="64" fillId="32" borderId="0" xfId="0" applyFont="1" applyFill="1" applyAlignment="1" applyProtection="1">
      <alignment horizontal="left" vertical="center"/>
    </xf>
    <xf numFmtId="167" fontId="7" fillId="32" borderId="11" xfId="194" applyNumberFormat="1" applyFont="1" applyFill="1" applyBorder="1" applyAlignment="1" applyProtection="1">
      <alignment horizontal="right" vertical="center"/>
    </xf>
    <xf numFmtId="10" fontId="3" fillId="32" borderId="11" xfId="121" applyNumberFormat="1" applyFill="1" applyBorder="1" applyAlignment="1" applyProtection="1">
      <alignment horizontal="right" vertical="center"/>
    </xf>
    <xf numFmtId="0" fontId="7" fillId="32" borderId="33" xfId="0" applyFont="1" applyFill="1" applyBorder="1" applyAlignment="1" applyProtection="1">
      <alignment horizontal="center" vertical="center"/>
    </xf>
    <xf numFmtId="9" fontId="3" fillId="32" borderId="0" xfId="121" applyFill="1" applyAlignment="1" applyProtection="1">
      <alignment vertical="center"/>
    </xf>
    <xf numFmtId="0" fontId="5" fillId="32" borderId="11" xfId="0" applyFont="1" applyFill="1" applyBorder="1" applyAlignment="1" applyProtection="1">
      <alignment horizontal="left" vertical="center"/>
    </xf>
    <xf numFmtId="0" fontId="0" fillId="32" borderId="11" xfId="0" applyFont="1" applyFill="1" applyBorder="1" applyAlignment="1" applyProtection="1">
      <alignment horizontal="left" vertical="center" wrapText="1"/>
    </xf>
    <xf numFmtId="167" fontId="0" fillId="32" borderId="11" xfId="0" applyNumberFormat="1" applyFont="1" applyFill="1" applyBorder="1" applyAlignment="1" applyProtection="1">
      <alignment horizontal="right" vertical="center"/>
    </xf>
    <xf numFmtId="167" fontId="0" fillId="31" borderId="11" xfId="0" applyNumberFormat="1" applyFont="1" applyFill="1" applyBorder="1" applyAlignment="1" applyProtection="1">
      <alignment horizontal="right" vertical="center"/>
      <protection locked="0"/>
    </xf>
    <xf numFmtId="172" fontId="6" fillId="34" borderId="11" xfId="122" applyNumberFormat="1" applyFont="1" applyFill="1" applyBorder="1" applyAlignment="1" applyProtection="1">
      <alignment horizontal="right" vertical="center"/>
      <protection locked="0"/>
    </xf>
    <xf numFmtId="0" fontId="7" fillId="32" borderId="11" xfId="0" applyFont="1" applyFill="1" applyBorder="1" applyAlignment="1" applyProtection="1">
      <alignment vertical="center"/>
    </xf>
    <xf numFmtId="167" fontId="3" fillId="32" borderId="11" xfId="192" applyNumberFormat="1" applyFill="1" applyBorder="1" applyAlignment="1" applyProtection="1">
      <alignment horizontal="center" vertical="center"/>
    </xf>
    <xf numFmtId="165" fontId="3" fillId="32" borderId="0" xfId="192" applyFill="1" applyAlignment="1" applyProtection="1">
      <alignment vertical="center"/>
    </xf>
    <xf numFmtId="0" fontId="6" fillId="32" borderId="0" xfId="0" quotePrefix="1" applyFont="1" applyFill="1" applyAlignment="1" applyProtection="1">
      <alignment vertical="center"/>
    </xf>
    <xf numFmtId="0" fontId="3" fillId="32" borderId="48" xfId="174" applyFill="1" applyBorder="1" applyAlignment="1" applyProtection="1">
      <alignment vertical="center" wrapText="1"/>
    </xf>
    <xf numFmtId="0" fontId="3" fillId="32" borderId="92" xfId="174" applyFill="1" applyBorder="1" applyAlignment="1" applyProtection="1">
      <alignment horizontal="center" vertical="center" wrapText="1"/>
    </xf>
    <xf numFmtId="0" fontId="3" fillId="32" borderId="92" xfId="0" applyFont="1" applyFill="1" applyBorder="1" applyAlignment="1" applyProtection="1">
      <alignment horizontal="center" vertical="center" wrapText="1"/>
    </xf>
    <xf numFmtId="0" fontId="3" fillId="32" borderId="14" xfId="174" applyFill="1" applyBorder="1" applyAlignment="1" applyProtection="1">
      <alignment vertical="center"/>
    </xf>
    <xf numFmtId="49" fontId="7" fillId="32" borderId="77" xfId="174" applyNumberFormat="1" applyFont="1" applyFill="1" applyBorder="1" applyAlignment="1" applyProtection="1">
      <alignment horizontal="right" vertical="center"/>
    </xf>
    <xf numFmtId="0" fontId="3" fillId="32" borderId="104" xfId="0" quotePrefix="1" applyFont="1" applyFill="1" applyBorder="1" applyAlignment="1" applyProtection="1">
      <alignment horizontal="center" vertical="center"/>
    </xf>
    <xf numFmtId="0" fontId="0" fillId="32" borderId="104" xfId="0" applyFill="1" applyBorder="1" applyAlignment="1" applyProtection="1">
      <alignment vertical="center"/>
    </xf>
    <xf numFmtId="0" fontId="3" fillId="32" borderId="68" xfId="174" applyFill="1" applyBorder="1" applyAlignment="1" applyProtection="1">
      <alignment vertical="center"/>
    </xf>
    <xf numFmtId="167" fontId="3" fillId="32" borderId="67" xfId="192" applyNumberFormat="1" applyFill="1" applyBorder="1" applyAlignment="1" applyProtection="1">
      <alignment vertical="center"/>
    </xf>
    <xf numFmtId="167" fontId="3" fillId="32" borderId="68" xfId="192" applyNumberFormat="1" applyFill="1" applyBorder="1" applyAlignment="1" applyProtection="1">
      <alignment vertical="center"/>
    </xf>
    <xf numFmtId="0" fontId="3" fillId="32" borderId="69" xfId="174" applyFill="1" applyBorder="1" applyAlignment="1" applyProtection="1">
      <alignment vertical="center"/>
    </xf>
    <xf numFmtId="167" fontId="3" fillId="32" borderId="43" xfId="192" applyNumberFormat="1" applyFill="1" applyBorder="1" applyAlignment="1" applyProtection="1">
      <alignment vertical="center"/>
    </xf>
    <xf numFmtId="167" fontId="3" fillId="32" borderId="69" xfId="192" applyNumberFormat="1" applyFill="1" applyBorder="1" applyAlignment="1" applyProtection="1">
      <alignment vertical="center"/>
    </xf>
    <xf numFmtId="0" fontId="3" fillId="32" borderId="104" xfId="174" applyFill="1" applyBorder="1" applyAlignment="1" applyProtection="1">
      <alignment vertical="center"/>
    </xf>
    <xf numFmtId="167" fontId="3" fillId="32" borderId="52" xfId="192" applyNumberFormat="1" applyFill="1" applyBorder="1" applyAlignment="1" applyProtection="1">
      <alignment vertical="center"/>
    </xf>
    <xf numFmtId="167" fontId="3" fillId="32" borderId="104" xfId="192" applyNumberFormat="1" applyFill="1" applyBorder="1" applyAlignment="1" applyProtection="1">
      <alignment vertical="center"/>
    </xf>
    <xf numFmtId="0" fontId="7" fillId="32" borderId="14" xfId="174" applyFont="1" applyFill="1" applyBorder="1" applyAlignment="1" applyProtection="1">
      <alignment vertical="center"/>
    </xf>
    <xf numFmtId="0" fontId="7" fillId="32" borderId="77" xfId="174" applyFont="1" applyFill="1" applyBorder="1" applyAlignment="1" applyProtection="1">
      <alignment vertical="center"/>
    </xf>
    <xf numFmtId="167" fontId="0" fillId="32" borderId="92" xfId="0" applyNumberFormat="1" applyFill="1" applyBorder="1" applyAlignment="1" applyProtection="1">
      <alignment vertical="center"/>
    </xf>
    <xf numFmtId="167" fontId="7" fillId="32" borderId="77" xfId="0" applyNumberFormat="1" applyFont="1" applyFill="1" applyBorder="1" applyAlignment="1" applyProtection="1">
      <alignment vertical="center"/>
    </xf>
    <xf numFmtId="0" fontId="7" fillId="32" borderId="51" xfId="174" applyFont="1" applyFill="1" applyBorder="1" applyAlignment="1" applyProtection="1">
      <alignment vertical="center"/>
    </xf>
    <xf numFmtId="0" fontId="7" fillId="32" borderId="104" xfId="174" applyFont="1" applyFill="1" applyBorder="1" applyAlignment="1" applyProtection="1">
      <alignment vertical="center"/>
    </xf>
    <xf numFmtId="167" fontId="3" fillId="32" borderId="104" xfId="0" quotePrefix="1" applyNumberFormat="1" applyFont="1" applyFill="1" applyBorder="1" applyAlignment="1" applyProtection="1">
      <alignment horizontal="center" vertical="center"/>
    </xf>
    <xf numFmtId="167" fontId="0" fillId="32" borderId="104" xfId="0" applyNumberFormat="1" applyFill="1" applyBorder="1" applyAlignment="1" applyProtection="1">
      <alignment vertical="center"/>
    </xf>
    <xf numFmtId="0" fontId="88" fillId="32" borderId="0" xfId="174" applyFont="1" applyFill="1" applyAlignment="1" applyProtection="1">
      <alignment horizontal="right" vertical="center"/>
    </xf>
    <xf numFmtId="0" fontId="25" fillId="32" borderId="0" xfId="0" applyFont="1" applyFill="1" applyAlignment="1" applyProtection="1">
      <alignment horizontal="right" vertical="center"/>
    </xf>
    <xf numFmtId="0" fontId="3" fillId="32" borderId="14" xfId="174" applyFill="1" applyBorder="1" applyAlignment="1" applyProtection="1">
      <alignment vertical="center" wrapText="1"/>
    </xf>
    <xf numFmtId="0" fontId="3" fillId="32" borderId="77" xfId="174" applyFill="1" applyBorder="1" applyAlignment="1" applyProtection="1">
      <alignment horizontal="center" vertical="center" wrapText="1"/>
    </xf>
    <xf numFmtId="0" fontId="3" fillId="32" borderId="77" xfId="0" applyFont="1" applyFill="1" applyBorder="1" applyAlignment="1" applyProtection="1">
      <alignment horizontal="center" vertical="center" wrapText="1"/>
    </xf>
    <xf numFmtId="0" fontId="92" fillId="32" borderId="0" xfId="0" quotePrefix="1" applyFont="1" applyFill="1" applyAlignment="1" applyProtection="1">
      <alignment vertical="center"/>
    </xf>
    <xf numFmtId="0" fontId="3" fillId="32" borderId="70" xfId="174" applyFill="1" applyBorder="1" applyAlignment="1" applyProtection="1">
      <alignment vertical="center"/>
    </xf>
    <xf numFmtId="167" fontId="3" fillId="32" borderId="46" xfId="192" applyNumberFormat="1" applyFill="1" applyBorder="1" applyAlignment="1" applyProtection="1">
      <alignment vertical="center"/>
    </xf>
    <xf numFmtId="167" fontId="3" fillId="32" borderId="70" xfId="192" applyNumberFormat="1" applyFill="1" applyBorder="1" applyAlignment="1" applyProtection="1">
      <alignment vertical="center"/>
    </xf>
    <xf numFmtId="0" fontId="3" fillId="32" borderId="71" xfId="174" applyFill="1" applyBorder="1" applyAlignment="1" applyProtection="1">
      <alignment vertical="center"/>
    </xf>
    <xf numFmtId="167" fontId="3" fillId="32" borderId="59" xfId="192" applyNumberFormat="1" applyFill="1" applyBorder="1" applyAlignment="1" applyProtection="1">
      <alignment vertical="center"/>
    </xf>
    <xf numFmtId="167" fontId="3" fillId="32" borderId="71" xfId="192" applyNumberFormat="1" applyFill="1" applyBorder="1" applyAlignment="1" applyProtection="1">
      <alignment vertical="center"/>
    </xf>
    <xf numFmtId="167" fontId="0" fillId="32" borderId="77" xfId="0" applyNumberFormat="1" applyFill="1" applyBorder="1" applyAlignment="1" applyProtection="1">
      <alignment vertical="center"/>
    </xf>
    <xf numFmtId="4" fontId="3" fillId="32" borderId="16" xfId="187" applyNumberFormat="1" applyFill="1" applyBorder="1" applyAlignment="1">
      <alignment vertical="top"/>
    </xf>
    <xf numFmtId="4" fontId="3" fillId="32" borderId="0" xfId="187" applyNumberFormat="1" applyFill="1" applyAlignment="1">
      <alignment vertical="top"/>
    </xf>
    <xf numFmtId="4" fontId="3" fillId="32" borderId="0" xfId="187" applyNumberFormat="1" applyFill="1" applyAlignment="1">
      <alignment horizontal="left" vertical="top"/>
    </xf>
    <xf numFmtId="0" fontId="3" fillId="32" borderId="17" xfId="187" applyFill="1" applyBorder="1" applyAlignment="1">
      <alignment horizontal="center"/>
    </xf>
    <xf numFmtId="167" fontId="3" fillId="31" borderId="17" xfId="192" applyNumberFormat="1" applyFill="1" applyBorder="1" applyAlignment="1" applyProtection="1">
      <alignment vertical="center"/>
      <protection locked="0"/>
    </xf>
    <xf numFmtId="167" fontId="3" fillId="32" borderId="17" xfId="187" applyNumberFormat="1" applyFill="1" applyBorder="1" applyAlignment="1">
      <alignment vertical="top"/>
    </xf>
    <xf numFmtId="4" fontId="32" fillId="32" borderId="0" xfId="187" applyNumberFormat="1" applyFont="1" applyFill="1" applyAlignment="1">
      <alignment vertical="top"/>
    </xf>
    <xf numFmtId="0" fontId="3" fillId="32" borderId="0" xfId="172" applyFill="1" applyAlignment="1">
      <alignment vertical="top"/>
    </xf>
    <xf numFmtId="167" fontId="5" fillId="32" borderId="17" xfId="192" applyNumberFormat="1" applyFont="1" applyFill="1" applyBorder="1" applyAlignment="1" applyProtection="1">
      <alignment vertical="top"/>
    </xf>
    <xf numFmtId="0" fontId="93" fillId="32" borderId="0" xfId="0" applyFont="1" applyFill="1" applyAlignment="1" applyProtection="1">
      <alignment vertical="center"/>
    </xf>
    <xf numFmtId="0" fontId="93" fillId="32" borderId="11" xfId="0" applyFont="1" applyFill="1" applyBorder="1" applyAlignment="1" applyProtection="1">
      <alignment vertical="center" wrapText="1"/>
    </xf>
    <xf numFmtId="3" fontId="93" fillId="31" borderId="11" xfId="192" applyNumberFormat="1" applyFont="1" applyFill="1" applyBorder="1" applyAlignment="1" applyProtection="1">
      <alignment vertical="center"/>
      <protection locked="0"/>
    </xf>
    <xf numFmtId="167" fontId="93" fillId="31" borderId="11" xfId="192" applyNumberFormat="1" applyFont="1" applyFill="1" applyBorder="1" applyAlignment="1" applyProtection="1">
      <alignment vertical="center"/>
      <protection locked="0"/>
    </xf>
    <xf numFmtId="0" fontId="94" fillId="32" borderId="11" xfId="192" applyNumberFormat="1" applyFont="1" applyFill="1" applyBorder="1" applyAlignment="1" applyProtection="1">
      <alignment horizontal="center" vertical="center"/>
    </xf>
    <xf numFmtId="0" fontId="94" fillId="32" borderId="0" xfId="0" applyFont="1" applyFill="1" applyAlignment="1" applyProtection="1">
      <alignment vertical="center"/>
    </xf>
    <xf numFmtId="0" fontId="93" fillId="32" borderId="92" xfId="0" applyFont="1" applyFill="1" applyBorder="1" applyAlignment="1" applyProtection="1">
      <alignment horizontal="center" vertical="center" wrapText="1"/>
    </xf>
    <xf numFmtId="0" fontId="93" fillId="32" borderId="104" xfId="0" quotePrefix="1" applyFont="1" applyFill="1" applyBorder="1" applyAlignment="1" applyProtection="1">
      <alignment horizontal="center" vertical="center"/>
    </xf>
    <xf numFmtId="167" fontId="93" fillId="31" borderId="67" xfId="192" applyNumberFormat="1" applyFont="1" applyFill="1" applyBorder="1" applyAlignment="1" applyProtection="1">
      <alignment vertical="center"/>
      <protection locked="0"/>
    </xf>
    <xf numFmtId="167" fontId="93" fillId="31" borderId="43" xfId="192" applyNumberFormat="1" applyFont="1" applyFill="1" applyBorder="1" applyAlignment="1" applyProtection="1">
      <alignment vertical="center"/>
      <protection locked="0"/>
    </xf>
    <xf numFmtId="167" fontId="93" fillId="31" borderId="52" xfId="192" applyNumberFormat="1" applyFont="1" applyFill="1" applyBorder="1" applyAlignment="1" applyProtection="1">
      <alignment vertical="center"/>
      <protection locked="0"/>
    </xf>
    <xf numFmtId="167" fontId="93" fillId="32" borderId="92" xfId="0" applyNumberFormat="1" applyFont="1" applyFill="1" applyBorder="1" applyAlignment="1" applyProtection="1">
      <alignment vertical="center"/>
    </xf>
    <xf numFmtId="167" fontId="95" fillId="32" borderId="77" xfId="0" applyNumberFormat="1" applyFont="1" applyFill="1" applyBorder="1" applyAlignment="1" applyProtection="1">
      <alignment vertical="center"/>
    </xf>
    <xf numFmtId="167" fontId="93" fillId="32" borderId="104" xfId="0" quotePrefix="1" applyNumberFormat="1" applyFont="1" applyFill="1" applyBorder="1" applyAlignment="1" applyProtection="1">
      <alignment horizontal="center" vertical="center"/>
    </xf>
    <xf numFmtId="0" fontId="96" fillId="32" borderId="0" xfId="0" applyFont="1" applyFill="1" applyAlignment="1" applyProtection="1">
      <alignment horizontal="right" vertical="center"/>
    </xf>
    <xf numFmtId="167" fontId="94" fillId="32" borderId="11" xfId="192" applyNumberFormat="1" applyFont="1" applyFill="1" applyBorder="1" applyAlignment="1" applyProtection="1">
      <alignment horizontal="right" vertical="center"/>
    </xf>
    <xf numFmtId="0" fontId="94" fillId="32" borderId="0" xfId="0" applyFont="1" applyFill="1" applyAlignment="1" applyProtection="1">
      <alignment horizontal="left" vertical="center"/>
    </xf>
    <xf numFmtId="0" fontId="93" fillId="32" borderId="77" xfId="0" applyFont="1" applyFill="1" applyBorder="1" applyAlignment="1" applyProtection="1">
      <alignment horizontal="center" vertical="center" wrapText="1"/>
    </xf>
    <xf numFmtId="167" fontId="93" fillId="31" borderId="46" xfId="192" applyNumberFormat="1" applyFont="1" applyFill="1" applyBorder="1" applyAlignment="1" applyProtection="1">
      <alignment vertical="center"/>
      <protection locked="0"/>
    </xf>
    <xf numFmtId="167" fontId="93" fillId="31" borderId="59" xfId="192" applyNumberFormat="1" applyFont="1" applyFill="1" applyBorder="1" applyAlignment="1" applyProtection="1">
      <alignment vertical="center"/>
      <protection locked="0"/>
    </xf>
    <xf numFmtId="167" fontId="93" fillId="32" borderId="77" xfId="0" applyNumberFormat="1" applyFont="1" applyFill="1" applyBorder="1" applyAlignment="1" applyProtection="1">
      <alignment vertical="center"/>
    </xf>
    <xf numFmtId="165" fontId="94" fillId="32" borderId="0" xfId="192" applyFont="1" applyFill="1" applyBorder="1" applyAlignment="1" applyProtection="1">
      <alignment vertical="center"/>
    </xf>
    <xf numFmtId="167" fontId="97" fillId="32" borderId="11" xfId="192" applyNumberFormat="1" applyFont="1" applyFill="1" applyBorder="1" applyAlignment="1" applyProtection="1">
      <alignment vertical="center"/>
    </xf>
    <xf numFmtId="0" fontId="7" fillId="32" borderId="37" xfId="1" applyFont="1" applyFill="1" applyBorder="1" applyAlignment="1" applyProtection="1">
      <alignment horizontal="left"/>
    </xf>
    <xf numFmtId="0" fontId="7" fillId="32" borderId="29" xfId="1" applyFont="1" applyFill="1" applyBorder="1" applyAlignment="1" applyProtection="1">
      <alignment horizontal="left"/>
    </xf>
    <xf numFmtId="0" fontId="7" fillId="32" borderId="26" xfId="1" applyFont="1" applyFill="1" applyBorder="1" applyAlignment="1" applyProtection="1">
      <alignment horizontal="left"/>
    </xf>
    <xf numFmtId="0" fontId="7" fillId="31" borderId="34" xfId="192" applyNumberFormat="1" applyFont="1" applyFill="1" applyBorder="1" applyAlignment="1" applyProtection="1">
      <alignment horizontal="center"/>
      <protection locked="0"/>
    </xf>
    <xf numFmtId="0" fontId="7" fillId="31" borderId="47" xfId="192" applyNumberFormat="1" applyFont="1" applyFill="1" applyBorder="1" applyAlignment="1" applyProtection="1">
      <alignment horizontal="center"/>
      <protection locked="0"/>
    </xf>
    <xf numFmtId="0" fontId="7" fillId="31" borderId="39" xfId="192" applyNumberFormat="1" applyFont="1" applyFill="1" applyBorder="1" applyAlignment="1" applyProtection="1">
      <alignment horizontal="center"/>
      <protection locked="0"/>
    </xf>
    <xf numFmtId="0" fontId="7" fillId="31" borderId="34" xfId="0" applyFont="1" applyFill="1" applyBorder="1" applyAlignment="1" applyProtection="1">
      <alignment horizontal="center"/>
      <protection locked="0"/>
    </xf>
    <xf numFmtId="0" fontId="7" fillId="31" borderId="47" xfId="0" applyFont="1" applyFill="1" applyBorder="1" applyAlignment="1" applyProtection="1">
      <alignment horizontal="center"/>
      <protection locked="0"/>
    </xf>
    <xf numFmtId="0" fontId="7" fillId="31" borderId="39" xfId="0" applyFont="1" applyFill="1" applyBorder="1" applyAlignment="1" applyProtection="1">
      <alignment horizontal="center"/>
      <protection locked="0"/>
    </xf>
    <xf numFmtId="0" fontId="0" fillId="0" borderId="0" xfId="171" applyFont="1" applyAlignment="1">
      <alignment horizontal="left" vertical="center" wrapText="1"/>
    </xf>
    <xf numFmtId="4" fontId="3" fillId="32" borderId="0" xfId="186" applyNumberFormat="1" applyFont="1" applyFill="1" applyBorder="1" applyAlignment="1" applyProtection="1">
      <alignment horizontal="left" vertical="top" wrapText="1"/>
    </xf>
    <xf numFmtId="4" fontId="3" fillId="32" borderId="19" xfId="186" applyNumberFormat="1" applyFont="1" applyFill="1" applyBorder="1" applyAlignment="1" applyProtection="1">
      <alignment horizontal="left" vertical="top" wrapText="1"/>
    </xf>
    <xf numFmtId="0" fontId="3" fillId="32" borderId="17" xfId="186" applyNumberFormat="1" applyFont="1" applyFill="1" applyBorder="1" applyAlignment="1" applyProtection="1">
      <alignment horizontal="center"/>
    </xf>
    <xf numFmtId="4" fontId="5" fillId="32" borderId="16" xfId="186" applyNumberFormat="1" applyFont="1" applyFill="1" applyBorder="1" applyAlignment="1" applyProtection="1">
      <alignment horizontal="left" vertical="top" wrapText="1"/>
    </xf>
    <xf numFmtId="4" fontId="5" fillId="32" borderId="0" xfId="186" applyNumberFormat="1" applyFont="1" applyFill="1" applyBorder="1" applyAlignment="1" applyProtection="1">
      <alignment horizontal="left" vertical="top" wrapText="1"/>
    </xf>
    <xf numFmtId="4" fontId="5" fillId="32" borderId="19" xfId="186" applyNumberFormat="1" applyFont="1" applyFill="1" applyBorder="1" applyAlignment="1" applyProtection="1">
      <alignment horizontal="left" vertical="top" wrapText="1"/>
    </xf>
    <xf numFmtId="0" fontId="5" fillId="32" borderId="17" xfId="186" applyNumberFormat="1" applyFont="1" applyFill="1" applyBorder="1" applyAlignment="1" applyProtection="1">
      <alignment horizontal="center"/>
    </xf>
    <xf numFmtId="4" fontId="5" fillId="32" borderId="88" xfId="186" applyNumberFormat="1" applyFont="1" applyFill="1" applyBorder="1" applyAlignment="1" applyProtection="1">
      <alignment horizontal="center" vertical="center"/>
    </xf>
    <xf numFmtId="4" fontId="5" fillId="32" borderId="89" xfId="186" applyNumberFormat="1" applyFont="1" applyFill="1" applyBorder="1" applyAlignment="1" applyProtection="1">
      <alignment horizontal="center" vertical="center"/>
    </xf>
    <xf numFmtId="4" fontId="5" fillId="32" borderId="90" xfId="186" applyNumberFormat="1" applyFont="1" applyFill="1" applyBorder="1" applyAlignment="1" applyProtection="1">
      <alignment horizontal="center" vertical="center"/>
    </xf>
    <xf numFmtId="4" fontId="5" fillId="32" borderId="91" xfId="186" applyNumberFormat="1" applyFont="1" applyFill="1" applyBorder="1" applyAlignment="1" applyProtection="1">
      <alignment horizontal="center" vertical="center"/>
    </xf>
    <xf numFmtId="4" fontId="5" fillId="32" borderId="30" xfId="186" applyNumberFormat="1" applyFont="1" applyFill="1" applyBorder="1" applyAlignment="1" applyProtection="1">
      <alignment horizontal="center" vertical="center"/>
    </xf>
    <xf numFmtId="4" fontId="5" fillId="32" borderId="66" xfId="186" applyNumberFormat="1" applyFont="1" applyFill="1" applyBorder="1" applyAlignment="1" applyProtection="1">
      <alignment horizontal="center" vertical="center"/>
    </xf>
    <xf numFmtId="0" fontId="5" fillId="32" borderId="87" xfId="186" applyNumberFormat="1" applyFont="1" applyFill="1" applyBorder="1" applyAlignment="1" applyProtection="1">
      <alignment horizontal="center" vertical="center"/>
    </xf>
    <xf numFmtId="0" fontId="5" fillId="32" borderId="65" xfId="186" applyNumberFormat="1" applyFont="1" applyFill="1" applyBorder="1" applyAlignment="1" applyProtection="1">
      <alignment horizontal="center" vertical="center"/>
    </xf>
    <xf numFmtId="0" fontId="20" fillId="32" borderId="34" xfId="0" applyFont="1" applyFill="1" applyBorder="1" applyAlignment="1" applyProtection="1">
      <alignment horizontal="center" vertical="center"/>
    </xf>
    <xf numFmtId="0" fontId="20" fillId="32" borderId="47" xfId="0" applyFont="1" applyFill="1" applyBorder="1" applyAlignment="1" applyProtection="1">
      <alignment horizontal="center" vertical="center"/>
    </xf>
    <xf numFmtId="0" fontId="20" fillId="32" borderId="39" xfId="0" applyFont="1" applyFill="1" applyBorder="1" applyAlignment="1" applyProtection="1">
      <alignment horizontal="center" vertical="center"/>
    </xf>
    <xf numFmtId="4" fontId="5" fillId="32" borderId="87" xfId="186" applyNumberFormat="1" applyFont="1" applyFill="1" applyBorder="1" applyAlignment="1" applyProtection="1">
      <alignment horizontal="center" vertical="center"/>
    </xf>
    <xf numFmtId="4" fontId="5" fillId="32" borderId="65" xfId="186" applyNumberFormat="1" applyFont="1" applyFill="1" applyBorder="1" applyAlignment="1" applyProtection="1">
      <alignment horizontal="center" vertical="center"/>
    </xf>
    <xf numFmtId="4" fontId="7" fillId="32" borderId="88" xfId="186" applyNumberFormat="1" applyFont="1" applyFill="1" applyBorder="1" applyAlignment="1" applyProtection="1">
      <alignment horizontal="center" vertical="center"/>
    </xf>
    <xf numFmtId="4" fontId="7" fillId="32" borderId="89" xfId="186" applyNumberFormat="1" applyFont="1" applyFill="1" applyBorder="1" applyAlignment="1" applyProtection="1">
      <alignment horizontal="center" vertical="center"/>
    </xf>
    <xf numFmtId="4" fontId="7" fillId="32" borderId="90" xfId="186" applyNumberFormat="1" applyFont="1" applyFill="1" applyBorder="1" applyAlignment="1" applyProtection="1">
      <alignment horizontal="center" vertical="center"/>
    </xf>
    <xf numFmtId="4" fontId="7" fillId="32" borderId="91" xfId="186" applyNumberFormat="1" applyFont="1" applyFill="1" applyBorder="1" applyAlignment="1" applyProtection="1">
      <alignment horizontal="center" vertical="center"/>
    </xf>
    <xf numFmtId="4" fontId="7" fillId="32" borderId="30" xfId="186" applyNumberFormat="1" applyFont="1" applyFill="1" applyBorder="1" applyAlignment="1" applyProtection="1">
      <alignment horizontal="center" vertical="center"/>
    </xf>
    <xf numFmtId="4" fontId="7" fillId="32" borderId="66" xfId="186" applyNumberFormat="1" applyFont="1" applyFill="1" applyBorder="1" applyAlignment="1" applyProtection="1">
      <alignment horizontal="center" vertical="center"/>
    </xf>
    <xf numFmtId="0" fontId="3" fillId="32" borderId="17" xfId="186" applyNumberFormat="1" applyFont="1" applyFill="1" applyBorder="1" applyAlignment="1" applyProtection="1">
      <alignment horizontal="center" wrapText="1"/>
    </xf>
    <xf numFmtId="4" fontId="5" fillId="32" borderId="16" xfId="186" applyNumberFormat="1" applyFont="1" applyFill="1" applyBorder="1" applyAlignment="1" applyProtection="1">
      <alignment horizontal="left" vertical="center" wrapText="1"/>
    </xf>
    <xf numFmtId="4" fontId="5" fillId="32" borderId="0" xfId="186" applyNumberFormat="1" applyFont="1" applyFill="1" applyBorder="1" applyAlignment="1" applyProtection="1">
      <alignment horizontal="left" vertical="center" wrapText="1"/>
    </xf>
    <xf numFmtId="4" fontId="5" fillId="32" borderId="19" xfId="186" applyNumberFormat="1" applyFont="1" applyFill="1" applyBorder="1" applyAlignment="1" applyProtection="1">
      <alignment horizontal="left" vertical="center" wrapText="1"/>
    </xf>
    <xf numFmtId="4" fontId="7" fillId="32" borderId="85" xfId="186" applyNumberFormat="1" applyFont="1" applyFill="1" applyBorder="1" applyAlignment="1" applyProtection="1">
      <alignment horizontal="center" vertical="center"/>
    </xf>
    <xf numFmtId="4" fontId="7" fillId="32" borderId="29" xfId="186" applyNumberFormat="1" applyFont="1" applyFill="1" applyBorder="1" applyAlignment="1" applyProtection="1">
      <alignment horizontal="center" vertical="center"/>
    </xf>
    <xf numFmtId="4" fontId="7" fillId="32" borderId="26" xfId="186" applyNumberFormat="1" applyFont="1" applyFill="1" applyBorder="1" applyAlignment="1" applyProtection="1">
      <alignment horizontal="center" vertical="center"/>
    </xf>
    <xf numFmtId="4" fontId="7" fillId="32" borderId="86" xfId="186" applyNumberFormat="1" applyFont="1" applyFill="1" applyBorder="1" applyAlignment="1" applyProtection="1">
      <alignment horizontal="center" vertical="center"/>
    </xf>
    <xf numFmtId="4" fontId="7" fillId="32" borderId="87" xfId="186" applyNumberFormat="1" applyFont="1" applyFill="1" applyBorder="1" applyAlignment="1" applyProtection="1">
      <alignment horizontal="center" vertical="center"/>
    </xf>
    <xf numFmtId="4" fontId="7" fillId="32" borderId="65" xfId="186" applyNumberFormat="1" applyFont="1" applyFill="1" applyBorder="1" applyAlignment="1" applyProtection="1">
      <alignment horizontal="center" vertical="center"/>
    </xf>
    <xf numFmtId="0" fontId="7" fillId="32" borderId="34" xfId="0" applyNumberFormat="1" applyFont="1" applyFill="1" applyBorder="1" applyAlignment="1" applyProtection="1">
      <alignment horizontal="center" vertical="center"/>
    </xf>
    <xf numFmtId="0" fontId="7" fillId="32" borderId="47" xfId="0" applyNumberFormat="1" applyFont="1" applyFill="1" applyBorder="1" applyAlignment="1" applyProtection="1">
      <alignment horizontal="center" vertical="center"/>
    </xf>
    <xf numFmtId="0" fontId="7" fillId="32" borderId="39" xfId="0" applyNumberFormat="1" applyFont="1" applyFill="1" applyBorder="1" applyAlignment="1" applyProtection="1">
      <alignment horizontal="center" vertical="center"/>
    </xf>
    <xf numFmtId="0" fontId="7" fillId="32" borderId="34" xfId="0" applyFont="1" applyFill="1" applyBorder="1" applyAlignment="1" applyProtection="1">
      <alignment horizontal="center" vertical="center"/>
    </xf>
    <xf numFmtId="0" fontId="7" fillId="32" borderId="47" xfId="0" applyFont="1" applyFill="1" applyBorder="1" applyAlignment="1" applyProtection="1">
      <alignment horizontal="center" vertical="center"/>
    </xf>
    <xf numFmtId="0" fontId="7" fillId="32" borderId="39" xfId="0" applyFont="1" applyFill="1" applyBorder="1" applyAlignment="1" applyProtection="1">
      <alignment horizontal="center" vertical="center"/>
    </xf>
    <xf numFmtId="0" fontId="7" fillId="32" borderId="34" xfId="0" applyFont="1" applyFill="1" applyBorder="1" applyAlignment="1">
      <alignment horizontal="center" vertical="center"/>
    </xf>
    <xf numFmtId="0" fontId="7" fillId="32" borderId="39" xfId="0" applyFont="1" applyFill="1" applyBorder="1" applyAlignment="1">
      <alignment horizontal="center" vertical="center"/>
    </xf>
    <xf numFmtId="0" fontId="7" fillId="32" borderId="92" xfId="0" applyFont="1" applyFill="1" applyBorder="1" applyAlignment="1">
      <alignment horizontal="center"/>
    </xf>
    <xf numFmtId="0" fontId="7" fillId="32" borderId="104" xfId="0" applyFont="1" applyFill="1" applyBorder="1" applyAlignment="1">
      <alignment horizontal="center"/>
    </xf>
    <xf numFmtId="0" fontId="19" fillId="39" borderId="138" xfId="0" applyFont="1" applyFill="1" applyBorder="1" applyAlignment="1">
      <alignment horizontal="left" vertical="center" wrapText="1"/>
    </xf>
    <xf numFmtId="0" fontId="19" fillId="39" borderId="139" xfId="0" applyFont="1" applyFill="1" applyBorder="1" applyAlignment="1">
      <alignment horizontal="left" vertical="center" wrapText="1"/>
    </xf>
    <xf numFmtId="4" fontId="5" fillId="0" borderId="33" xfId="186" applyNumberFormat="1" applyFont="1" applyBorder="1" applyAlignment="1" applyProtection="1">
      <alignment horizontal="center" vertical="center" wrapText="1"/>
    </xf>
    <xf numFmtId="4" fontId="5" fillId="0" borderId="27" xfId="186" applyNumberFormat="1" applyFont="1" applyBorder="1" applyAlignment="1" applyProtection="1">
      <alignment horizontal="center" vertical="center" wrapText="1"/>
    </xf>
    <xf numFmtId="4" fontId="5" fillId="0" borderId="28" xfId="186" applyNumberFormat="1" applyFont="1" applyBorder="1" applyAlignment="1" applyProtection="1">
      <alignment horizontal="center" vertical="center" wrapText="1"/>
    </xf>
    <xf numFmtId="0" fontId="5" fillId="0" borderId="33" xfId="186" applyFont="1" applyBorder="1" applyAlignment="1">
      <alignment horizontal="center" vertical="center" wrapText="1"/>
    </xf>
    <xf numFmtId="0" fontId="5" fillId="0" borderId="27" xfId="186" applyFont="1" applyBorder="1" applyAlignment="1">
      <alignment horizontal="center" vertical="center" wrapText="1"/>
    </xf>
    <xf numFmtId="0" fontId="5" fillId="0" borderId="28" xfId="186" applyFont="1" applyBorder="1" applyAlignment="1">
      <alignment horizontal="center" vertical="center" wrapText="1"/>
    </xf>
    <xf numFmtId="165" fontId="0" fillId="0" borderId="37" xfId="192" applyFont="1" applyBorder="1" applyAlignment="1" applyProtection="1">
      <alignment horizontal="center" vertical="center"/>
    </xf>
    <xf numFmtId="0" fontId="5" fillId="32" borderId="33" xfId="186" applyNumberFormat="1" applyFont="1" applyFill="1" applyBorder="1" applyAlignment="1" applyProtection="1">
      <alignment horizontal="center" vertical="center"/>
    </xf>
    <xf numFmtId="0" fontId="5" fillId="32" borderId="27" xfId="186" applyNumberFormat="1" applyFont="1" applyFill="1" applyBorder="1" applyAlignment="1" applyProtection="1">
      <alignment horizontal="center" vertical="center"/>
    </xf>
    <xf numFmtId="0" fontId="5" fillId="32" borderId="28" xfId="186" applyNumberFormat="1" applyFont="1" applyFill="1" applyBorder="1" applyAlignment="1" applyProtection="1">
      <alignment horizontal="center" vertical="center"/>
    </xf>
    <xf numFmtId="165" fontId="3" fillId="32" borderId="33" xfId="192" applyFont="1" applyFill="1" applyBorder="1" applyAlignment="1" applyProtection="1">
      <alignment horizontal="center" vertical="center" wrapText="1"/>
    </xf>
    <xf numFmtId="165" fontId="3" fillId="32" borderId="27" xfId="192" applyFont="1" applyFill="1" applyBorder="1" applyAlignment="1" applyProtection="1">
      <alignment horizontal="center" vertical="center" wrapText="1"/>
    </xf>
    <xf numFmtId="165" fontId="3" fillId="32" borderId="28" xfId="192" applyFont="1" applyFill="1" applyBorder="1" applyAlignment="1" applyProtection="1">
      <alignment horizontal="center" vertical="center" wrapText="1"/>
    </xf>
    <xf numFmtId="0" fontId="22" fillId="39" borderId="34" xfId="30" applyFont="1" applyFill="1" applyBorder="1" applyAlignment="1" applyProtection="1">
      <alignment horizontal="center" vertical="center"/>
    </xf>
    <xf numFmtId="0" fontId="22" fillId="39" borderId="47" xfId="30" applyFont="1" applyFill="1" applyBorder="1" applyAlignment="1" applyProtection="1">
      <alignment horizontal="center" vertical="center"/>
    </xf>
    <xf numFmtId="0" fontId="22" fillId="39" borderId="39" xfId="30" applyFont="1" applyFill="1" applyBorder="1" applyAlignment="1" applyProtection="1">
      <alignment horizontal="center" vertical="center"/>
    </xf>
    <xf numFmtId="0" fontId="23" fillId="32" borderId="34" xfId="30" applyFont="1" applyFill="1" applyBorder="1" applyAlignment="1" applyProtection="1">
      <alignment horizontal="center" vertical="center"/>
    </xf>
    <xf numFmtId="0" fontId="23" fillId="32" borderId="47" xfId="30" applyFont="1" applyFill="1" applyBorder="1" applyAlignment="1" applyProtection="1">
      <alignment horizontal="center" vertical="center"/>
    </xf>
    <xf numFmtId="0" fontId="23" fillId="32" borderId="39" xfId="30" applyFont="1" applyFill="1" applyBorder="1" applyAlignment="1" applyProtection="1">
      <alignment horizontal="center" vertical="center"/>
    </xf>
    <xf numFmtId="0" fontId="79" fillId="32" borderId="14" xfId="30" applyFont="1" applyFill="1" applyBorder="1" applyAlignment="1" applyProtection="1">
      <alignment horizontal="center" vertical="center"/>
    </xf>
    <xf numFmtId="0" fontId="79" fillId="32" borderId="0" xfId="30" applyFont="1" applyFill="1" applyAlignment="1" applyProtection="1">
      <alignment horizontal="center" vertical="center"/>
    </xf>
    <xf numFmtId="0" fontId="20" fillId="32" borderId="34" xfId="186" applyFont="1" applyFill="1" applyBorder="1" applyAlignment="1" applyProtection="1">
      <alignment horizontal="center" vertical="center"/>
    </xf>
    <xf numFmtId="0" fontId="20" fillId="32" borderId="47" xfId="186" applyFont="1" applyFill="1" applyBorder="1" applyAlignment="1" applyProtection="1">
      <alignment horizontal="center" vertical="center"/>
    </xf>
    <xf numFmtId="0" fontId="20" fillId="32" borderId="39" xfId="186" applyFont="1" applyFill="1" applyBorder="1" applyAlignment="1" applyProtection="1">
      <alignment horizontal="center" vertical="center"/>
    </xf>
    <xf numFmtId="0" fontId="23" fillId="0" borderId="37" xfId="30" applyFont="1" applyFill="1" applyBorder="1" applyAlignment="1" applyProtection="1">
      <alignment horizontal="center" vertical="center"/>
    </xf>
    <xf numFmtId="0" fontId="23" fillId="0" borderId="29" xfId="30" applyFont="1" applyFill="1" applyBorder="1" applyAlignment="1" applyProtection="1">
      <alignment horizontal="center" vertical="center"/>
    </xf>
    <xf numFmtId="0" fontId="23" fillId="0" borderId="26" xfId="30" applyFont="1" applyFill="1" applyBorder="1" applyAlignment="1" applyProtection="1">
      <alignment horizontal="center" vertical="center"/>
    </xf>
    <xf numFmtId="0" fontId="3" fillId="32" borderId="33" xfId="30" applyFont="1" applyFill="1" applyBorder="1" applyAlignment="1" applyProtection="1">
      <alignment vertical="center" wrapText="1"/>
    </xf>
    <xf numFmtId="0" fontId="57" fillId="32" borderId="27" xfId="46" applyFill="1" applyBorder="1" applyAlignment="1" applyProtection="1">
      <alignment vertical="center"/>
    </xf>
    <xf numFmtId="0" fontId="57" fillId="32" borderId="28" xfId="46" applyFill="1" applyBorder="1" applyAlignment="1" applyProtection="1">
      <alignment vertical="center"/>
    </xf>
    <xf numFmtId="0" fontId="0" fillId="40" borderId="33" xfId="30" applyFont="1" applyFill="1" applyBorder="1" applyAlignment="1" applyProtection="1">
      <alignment vertical="center" wrapText="1"/>
    </xf>
    <xf numFmtId="0" fontId="57" fillId="40" borderId="27" xfId="46" applyFill="1" applyBorder="1" applyAlignment="1" applyProtection="1">
      <alignment vertical="center" wrapText="1"/>
    </xf>
    <xf numFmtId="0" fontId="57" fillId="40" borderId="28" xfId="46" applyFill="1" applyBorder="1" applyAlignment="1" applyProtection="1">
      <alignment vertical="center"/>
    </xf>
    <xf numFmtId="0" fontId="23" fillId="32" borderId="37" xfId="30" applyFont="1" applyFill="1" applyBorder="1" applyAlignment="1" applyProtection="1">
      <alignment horizontal="center" vertical="center"/>
    </xf>
    <xf numFmtId="0" fontId="23" fillId="32" borderId="29" xfId="30" applyFont="1" applyFill="1" applyBorder="1" applyAlignment="1" applyProtection="1">
      <alignment horizontal="center" vertical="center"/>
    </xf>
    <xf numFmtId="0" fontId="23" fillId="32" borderId="26" xfId="30" applyFont="1" applyFill="1" applyBorder="1" applyAlignment="1" applyProtection="1">
      <alignment horizontal="center" vertical="center"/>
    </xf>
    <xf numFmtId="0" fontId="7" fillId="32" borderId="0" xfId="30" applyFont="1" applyFill="1" applyBorder="1" applyAlignment="1" applyProtection="1">
      <alignment horizontal="center" vertical="center"/>
    </xf>
    <xf numFmtId="0" fontId="0" fillId="0" borderId="33" xfId="30" applyFont="1" applyFill="1" applyBorder="1" applyAlignment="1" applyProtection="1">
      <alignment vertical="center" wrapText="1"/>
    </xf>
    <xf numFmtId="0" fontId="57" fillId="0" borderId="27" xfId="46" applyFill="1" applyBorder="1" applyAlignment="1" applyProtection="1">
      <alignment vertical="center" wrapText="1"/>
    </xf>
    <xf numFmtId="0" fontId="57" fillId="0" borderId="28" xfId="46" applyFill="1" applyBorder="1" applyAlignment="1" applyProtection="1">
      <alignment vertical="center" wrapText="1"/>
    </xf>
    <xf numFmtId="0" fontId="6" fillId="35" borderId="37" xfId="0" applyFont="1" applyFill="1" applyBorder="1" applyAlignment="1" applyProtection="1">
      <alignment horizontal="center" vertical="center" wrapText="1"/>
    </xf>
    <xf numFmtId="0" fontId="6" fillId="35" borderId="29" xfId="0" applyFont="1" applyFill="1" applyBorder="1" applyAlignment="1" applyProtection="1">
      <alignment horizontal="center" vertical="center" wrapText="1"/>
    </xf>
    <xf numFmtId="0" fontId="6" fillId="35" borderId="26" xfId="0" applyFont="1" applyFill="1" applyBorder="1" applyAlignment="1" applyProtection="1">
      <alignment horizontal="center" vertical="center" wrapText="1"/>
    </xf>
    <xf numFmtId="0" fontId="7" fillId="35" borderId="37" xfId="0" applyFont="1" applyFill="1" applyBorder="1" applyAlignment="1" applyProtection="1">
      <alignment horizontal="center" vertical="center" wrapText="1"/>
    </xf>
    <xf numFmtId="0" fontId="7" fillId="35" borderId="29" xfId="0" applyFont="1" applyFill="1" applyBorder="1" applyAlignment="1" applyProtection="1">
      <alignment horizontal="center" vertical="center" wrapText="1"/>
    </xf>
    <xf numFmtId="0" fontId="7" fillId="35" borderId="26" xfId="0" applyFont="1" applyFill="1" applyBorder="1" applyAlignment="1" applyProtection="1">
      <alignment horizontal="center" vertical="center" wrapText="1"/>
    </xf>
    <xf numFmtId="0" fontId="7" fillId="32" borderId="37" xfId="0" applyFont="1" applyFill="1" applyBorder="1" applyAlignment="1" applyProtection="1">
      <alignment horizontal="center" vertical="center" wrapText="1"/>
    </xf>
    <xf numFmtId="0" fontId="7" fillId="32" borderId="29" xfId="0" applyFont="1" applyFill="1" applyBorder="1" applyAlignment="1" applyProtection="1">
      <alignment horizontal="center" vertical="center" wrapText="1"/>
    </xf>
    <xf numFmtId="0" fontId="7" fillId="32" borderId="26" xfId="0" applyFont="1" applyFill="1" applyBorder="1" applyAlignment="1" applyProtection="1">
      <alignment horizontal="center" vertical="center" wrapText="1"/>
    </xf>
    <xf numFmtId="0" fontId="6" fillId="32" borderId="37" xfId="0" applyFont="1" applyFill="1" applyBorder="1" applyAlignment="1" applyProtection="1">
      <alignment horizontal="center" vertical="center" wrapText="1"/>
    </xf>
    <xf numFmtId="0" fontId="6" fillId="32" borderId="29" xfId="0" applyFont="1" applyFill="1" applyBorder="1" applyAlignment="1" applyProtection="1">
      <alignment horizontal="center" vertical="center" wrapText="1"/>
    </xf>
    <xf numFmtId="0" fontId="6" fillId="32" borderId="26" xfId="0" applyFont="1" applyFill="1" applyBorder="1" applyAlignment="1" applyProtection="1">
      <alignment horizontal="center" vertical="center" wrapText="1"/>
    </xf>
    <xf numFmtId="0" fontId="0" fillId="32" borderId="11" xfId="0" applyFill="1" applyBorder="1" applyAlignment="1" applyProtection="1">
      <alignment horizontal="left" vertical="center" wrapText="1"/>
    </xf>
    <xf numFmtId="0" fontId="7" fillId="32" borderId="37" xfId="0" applyFont="1" applyFill="1" applyBorder="1" applyAlignment="1" applyProtection="1">
      <alignment horizontal="left" vertical="center"/>
    </xf>
    <xf numFmtId="0" fontId="7" fillId="32" borderId="29" xfId="0" applyFont="1" applyFill="1" applyBorder="1" applyAlignment="1" applyProtection="1">
      <alignment horizontal="left" vertical="center"/>
    </xf>
    <xf numFmtId="0" fontId="7" fillId="32" borderId="26" xfId="0" applyFont="1" applyFill="1" applyBorder="1" applyAlignment="1" applyProtection="1">
      <alignment horizontal="left" vertical="center"/>
    </xf>
    <xf numFmtId="0" fontId="0" fillId="32" borderId="37" xfId="0" applyFill="1" applyBorder="1" applyAlignment="1" applyProtection="1">
      <alignment horizontal="center" vertical="center" wrapText="1"/>
    </xf>
    <xf numFmtId="0" fontId="0" fillId="32" borderId="29" xfId="0" applyFill="1" applyBorder="1" applyAlignment="1" applyProtection="1">
      <alignment horizontal="center" vertical="center" wrapText="1"/>
    </xf>
    <xf numFmtId="0" fontId="0" fillId="32" borderId="26" xfId="0" applyFill="1" applyBorder="1" applyAlignment="1" applyProtection="1">
      <alignment horizontal="center" vertical="center" wrapText="1"/>
    </xf>
    <xf numFmtId="0" fontId="0" fillId="35" borderId="37" xfId="0" applyFill="1" applyBorder="1" applyAlignment="1" applyProtection="1">
      <alignment horizontal="center" vertical="center" wrapText="1"/>
    </xf>
    <xf numFmtId="0" fontId="0" fillId="35" borderId="29" xfId="0" applyFill="1" applyBorder="1" applyAlignment="1" applyProtection="1">
      <alignment horizontal="center" vertical="center" wrapText="1"/>
    </xf>
    <xf numFmtId="0" fontId="0" fillId="35" borderId="26" xfId="0" applyFill="1" applyBorder="1" applyAlignment="1" applyProtection="1">
      <alignment horizontal="center" vertical="center" wrapText="1"/>
    </xf>
    <xf numFmtId="0" fontId="6" fillId="38" borderId="37" xfId="0" applyFont="1" applyFill="1" applyBorder="1" applyAlignment="1" applyProtection="1">
      <alignment horizontal="center" vertical="center" wrapText="1"/>
    </xf>
    <xf numFmtId="0" fontId="6" fillId="38" borderId="29" xfId="0" applyFont="1" applyFill="1" applyBorder="1" applyAlignment="1" applyProtection="1">
      <alignment horizontal="center" vertical="center" wrapText="1"/>
    </xf>
    <xf numFmtId="0" fontId="6" fillId="38" borderId="26" xfId="0" applyFont="1" applyFill="1" applyBorder="1" applyAlignment="1" applyProtection="1">
      <alignment horizontal="center" vertical="center" wrapText="1"/>
    </xf>
    <xf numFmtId="0" fontId="6" fillId="43" borderId="37" xfId="0" applyFont="1" applyFill="1" applyBorder="1" applyAlignment="1" applyProtection="1">
      <alignment horizontal="center" vertical="center" wrapText="1"/>
    </xf>
    <xf numFmtId="0" fontId="6" fillId="43" borderId="29" xfId="0" applyFont="1" applyFill="1" applyBorder="1" applyAlignment="1" applyProtection="1">
      <alignment horizontal="center" vertical="center" wrapText="1"/>
    </xf>
    <xf numFmtId="0" fontId="6" fillId="43" borderId="26" xfId="0" applyFont="1" applyFill="1" applyBorder="1" applyAlignment="1" applyProtection="1">
      <alignment horizontal="center" vertical="center" wrapText="1"/>
    </xf>
    <xf numFmtId="0" fontId="19" fillId="32" borderId="37" xfId="0" applyFont="1" applyFill="1" applyBorder="1" applyAlignment="1" applyProtection="1">
      <alignment horizontal="left" vertical="center"/>
    </xf>
    <xf numFmtId="0" fontId="19" fillId="32" borderId="29" xfId="0" applyFont="1" applyFill="1" applyBorder="1" applyAlignment="1" applyProtection="1">
      <alignment horizontal="left" vertical="center"/>
    </xf>
    <xf numFmtId="0" fontId="19" fillId="32" borderId="26" xfId="0" applyFont="1" applyFill="1" applyBorder="1" applyAlignment="1" applyProtection="1">
      <alignment horizontal="left" vertical="center"/>
    </xf>
    <xf numFmtId="0" fontId="7" fillId="32" borderId="37" xfId="0" applyFont="1" applyFill="1" applyBorder="1" applyAlignment="1" applyProtection="1">
      <alignment horizontal="left" vertical="center" wrapText="1"/>
    </xf>
    <xf numFmtId="0" fontId="7" fillId="32" borderId="29" xfId="0" applyFont="1" applyFill="1" applyBorder="1" applyAlignment="1" applyProtection="1">
      <alignment horizontal="left" vertical="center" wrapText="1"/>
    </xf>
    <xf numFmtId="0" fontId="7" fillId="32" borderId="26" xfId="0" applyFont="1" applyFill="1" applyBorder="1" applyAlignment="1" applyProtection="1">
      <alignment horizontal="left" vertical="center" wrapText="1"/>
    </xf>
    <xf numFmtId="0" fontId="7" fillId="32" borderId="11" xfId="0" applyFont="1" applyFill="1" applyBorder="1" applyAlignment="1" applyProtection="1">
      <alignment horizontal="left" vertical="center" wrapText="1"/>
    </xf>
    <xf numFmtId="0" fontId="19" fillId="38" borderId="37" xfId="0" applyFont="1" applyFill="1" applyBorder="1" applyAlignment="1" applyProtection="1">
      <alignment horizontal="left" vertical="center"/>
    </xf>
    <xf numFmtId="0" fontId="19" fillId="38" borderId="29" xfId="0" applyFont="1" applyFill="1" applyBorder="1" applyAlignment="1" applyProtection="1">
      <alignment horizontal="left" vertical="center"/>
    </xf>
    <xf numFmtId="0" fontId="19" fillId="38" borderId="26" xfId="0" applyFont="1" applyFill="1" applyBorder="1" applyAlignment="1" applyProtection="1">
      <alignment horizontal="left" vertical="center"/>
    </xf>
    <xf numFmtId="0" fontId="0" fillId="32" borderId="37" xfId="0" applyFill="1" applyBorder="1" applyAlignment="1" applyProtection="1">
      <alignment horizontal="left" vertical="center" wrapText="1"/>
    </xf>
    <xf numFmtId="0" fontId="0" fillId="32" borderId="29" xfId="0" applyFill="1" applyBorder="1" applyAlignment="1" applyProtection="1">
      <alignment horizontal="left" vertical="center" wrapText="1"/>
    </xf>
    <xf numFmtId="0" fontId="0" fillId="32" borderId="26" xfId="0" applyFill="1" applyBorder="1" applyAlignment="1" applyProtection="1">
      <alignment horizontal="left" vertical="center" wrapText="1"/>
    </xf>
    <xf numFmtId="0" fontId="6" fillId="32" borderId="32" xfId="0" applyFont="1" applyFill="1" applyBorder="1" applyAlignment="1" applyProtection="1">
      <alignment horizontal="right" vertical="center"/>
    </xf>
    <xf numFmtId="0" fontId="6" fillId="32" borderId="0" xfId="0" applyFont="1" applyFill="1" applyBorder="1" applyAlignment="1" applyProtection="1">
      <alignment horizontal="center" vertical="center"/>
    </xf>
    <xf numFmtId="0" fontId="20" fillId="32" borderId="34" xfId="186" applyFont="1" applyFill="1" applyBorder="1" applyAlignment="1" applyProtection="1">
      <alignment horizontal="center" vertical="center" wrapText="1"/>
    </xf>
    <xf numFmtId="0" fontId="20" fillId="32" borderId="47" xfId="186" applyFont="1" applyFill="1" applyBorder="1" applyAlignment="1" applyProtection="1">
      <alignment horizontal="center" vertical="center" wrapText="1"/>
    </xf>
    <xf numFmtId="0" fontId="20" fillId="32" borderId="39" xfId="186" applyFont="1" applyFill="1" applyBorder="1" applyAlignment="1" applyProtection="1">
      <alignment horizontal="center" vertical="center" wrapText="1"/>
    </xf>
    <xf numFmtId="0" fontId="26" fillId="32" borderId="14" xfId="30" applyFont="1" applyFill="1" applyBorder="1" applyAlignment="1" applyProtection="1">
      <alignment horizontal="center" vertical="center"/>
    </xf>
    <xf numFmtId="0" fontId="26" fillId="32" borderId="0" xfId="30" applyFont="1" applyFill="1" applyAlignment="1" applyProtection="1">
      <alignment horizontal="center" vertical="center"/>
    </xf>
    <xf numFmtId="0" fontId="57" fillId="0" borderId="28" xfId="46" applyFill="1" applyBorder="1" applyAlignment="1" applyProtection="1">
      <alignment vertical="center"/>
    </xf>
    <xf numFmtId="0" fontId="57" fillId="32" borderId="27" xfId="46" applyFill="1" applyBorder="1" applyAlignment="1" applyProtection="1">
      <alignment vertical="center" wrapText="1"/>
    </xf>
    <xf numFmtId="0" fontId="57" fillId="32" borderId="28" xfId="46" applyFill="1" applyBorder="1" applyAlignment="1" applyProtection="1">
      <alignment vertical="center" wrapText="1"/>
    </xf>
    <xf numFmtId="0" fontId="6" fillId="32" borderId="61" xfId="0" applyFont="1" applyFill="1" applyBorder="1" applyAlignment="1" applyProtection="1">
      <alignment horizontal="left" vertical="center" wrapText="1"/>
    </xf>
    <xf numFmtId="0" fontId="6" fillId="32" borderId="79" xfId="0" applyFont="1" applyFill="1" applyBorder="1" applyAlignment="1" applyProtection="1">
      <alignment horizontal="left" vertical="center" wrapText="1"/>
    </xf>
    <xf numFmtId="0" fontId="6" fillId="32" borderId="121" xfId="0" applyFont="1" applyFill="1" applyBorder="1" applyAlignment="1" applyProtection="1">
      <alignment horizontal="left" vertical="center" wrapText="1"/>
    </xf>
    <xf numFmtId="0" fontId="6" fillId="32" borderId="26" xfId="0" applyFont="1" applyFill="1" applyBorder="1" applyAlignment="1" applyProtection="1">
      <alignment horizontal="left" vertical="center" wrapText="1"/>
    </xf>
    <xf numFmtId="0" fontId="7" fillId="32" borderId="84" xfId="0" applyFont="1" applyFill="1" applyBorder="1" applyAlignment="1" applyProtection="1">
      <alignment horizontal="center" vertical="center" wrapText="1"/>
    </xf>
    <xf numFmtId="0" fontId="7" fillId="32" borderId="35" xfId="0" applyFont="1" applyFill="1" applyBorder="1" applyAlignment="1" applyProtection="1">
      <alignment horizontal="center" vertical="center" wrapText="1"/>
    </xf>
    <xf numFmtId="0" fontId="7" fillId="32" borderId="34" xfId="0" applyFont="1" applyFill="1" applyBorder="1" applyAlignment="1" applyProtection="1">
      <alignment horizontal="left" vertical="center" wrapText="1"/>
    </xf>
    <xf numFmtId="0" fontId="7" fillId="32" borderId="82" xfId="0" applyFont="1" applyFill="1" applyBorder="1" applyAlignment="1" applyProtection="1">
      <alignment horizontal="left" vertical="center" wrapText="1"/>
    </xf>
    <xf numFmtId="0" fontId="7" fillId="32" borderId="34" xfId="0" applyFont="1" applyFill="1" applyBorder="1" applyAlignment="1" applyProtection="1">
      <alignment horizontal="left" vertical="center"/>
    </xf>
    <xf numFmtId="0" fontId="7" fillId="32" borderId="82" xfId="0" applyFont="1" applyFill="1" applyBorder="1" applyAlignment="1" applyProtection="1">
      <alignment horizontal="left" vertical="center"/>
    </xf>
    <xf numFmtId="0" fontId="6" fillId="32" borderId="123" xfId="0" applyFont="1" applyFill="1" applyBorder="1" applyAlignment="1" applyProtection="1">
      <alignment horizontal="left" vertical="center" wrapText="1"/>
    </xf>
    <xf numFmtId="0" fontId="6" fillId="32" borderId="124" xfId="0" applyFont="1" applyFill="1" applyBorder="1" applyAlignment="1" applyProtection="1">
      <alignment horizontal="left" vertical="center" wrapText="1"/>
    </xf>
    <xf numFmtId="0" fontId="6" fillId="32" borderId="0" xfId="0" applyFont="1" applyFill="1" applyAlignment="1" applyProtection="1">
      <alignment horizontal="left" vertical="center" wrapText="1"/>
    </xf>
    <xf numFmtId="0" fontId="7" fillId="0" borderId="34" xfId="174" applyFont="1" applyFill="1" applyBorder="1" applyAlignment="1" applyProtection="1">
      <alignment horizontal="center" vertical="center" wrapText="1"/>
    </xf>
    <xf numFmtId="0" fontId="7" fillId="0" borderId="47" xfId="174" applyFont="1" applyFill="1" applyBorder="1" applyAlignment="1" applyProtection="1">
      <alignment horizontal="center" vertical="center" wrapText="1"/>
    </xf>
    <xf numFmtId="0" fontId="7" fillId="0" borderId="82" xfId="174" applyFont="1" applyFill="1" applyBorder="1" applyAlignment="1" applyProtection="1">
      <alignment horizontal="center" vertical="center" wrapText="1"/>
    </xf>
    <xf numFmtId="0" fontId="5" fillId="0" borderId="42" xfId="174" applyFont="1" applyFill="1" applyBorder="1" applyAlignment="1" applyProtection="1">
      <alignment horizontal="left" vertical="center" wrapText="1"/>
    </xf>
    <xf numFmtId="0" fontId="5" fillId="0" borderId="43" xfId="174" applyFont="1" applyFill="1" applyBorder="1" applyAlignment="1" applyProtection="1">
      <alignment horizontal="left" vertical="center" wrapText="1"/>
    </xf>
    <xf numFmtId="0" fontId="5" fillId="30" borderId="42" xfId="174" applyFont="1" applyFill="1" applyBorder="1" applyAlignment="1" applyProtection="1">
      <alignment horizontal="left" vertical="center" wrapText="1"/>
    </xf>
    <xf numFmtId="0" fontId="5" fillId="30" borderId="43" xfId="174" applyFont="1" applyFill="1" applyBorder="1" applyAlignment="1" applyProtection="1">
      <alignment horizontal="left" vertical="center" wrapText="1"/>
    </xf>
    <xf numFmtId="0" fontId="54" fillId="0" borderId="42" xfId="174" applyFont="1" applyFill="1" applyBorder="1" applyAlignment="1" applyProtection="1">
      <alignment horizontal="left" vertical="center" wrapText="1"/>
    </xf>
    <xf numFmtId="0" fontId="54" fillId="0" borderId="43" xfId="174" applyFont="1" applyFill="1" applyBorder="1" applyAlignment="1" applyProtection="1">
      <alignment horizontal="left" vertical="center" wrapText="1"/>
    </xf>
    <xf numFmtId="0" fontId="3" fillId="0" borderId="42" xfId="174" applyFont="1" applyFill="1" applyBorder="1" applyAlignment="1" applyProtection="1">
      <alignment horizontal="left" vertical="center" wrapText="1"/>
    </xf>
    <xf numFmtId="0" fontId="3" fillId="0" borderId="43" xfId="174" applyFont="1" applyFill="1" applyBorder="1" applyAlignment="1" applyProtection="1">
      <alignment horizontal="left" vertical="center" wrapText="1"/>
    </xf>
    <xf numFmtId="0" fontId="7" fillId="32" borderId="42" xfId="184" applyFont="1" applyFill="1" applyBorder="1" applyAlignment="1" applyProtection="1">
      <alignment horizontal="left" vertical="center" wrapText="1"/>
    </xf>
    <xf numFmtId="0" fontId="7" fillId="32" borderId="43" xfId="184" applyFont="1" applyFill="1" applyBorder="1" applyAlignment="1" applyProtection="1">
      <alignment horizontal="left" vertical="center" wrapText="1"/>
    </xf>
    <xf numFmtId="0" fontId="4" fillId="32" borderId="48" xfId="171" applyFont="1" applyFill="1" applyBorder="1" applyAlignment="1" applyProtection="1">
      <alignment horizontal="center" vertical="center"/>
    </xf>
    <xf numFmtId="0" fontId="4" fillId="32" borderId="49" xfId="171" applyFont="1" applyFill="1" applyBorder="1" applyAlignment="1" applyProtection="1">
      <alignment horizontal="center" vertical="center"/>
    </xf>
    <xf numFmtId="0" fontId="4" fillId="32" borderId="50" xfId="171" applyFont="1" applyFill="1" applyBorder="1" applyAlignment="1" applyProtection="1">
      <alignment horizontal="center" vertical="center"/>
    </xf>
    <xf numFmtId="0" fontId="4" fillId="32" borderId="51" xfId="171" applyFont="1" applyFill="1" applyBorder="1" applyAlignment="1" applyProtection="1">
      <alignment horizontal="center" vertical="center"/>
    </xf>
    <xf numFmtId="0" fontId="4" fillId="32" borderId="15" xfId="171" applyFont="1" applyFill="1" applyBorder="1" applyAlignment="1" applyProtection="1">
      <alignment horizontal="center" vertical="center"/>
    </xf>
    <xf numFmtId="0" fontId="4" fillId="32" borderId="52" xfId="171" applyFont="1" applyFill="1" applyBorder="1" applyAlignment="1" applyProtection="1">
      <alignment horizontal="center" vertical="center"/>
    </xf>
    <xf numFmtId="0" fontId="7" fillId="32" borderId="48" xfId="171" applyFont="1" applyFill="1" applyBorder="1" applyAlignment="1" applyProtection="1">
      <alignment horizontal="center" vertical="center" wrapText="1"/>
    </xf>
    <xf numFmtId="0" fontId="7" fillId="32" borderId="49" xfId="171" applyFont="1" applyFill="1" applyBorder="1" applyAlignment="1" applyProtection="1">
      <alignment horizontal="center" vertical="center" wrapText="1"/>
    </xf>
    <xf numFmtId="0" fontId="7" fillId="32" borderId="78" xfId="171" applyFont="1" applyFill="1" applyBorder="1" applyAlignment="1" applyProtection="1">
      <alignment horizontal="center" vertical="center" wrapText="1"/>
    </xf>
    <xf numFmtId="0" fontId="0" fillId="32" borderId="121" xfId="0" applyFont="1" applyFill="1" applyBorder="1" applyAlignment="1" applyProtection="1">
      <alignment horizontal="left" vertical="center" wrapText="1"/>
    </xf>
    <xf numFmtId="0" fontId="0" fillId="32" borderId="26" xfId="0" applyFont="1" applyFill="1" applyBorder="1" applyAlignment="1" applyProtection="1">
      <alignment horizontal="left" vertical="center" wrapText="1"/>
    </xf>
    <xf numFmtId="0" fontId="0" fillId="32" borderId="61" xfId="0" applyFont="1" applyFill="1" applyBorder="1" applyAlignment="1" applyProtection="1">
      <alignment horizontal="left" vertical="center" wrapText="1"/>
    </xf>
    <xf numFmtId="0" fontId="0" fillId="32" borderId="79" xfId="0" applyFont="1" applyFill="1" applyBorder="1" applyAlignment="1" applyProtection="1">
      <alignment horizontal="left" vertical="center" wrapText="1"/>
    </xf>
    <xf numFmtId="0" fontId="0" fillId="32" borderId="51" xfId="0" applyFont="1" applyFill="1" applyBorder="1" applyAlignment="1" applyProtection="1">
      <alignment horizontal="left" vertical="center" wrapText="1"/>
    </xf>
    <xf numFmtId="0" fontId="0" fillId="32" borderId="130" xfId="0" applyFont="1" applyFill="1" applyBorder="1" applyAlignment="1" applyProtection="1">
      <alignment horizontal="left" vertical="center" wrapText="1"/>
    </xf>
    <xf numFmtId="0" fontId="7" fillId="32" borderId="123" xfId="0" applyFont="1" applyFill="1" applyBorder="1" applyAlignment="1" applyProtection="1">
      <alignment horizontal="left" vertical="center" wrapText="1"/>
    </xf>
    <xf numFmtId="0" fontId="7" fillId="32" borderId="124" xfId="0" applyFont="1" applyFill="1" applyBorder="1" applyAlignment="1" applyProtection="1">
      <alignment horizontal="left" vertical="center" wrapText="1"/>
    </xf>
    <xf numFmtId="0" fontId="0" fillId="32" borderId="123" xfId="0" applyFont="1" applyFill="1" applyBorder="1" applyAlignment="1" applyProtection="1">
      <alignment horizontal="left" vertical="center" wrapText="1"/>
    </xf>
    <xf numFmtId="0" fontId="0" fillId="32" borderId="124" xfId="0" applyFont="1" applyFill="1" applyBorder="1" applyAlignment="1" applyProtection="1">
      <alignment horizontal="left" vertical="center" wrapText="1"/>
    </xf>
    <xf numFmtId="0" fontId="7" fillId="0" borderId="121" xfId="0" applyFont="1" applyBorder="1" applyAlignment="1">
      <alignment horizontal="left" vertical="center" wrapText="1"/>
    </xf>
    <xf numFmtId="0" fontId="7" fillId="0" borderId="26" xfId="0" applyFont="1" applyBorder="1" applyAlignment="1">
      <alignment horizontal="left" vertical="center" wrapText="1"/>
    </xf>
    <xf numFmtId="0" fontId="0" fillId="32" borderId="34" xfId="0" applyFill="1" applyBorder="1" applyAlignment="1" applyProtection="1">
      <alignment horizontal="left" vertical="center" wrapText="1"/>
    </xf>
    <xf numFmtId="0" fontId="0" fillId="32" borderId="82" xfId="0" applyFill="1" applyBorder="1" applyAlignment="1" applyProtection="1">
      <alignment horizontal="left" vertical="center" wrapText="1"/>
    </xf>
    <xf numFmtId="0" fontId="7" fillId="32" borderId="121" xfId="0" applyFont="1" applyFill="1" applyBorder="1" applyAlignment="1" applyProtection="1">
      <alignment horizontal="left" vertical="center" wrapText="1"/>
    </xf>
    <xf numFmtId="0" fontId="7" fillId="32" borderId="127" xfId="0" applyFont="1" applyFill="1" applyBorder="1" applyAlignment="1" applyProtection="1">
      <alignment horizontal="left" vertical="center" wrapText="1"/>
    </xf>
    <xf numFmtId="0" fontId="7" fillId="32" borderId="128" xfId="0" applyFont="1" applyFill="1" applyBorder="1" applyAlignment="1" applyProtection="1">
      <alignment horizontal="left" vertical="center" wrapText="1"/>
    </xf>
    <xf numFmtId="0" fontId="23" fillId="32" borderId="84" xfId="30" applyFont="1" applyFill="1" applyBorder="1" applyAlignment="1" applyProtection="1">
      <alignment horizontal="center" vertical="center"/>
    </xf>
    <xf numFmtId="0" fontId="23" fillId="32" borderId="32" xfId="30" applyFont="1" applyFill="1" applyBorder="1" applyAlignment="1" applyProtection="1">
      <alignment horizontal="center" vertical="center"/>
    </xf>
    <xf numFmtId="0" fontId="23" fillId="32" borderId="35" xfId="30" applyFont="1" applyFill="1" applyBorder="1" applyAlignment="1" applyProtection="1">
      <alignment horizontal="center" vertical="center"/>
    </xf>
    <xf numFmtId="0" fontId="7" fillId="32" borderId="123" xfId="0" applyFont="1" applyFill="1" applyBorder="1" applyAlignment="1" applyProtection="1">
      <alignment horizontal="left" vertical="center"/>
    </xf>
    <xf numFmtId="0" fontId="7" fillId="32" borderId="124" xfId="0" applyFont="1" applyFill="1" applyBorder="1" applyAlignment="1" applyProtection="1">
      <alignment horizontal="left" vertical="center"/>
    </xf>
    <xf numFmtId="0" fontId="6" fillId="40" borderId="32" xfId="0" applyFont="1" applyFill="1" applyBorder="1" applyAlignment="1" applyProtection="1">
      <alignment horizontal="right" vertical="center"/>
    </xf>
    <xf numFmtId="0" fontId="77" fillId="32" borderId="33" xfId="46" applyFont="1" applyFill="1" applyBorder="1" applyAlignment="1" applyProtection="1">
      <alignment vertical="center" wrapText="1"/>
    </xf>
    <xf numFmtId="0" fontId="77" fillId="32" borderId="27" xfId="46" applyFont="1" applyFill="1" applyBorder="1" applyAlignment="1" applyProtection="1">
      <alignment vertical="center" wrapText="1"/>
    </xf>
    <xf numFmtId="0" fontId="77" fillId="32" borderId="28" xfId="46" applyFont="1" applyFill="1" applyBorder="1" applyAlignment="1" applyProtection="1">
      <alignment vertical="center" wrapText="1"/>
    </xf>
    <xf numFmtId="0" fontId="87" fillId="32" borderId="33" xfId="46" applyFont="1" applyFill="1" applyBorder="1" applyAlignment="1" applyProtection="1">
      <alignment vertical="center" wrapText="1"/>
    </xf>
    <xf numFmtId="0" fontId="4" fillId="32" borderId="34" xfId="171" applyFont="1" applyFill="1" applyBorder="1" applyAlignment="1" applyProtection="1">
      <alignment horizontal="center" vertical="center"/>
    </xf>
    <xf numFmtId="0" fontId="4" fillId="32" borderId="47" xfId="171" applyFont="1" applyFill="1" applyBorder="1" applyAlignment="1" applyProtection="1">
      <alignment horizontal="center" vertical="center"/>
    </xf>
    <xf numFmtId="0" fontId="4" fillId="32" borderId="39" xfId="171" applyFont="1" applyFill="1" applyBorder="1" applyAlignment="1" applyProtection="1">
      <alignment horizontal="center" vertical="center"/>
    </xf>
    <xf numFmtId="0" fontId="7" fillId="32" borderId="34" xfId="171" applyFont="1" applyFill="1" applyBorder="1" applyAlignment="1" applyProtection="1">
      <alignment horizontal="center" vertical="center"/>
    </xf>
    <xf numFmtId="0" fontId="7" fillId="32" borderId="39" xfId="171" applyFont="1" applyFill="1" applyBorder="1" applyAlignment="1" applyProtection="1">
      <alignment horizontal="center" vertical="center"/>
    </xf>
    <xf numFmtId="0" fontId="19" fillId="32" borderId="37" xfId="171" applyFont="1" applyFill="1" applyBorder="1" applyAlignment="1" applyProtection="1">
      <alignment horizontal="right" vertical="center"/>
    </xf>
    <xf numFmtId="0" fontId="19" fillId="32" borderId="26" xfId="171" applyFont="1" applyFill="1" applyBorder="1" applyAlignment="1" applyProtection="1">
      <alignment horizontal="right" vertical="center"/>
    </xf>
    <xf numFmtId="0" fontId="4" fillId="32" borderId="34" xfId="0" applyFont="1" applyFill="1" applyBorder="1" applyAlignment="1" applyProtection="1">
      <alignment horizontal="center" vertical="center"/>
    </xf>
    <xf numFmtId="0" fontId="4" fillId="32" borderId="47" xfId="0" applyFont="1" applyFill="1" applyBorder="1" applyAlignment="1" applyProtection="1">
      <alignment horizontal="center" vertical="center"/>
    </xf>
    <xf numFmtId="0" fontId="4" fillId="32" borderId="39" xfId="0" applyFont="1" applyFill="1" applyBorder="1" applyAlignment="1" applyProtection="1">
      <alignment horizontal="center" vertical="center"/>
    </xf>
    <xf numFmtId="0" fontId="6" fillId="32" borderId="0" xfId="171" applyFont="1" applyFill="1" applyAlignment="1" applyProtection="1">
      <alignment horizontal="left" vertical="center" wrapText="1"/>
    </xf>
    <xf numFmtId="10" fontId="3" fillId="32" borderId="92" xfId="121" applyNumberFormat="1" applyFill="1" applyBorder="1" applyAlignment="1" applyProtection="1">
      <alignment horizontal="center" vertical="center"/>
    </xf>
    <xf numFmtId="10" fontId="3" fillId="32" borderId="77" xfId="121" applyNumberFormat="1" applyFill="1" applyBorder="1" applyAlignment="1" applyProtection="1">
      <alignment horizontal="center" vertical="center"/>
    </xf>
    <xf numFmtId="10" fontId="3" fillId="32" borderId="104" xfId="121" applyNumberFormat="1" applyFill="1" applyBorder="1" applyAlignment="1" applyProtection="1">
      <alignment horizontal="center" vertical="center"/>
    </xf>
    <xf numFmtId="0" fontId="7" fillId="39" borderId="34" xfId="0" applyFont="1" applyFill="1" applyBorder="1" applyAlignment="1" applyProtection="1">
      <alignment horizontal="center" vertical="center"/>
    </xf>
    <xf numFmtId="0" fontId="7" fillId="39" borderId="47" xfId="0" applyFont="1" applyFill="1" applyBorder="1" applyAlignment="1" applyProtection="1">
      <alignment horizontal="center" vertical="center"/>
    </xf>
    <xf numFmtId="0" fontId="7" fillId="39" borderId="39" xfId="0" applyFont="1" applyFill="1" applyBorder="1" applyAlignment="1" applyProtection="1">
      <alignment horizontal="center" vertical="center"/>
    </xf>
    <xf numFmtId="0" fontId="0" fillId="32" borderId="0" xfId="0" applyFill="1" applyAlignment="1" applyProtection="1">
      <alignment horizontal="left" vertical="top" wrapText="1"/>
    </xf>
    <xf numFmtId="0" fontId="6" fillId="32" borderId="0" xfId="0" quotePrefix="1" applyFont="1" applyFill="1" applyAlignment="1" applyProtection="1">
      <alignment horizontal="left" vertical="top" wrapText="1"/>
    </xf>
    <xf numFmtId="0" fontId="4" fillId="32" borderId="34" xfId="0" applyFont="1" applyFill="1" applyBorder="1" applyAlignment="1">
      <alignment horizontal="center" vertical="center"/>
    </xf>
    <xf numFmtId="0" fontId="4" fillId="32" borderId="47" xfId="0" applyFont="1" applyFill="1" applyBorder="1" applyAlignment="1">
      <alignment horizontal="center" vertical="center"/>
    </xf>
    <xf numFmtId="0" fontId="4" fillId="32" borderId="39" xfId="0" applyFont="1" applyFill="1" applyBorder="1" applyAlignment="1">
      <alignment horizontal="center" vertical="center"/>
    </xf>
    <xf numFmtId="0" fontId="3" fillId="32" borderId="14" xfId="0" applyFont="1" applyFill="1" applyBorder="1" applyAlignment="1">
      <alignment horizontal="left" vertical="center"/>
    </xf>
    <xf numFmtId="0" fontId="7" fillId="32" borderId="34" xfId="0" applyFont="1" applyFill="1" applyBorder="1" applyAlignment="1">
      <alignment horizontal="left" vertical="center"/>
    </xf>
    <xf numFmtId="0" fontId="7" fillId="32" borderId="39" xfId="0" applyFont="1" applyFill="1" applyBorder="1" applyAlignment="1">
      <alignment horizontal="left" vertical="center"/>
    </xf>
    <xf numFmtId="0" fontId="7" fillId="32" borderId="92" xfId="0" applyFont="1" applyFill="1" applyBorder="1" applyAlignment="1">
      <alignment horizontal="center" vertical="center"/>
    </xf>
    <xf numFmtId="0" fontId="7" fillId="32" borderId="104" xfId="0" applyFont="1" applyFill="1" applyBorder="1" applyAlignment="1">
      <alignment horizontal="center" vertical="center"/>
    </xf>
    <xf numFmtId="0" fontId="7" fillId="32" borderId="109" xfId="0" applyFont="1" applyFill="1" applyBorder="1" applyAlignment="1">
      <alignment horizontal="left" vertical="center" wrapText="1"/>
    </xf>
    <xf numFmtId="0" fontId="7" fillId="32" borderId="62" xfId="0" applyFont="1" applyFill="1" applyBorder="1" applyAlignment="1">
      <alignment horizontal="left" vertical="center" wrapText="1"/>
    </xf>
    <xf numFmtId="0" fontId="7" fillId="32" borderId="14" xfId="0" applyFont="1" applyFill="1" applyBorder="1" applyAlignment="1">
      <alignment horizontal="left" vertical="center" wrapText="1"/>
    </xf>
    <xf numFmtId="0" fontId="7" fillId="32" borderId="40" xfId="0" applyFont="1" applyFill="1" applyBorder="1" applyAlignment="1">
      <alignment horizontal="left" vertical="center" wrapText="1"/>
    </xf>
    <xf numFmtId="0" fontId="7" fillId="32" borderId="51" xfId="0" applyFont="1" applyFill="1" applyBorder="1" applyAlignment="1">
      <alignment horizontal="left" vertical="center" wrapText="1"/>
    </xf>
    <xf numFmtId="0" fontId="7" fillId="32" borderId="52" xfId="0" applyFont="1" applyFill="1" applyBorder="1" applyAlignment="1">
      <alignment horizontal="left" vertical="center" wrapText="1"/>
    </xf>
    <xf numFmtId="0" fontId="3" fillId="32" borderId="14" xfId="0" applyFont="1" applyFill="1" applyBorder="1" applyAlignment="1">
      <alignment horizontal="left" vertical="center" wrapText="1"/>
    </xf>
  </cellXfs>
  <cellStyles count="195">
    <cellStyle name="_x000d__x000a_JournalTemplate=C:\COMFO\CTALK\JOURSTD.TPL_x000d__x000a_LbStateAddress=3 3 0 251 1 89 2 311_x000d__x000a_LbStateJou" xfId="1" xr:uid="{00000000-0005-0000-0000-000000000000}"/>
    <cellStyle name="Bad" xfId="2" xr:uid="{00000000-0005-0000-0000-000001000000}"/>
    <cellStyle name="Calculation" xfId="3" xr:uid="{00000000-0005-0000-0000-000002000000}"/>
    <cellStyle name="Check Cell" xfId="4" xr:uid="{00000000-0005-0000-0000-000003000000}"/>
    <cellStyle name="Comma 2" xfId="5" xr:uid="{00000000-0005-0000-0000-000004000000}"/>
    <cellStyle name="Euro" xfId="6" xr:uid="{00000000-0005-0000-0000-000005000000}"/>
    <cellStyle name="Explanatory Text" xfId="7" xr:uid="{00000000-0005-0000-0000-000006000000}"/>
    <cellStyle name="Good" xfId="8" xr:uid="{00000000-0005-0000-0000-000007000000}"/>
    <cellStyle name="Heading 1" xfId="9" xr:uid="{00000000-0005-0000-0000-000008000000}"/>
    <cellStyle name="Heading 2" xfId="10" xr:uid="{00000000-0005-0000-0000-000009000000}"/>
    <cellStyle name="Heading 3" xfId="11" xr:uid="{00000000-0005-0000-0000-00000A000000}"/>
    <cellStyle name="Heading 4" xfId="12" xr:uid="{00000000-0005-0000-0000-00000B000000}"/>
    <cellStyle name="Hyperlink" xfId="13" builtinId="8"/>
    <cellStyle name="Input" xfId="14" xr:uid="{00000000-0005-0000-0000-00000D000000}"/>
    <cellStyle name="Komma 2" xfId="15" xr:uid="{00000000-0005-0000-0000-00000E000000}"/>
    <cellStyle name="Komma 3" xfId="16" xr:uid="{00000000-0005-0000-0000-00000F000000}"/>
    <cellStyle name="Linked Cell" xfId="17" xr:uid="{00000000-0005-0000-0000-000010000000}"/>
    <cellStyle name="Milliers 2" xfId="18" xr:uid="{00000000-0005-0000-0000-000011000000}"/>
    <cellStyle name="Milliers 5" xfId="19" xr:uid="{00000000-0005-0000-0000-000012000000}"/>
    <cellStyle name="Milliers 8" xfId="20" xr:uid="{00000000-0005-0000-0000-000013000000}"/>
    <cellStyle name="Neutral" xfId="21" xr:uid="{00000000-0005-0000-0000-000014000000}"/>
    <cellStyle name="Normal 10" xfId="22" xr:uid="{00000000-0005-0000-0000-000015000000}"/>
    <cellStyle name="Normal 13" xfId="23" xr:uid="{00000000-0005-0000-0000-000016000000}"/>
    <cellStyle name="Normal 14" xfId="24" xr:uid="{00000000-0005-0000-0000-000017000000}"/>
    <cellStyle name="Normal 15" xfId="25" xr:uid="{00000000-0005-0000-0000-000018000000}"/>
    <cellStyle name="Normal 16" xfId="26" xr:uid="{00000000-0005-0000-0000-000019000000}"/>
    <cellStyle name="Normal 17" xfId="27" xr:uid="{00000000-0005-0000-0000-00001A000000}"/>
    <cellStyle name="Normal 18" xfId="28" xr:uid="{00000000-0005-0000-0000-00001B000000}"/>
    <cellStyle name="Normal 19" xfId="29" xr:uid="{00000000-0005-0000-0000-00001C000000}"/>
    <cellStyle name="Normal 2" xfId="30" xr:uid="{00000000-0005-0000-0000-00001D000000}"/>
    <cellStyle name="Normal 2 11" xfId="31" xr:uid="{00000000-0005-0000-0000-00001E000000}"/>
    <cellStyle name="Normal 2 12" xfId="32" xr:uid="{00000000-0005-0000-0000-00001F000000}"/>
    <cellStyle name="Normal 2 13" xfId="33" xr:uid="{00000000-0005-0000-0000-000020000000}"/>
    <cellStyle name="Normal 2 2" xfId="34" xr:uid="{00000000-0005-0000-0000-000021000000}"/>
    <cellStyle name="Normal 2 2 2" xfId="35" xr:uid="{00000000-0005-0000-0000-000022000000}"/>
    <cellStyle name="Normal 20" xfId="36" xr:uid="{00000000-0005-0000-0000-000023000000}"/>
    <cellStyle name="Normal 21" xfId="37" xr:uid="{00000000-0005-0000-0000-000024000000}"/>
    <cellStyle name="Normal 22" xfId="38" xr:uid="{00000000-0005-0000-0000-000025000000}"/>
    <cellStyle name="Normal 23" xfId="39" xr:uid="{00000000-0005-0000-0000-000026000000}"/>
    <cellStyle name="Normal 24" xfId="40" xr:uid="{00000000-0005-0000-0000-000027000000}"/>
    <cellStyle name="Normal 25" xfId="41" xr:uid="{00000000-0005-0000-0000-000028000000}"/>
    <cellStyle name="Normal 26" xfId="42" xr:uid="{00000000-0005-0000-0000-000029000000}"/>
    <cellStyle name="Normal 27" xfId="43" xr:uid="{00000000-0005-0000-0000-00002A000000}"/>
    <cellStyle name="Normal 28" xfId="44" xr:uid="{00000000-0005-0000-0000-00002B000000}"/>
    <cellStyle name="Normal 29" xfId="45" xr:uid="{00000000-0005-0000-0000-00002C000000}"/>
    <cellStyle name="Normal 3" xfId="46" xr:uid="{00000000-0005-0000-0000-00002D000000}"/>
    <cellStyle name="Normal 3 2" xfId="47" xr:uid="{00000000-0005-0000-0000-00002E000000}"/>
    <cellStyle name="Normal 3 3" xfId="48" xr:uid="{00000000-0005-0000-0000-00002F000000}"/>
    <cellStyle name="Normal 30" xfId="49" xr:uid="{00000000-0005-0000-0000-000030000000}"/>
    <cellStyle name="Normal 31" xfId="50" xr:uid="{00000000-0005-0000-0000-000031000000}"/>
    <cellStyle name="Normal 32" xfId="51" xr:uid="{00000000-0005-0000-0000-000032000000}"/>
    <cellStyle name="Normal 33" xfId="52" xr:uid="{00000000-0005-0000-0000-000033000000}"/>
    <cellStyle name="Normal 34" xfId="53" xr:uid="{00000000-0005-0000-0000-000034000000}"/>
    <cellStyle name="Normal 35" xfId="54" xr:uid="{00000000-0005-0000-0000-000035000000}"/>
    <cellStyle name="Normal 36" xfId="55" xr:uid="{00000000-0005-0000-0000-000036000000}"/>
    <cellStyle name="Normal 37" xfId="56" xr:uid="{00000000-0005-0000-0000-000037000000}"/>
    <cellStyle name="Normal 38" xfId="57" xr:uid="{00000000-0005-0000-0000-000038000000}"/>
    <cellStyle name="Normal 39" xfId="58" xr:uid="{00000000-0005-0000-0000-000039000000}"/>
    <cellStyle name="Normal 4" xfId="59" xr:uid="{00000000-0005-0000-0000-00003A000000}"/>
    <cellStyle name="Normal 40" xfId="60" xr:uid="{00000000-0005-0000-0000-00003B000000}"/>
    <cellStyle name="Normal 41" xfId="61" xr:uid="{00000000-0005-0000-0000-00003C000000}"/>
    <cellStyle name="Normal 42" xfId="62" xr:uid="{00000000-0005-0000-0000-00003D000000}"/>
    <cellStyle name="Normal 43" xfId="63" xr:uid="{00000000-0005-0000-0000-00003E000000}"/>
    <cellStyle name="Normal 44" xfId="64" xr:uid="{00000000-0005-0000-0000-00003F000000}"/>
    <cellStyle name="Normal 45" xfId="65" xr:uid="{00000000-0005-0000-0000-000040000000}"/>
    <cellStyle name="Normal 46" xfId="66" xr:uid="{00000000-0005-0000-0000-000041000000}"/>
    <cellStyle name="Normal 47" xfId="67" xr:uid="{00000000-0005-0000-0000-000042000000}"/>
    <cellStyle name="Normal 48" xfId="68" xr:uid="{00000000-0005-0000-0000-000043000000}"/>
    <cellStyle name="Normal 49" xfId="69" xr:uid="{00000000-0005-0000-0000-000044000000}"/>
    <cellStyle name="Normal 50" xfId="70" xr:uid="{00000000-0005-0000-0000-000045000000}"/>
    <cellStyle name="Normal 51" xfId="71" xr:uid="{00000000-0005-0000-0000-000046000000}"/>
    <cellStyle name="Normal 52" xfId="72" xr:uid="{00000000-0005-0000-0000-000047000000}"/>
    <cellStyle name="Normal 53" xfId="73" xr:uid="{00000000-0005-0000-0000-000048000000}"/>
    <cellStyle name="Normal 54" xfId="74" xr:uid="{00000000-0005-0000-0000-000049000000}"/>
    <cellStyle name="Normal 56" xfId="75" xr:uid="{00000000-0005-0000-0000-00004A000000}"/>
    <cellStyle name="Normal 57" xfId="76" xr:uid="{00000000-0005-0000-0000-00004B000000}"/>
    <cellStyle name="Normal 58" xfId="77" xr:uid="{00000000-0005-0000-0000-00004C000000}"/>
    <cellStyle name="Normal 59" xfId="78" xr:uid="{00000000-0005-0000-0000-00004D000000}"/>
    <cellStyle name="Normal 60" xfId="79" xr:uid="{00000000-0005-0000-0000-00004E000000}"/>
    <cellStyle name="Normal 61" xfId="80" xr:uid="{00000000-0005-0000-0000-00004F000000}"/>
    <cellStyle name="Normal 62" xfId="81" xr:uid="{00000000-0005-0000-0000-000050000000}"/>
    <cellStyle name="Normal 63" xfId="82" xr:uid="{00000000-0005-0000-0000-000051000000}"/>
    <cellStyle name="Normal 64" xfId="83" xr:uid="{00000000-0005-0000-0000-000052000000}"/>
    <cellStyle name="Normal 65" xfId="84" xr:uid="{00000000-0005-0000-0000-000053000000}"/>
    <cellStyle name="Normal 66" xfId="85" xr:uid="{00000000-0005-0000-0000-000054000000}"/>
    <cellStyle name="Normal 67" xfId="86" xr:uid="{00000000-0005-0000-0000-000055000000}"/>
    <cellStyle name="Normal 68" xfId="87" xr:uid="{00000000-0005-0000-0000-000056000000}"/>
    <cellStyle name="Normal 69" xfId="88" xr:uid="{00000000-0005-0000-0000-000057000000}"/>
    <cellStyle name="Normal 70" xfId="89" xr:uid="{00000000-0005-0000-0000-000058000000}"/>
    <cellStyle name="Normal 71" xfId="90" xr:uid="{00000000-0005-0000-0000-000059000000}"/>
    <cellStyle name="Normal 72" xfId="91" xr:uid="{00000000-0005-0000-0000-00005A000000}"/>
    <cellStyle name="Normal 73" xfId="92" xr:uid="{00000000-0005-0000-0000-00005B000000}"/>
    <cellStyle name="Normal 74" xfId="93" xr:uid="{00000000-0005-0000-0000-00005C000000}"/>
    <cellStyle name="Normal 75" xfId="94" xr:uid="{00000000-0005-0000-0000-00005D000000}"/>
    <cellStyle name="Normal 76" xfId="95" xr:uid="{00000000-0005-0000-0000-00005E000000}"/>
    <cellStyle name="Normal 77" xfId="96" xr:uid="{00000000-0005-0000-0000-00005F000000}"/>
    <cellStyle name="Normal 78" xfId="97" xr:uid="{00000000-0005-0000-0000-000060000000}"/>
    <cellStyle name="Normal 79" xfId="98" xr:uid="{00000000-0005-0000-0000-000061000000}"/>
    <cellStyle name="Normal 80" xfId="99" xr:uid="{00000000-0005-0000-0000-000062000000}"/>
    <cellStyle name="Normal 81" xfId="100" xr:uid="{00000000-0005-0000-0000-000063000000}"/>
    <cellStyle name="Normal 82" xfId="101" xr:uid="{00000000-0005-0000-0000-000064000000}"/>
    <cellStyle name="Normal 83" xfId="102" xr:uid="{00000000-0005-0000-0000-000065000000}"/>
    <cellStyle name="Normal 84" xfId="103" xr:uid="{00000000-0005-0000-0000-000066000000}"/>
    <cellStyle name="Normal 85" xfId="104" xr:uid="{00000000-0005-0000-0000-000067000000}"/>
    <cellStyle name="Normal 86" xfId="105" xr:uid="{00000000-0005-0000-0000-000068000000}"/>
    <cellStyle name="Normal 87" xfId="106" xr:uid="{00000000-0005-0000-0000-000069000000}"/>
    <cellStyle name="Normal 88" xfId="107" xr:uid="{00000000-0005-0000-0000-00006A000000}"/>
    <cellStyle name="Normal 89" xfId="108" xr:uid="{00000000-0005-0000-0000-00006B000000}"/>
    <cellStyle name="Normal 9" xfId="109" xr:uid="{00000000-0005-0000-0000-00006C000000}"/>
    <cellStyle name="Normal 90" xfId="110" xr:uid="{00000000-0005-0000-0000-00006D000000}"/>
    <cellStyle name="Normal 91" xfId="111" xr:uid="{00000000-0005-0000-0000-00006E000000}"/>
    <cellStyle name="Normal 92" xfId="112" xr:uid="{00000000-0005-0000-0000-00006F000000}"/>
    <cellStyle name="Normal 93" xfId="113" xr:uid="{00000000-0005-0000-0000-000070000000}"/>
    <cellStyle name="Normal 94" xfId="114" xr:uid="{00000000-0005-0000-0000-000071000000}"/>
    <cellStyle name="Normal 95 2" xfId="115" xr:uid="{00000000-0005-0000-0000-000072000000}"/>
    <cellStyle name="Normal_IMEA" xfId="116" xr:uid="{00000000-0005-0000-0000-000073000000}"/>
    <cellStyle name="Note" xfId="117" xr:uid="{00000000-0005-0000-0000-000074000000}"/>
    <cellStyle name="Output" xfId="118" xr:uid="{00000000-0005-0000-0000-000075000000}"/>
    <cellStyle name="Percent 2" xfId="119" xr:uid="{00000000-0005-0000-0000-000076000000}"/>
    <cellStyle name="Pourcentage 2" xfId="120" xr:uid="{00000000-0005-0000-0000-000077000000}"/>
    <cellStyle name="Procent" xfId="121" builtinId="5"/>
    <cellStyle name="Procent 2" xfId="122" xr:uid="{00000000-0005-0000-0000-000079000000}"/>
    <cellStyle name="Procent 3" xfId="123" xr:uid="{00000000-0005-0000-0000-00007A000000}"/>
    <cellStyle name="Procent 4" xfId="124" xr:uid="{00000000-0005-0000-0000-00007B000000}"/>
    <cellStyle name="Procent 5" xfId="125" xr:uid="{00000000-0005-0000-0000-00007C000000}"/>
    <cellStyle name="Procent 6" xfId="126" xr:uid="{00000000-0005-0000-0000-00007D000000}"/>
    <cellStyle name="SAPBEXaggData" xfId="127" xr:uid="{00000000-0005-0000-0000-00007E000000}"/>
    <cellStyle name="SAPBEXaggDataEmph" xfId="128" xr:uid="{00000000-0005-0000-0000-00007F000000}"/>
    <cellStyle name="SAPBEXaggItem" xfId="129" xr:uid="{00000000-0005-0000-0000-000080000000}"/>
    <cellStyle name="SAPBEXaggItemX" xfId="130" xr:uid="{00000000-0005-0000-0000-000081000000}"/>
    <cellStyle name="SAPBEXchaText" xfId="131" xr:uid="{00000000-0005-0000-0000-000082000000}"/>
    <cellStyle name="SAPBEXchaText 2" xfId="132" xr:uid="{00000000-0005-0000-0000-000083000000}"/>
    <cellStyle name="SAPBEXexcBad7" xfId="133" xr:uid="{00000000-0005-0000-0000-000084000000}"/>
    <cellStyle name="SAPBEXexcBad8" xfId="134" xr:uid="{00000000-0005-0000-0000-000085000000}"/>
    <cellStyle name="SAPBEXexcBad9" xfId="135" xr:uid="{00000000-0005-0000-0000-000086000000}"/>
    <cellStyle name="SAPBEXexcCritical4" xfId="136" xr:uid="{00000000-0005-0000-0000-000087000000}"/>
    <cellStyle name="SAPBEXexcCritical5" xfId="137" xr:uid="{00000000-0005-0000-0000-000088000000}"/>
    <cellStyle name="SAPBEXexcCritical6" xfId="138" xr:uid="{00000000-0005-0000-0000-000089000000}"/>
    <cellStyle name="SAPBEXexcGood1" xfId="139" xr:uid="{00000000-0005-0000-0000-00008A000000}"/>
    <cellStyle name="SAPBEXexcGood2" xfId="140" xr:uid="{00000000-0005-0000-0000-00008B000000}"/>
    <cellStyle name="SAPBEXexcGood3" xfId="141" xr:uid="{00000000-0005-0000-0000-00008C000000}"/>
    <cellStyle name="SAPBEXfilterDrill" xfId="142" xr:uid="{00000000-0005-0000-0000-00008D000000}"/>
    <cellStyle name="SAPBEXfilterItem" xfId="143" xr:uid="{00000000-0005-0000-0000-00008E000000}"/>
    <cellStyle name="SAPBEXfilterText" xfId="144" xr:uid="{00000000-0005-0000-0000-00008F000000}"/>
    <cellStyle name="SAPBEXformats" xfId="145" xr:uid="{00000000-0005-0000-0000-000090000000}"/>
    <cellStyle name="SAPBEXheaderItem" xfId="146" xr:uid="{00000000-0005-0000-0000-000091000000}"/>
    <cellStyle name="SAPBEXheaderText" xfId="147" xr:uid="{00000000-0005-0000-0000-000092000000}"/>
    <cellStyle name="SAPBEXHLevel0" xfId="148" xr:uid="{00000000-0005-0000-0000-000093000000}"/>
    <cellStyle name="SAPBEXHLevel0X" xfId="149" xr:uid="{00000000-0005-0000-0000-000094000000}"/>
    <cellStyle name="SAPBEXHLevel1" xfId="150" xr:uid="{00000000-0005-0000-0000-000095000000}"/>
    <cellStyle name="SAPBEXHLevel1X" xfId="151" xr:uid="{00000000-0005-0000-0000-000096000000}"/>
    <cellStyle name="SAPBEXHLevel2" xfId="152" xr:uid="{00000000-0005-0000-0000-000097000000}"/>
    <cellStyle name="SAPBEXHLevel2X" xfId="153" xr:uid="{00000000-0005-0000-0000-000098000000}"/>
    <cellStyle name="SAPBEXHLevel3" xfId="154" xr:uid="{00000000-0005-0000-0000-000099000000}"/>
    <cellStyle name="SAPBEXHLevel3X" xfId="155" xr:uid="{00000000-0005-0000-0000-00009A000000}"/>
    <cellStyle name="SAPBEXinputData" xfId="156" xr:uid="{00000000-0005-0000-0000-00009B000000}"/>
    <cellStyle name="SAPBEXresData" xfId="157" xr:uid="{00000000-0005-0000-0000-00009C000000}"/>
    <cellStyle name="SAPBEXresDataEmph" xfId="158" xr:uid="{00000000-0005-0000-0000-00009D000000}"/>
    <cellStyle name="SAPBEXresItem" xfId="159" xr:uid="{00000000-0005-0000-0000-00009E000000}"/>
    <cellStyle name="SAPBEXresItemX" xfId="160" xr:uid="{00000000-0005-0000-0000-00009F000000}"/>
    <cellStyle name="SAPBEXstdData" xfId="161" xr:uid="{00000000-0005-0000-0000-0000A0000000}"/>
    <cellStyle name="SAPBEXstdDataEmph" xfId="162" xr:uid="{00000000-0005-0000-0000-0000A1000000}"/>
    <cellStyle name="SAPBEXstdItem" xfId="163" xr:uid="{00000000-0005-0000-0000-0000A2000000}"/>
    <cellStyle name="SAPBEXstdItem 2" xfId="164" xr:uid="{00000000-0005-0000-0000-0000A3000000}"/>
    <cellStyle name="SAPBEXstdItemX" xfId="165" xr:uid="{00000000-0005-0000-0000-0000A4000000}"/>
    <cellStyle name="SAPBEXtitle" xfId="166" xr:uid="{00000000-0005-0000-0000-0000A5000000}"/>
    <cellStyle name="SAPBEXundefined" xfId="167" xr:uid="{00000000-0005-0000-0000-0000A6000000}"/>
    <cellStyle name="Sheet Title" xfId="168" xr:uid="{00000000-0005-0000-0000-0000A7000000}"/>
    <cellStyle name="Standaard" xfId="0" builtinId="0"/>
    <cellStyle name="Standaard 2" xfId="169" xr:uid="{00000000-0005-0000-0000-0000A9000000}"/>
    <cellStyle name="Standaard 2 2" xfId="170" xr:uid="{00000000-0005-0000-0000-0000AA000000}"/>
    <cellStyle name="Standaard 2 3" xfId="171" xr:uid="{00000000-0005-0000-0000-0000AB000000}"/>
    <cellStyle name="Standaard 2 4" xfId="172" xr:uid="{00000000-0005-0000-0000-0000AC000000}"/>
    <cellStyle name="Standaard 2_B2009_doorvervoer ELEK_MATRIX_versie DEF" xfId="173" xr:uid="{00000000-0005-0000-0000-0000AD000000}"/>
    <cellStyle name="Standaard 3" xfId="174" xr:uid="{00000000-0005-0000-0000-0000AE000000}"/>
    <cellStyle name="Standaard 3 2" xfId="175" xr:uid="{00000000-0005-0000-0000-0000AF000000}"/>
    <cellStyle name="Standaard 3 3" xfId="176" xr:uid="{00000000-0005-0000-0000-0000B0000000}"/>
    <cellStyle name="Standaard 4" xfId="177" xr:uid="{00000000-0005-0000-0000-0000B1000000}"/>
    <cellStyle name="Standaard 4 2" xfId="178" xr:uid="{00000000-0005-0000-0000-0000B2000000}"/>
    <cellStyle name="Standaard 4_B2009_doorvervoer ELEK_MATRIX_versie DEF" xfId="179" xr:uid="{00000000-0005-0000-0000-0000B3000000}"/>
    <cellStyle name="Standaard 5" xfId="180" xr:uid="{00000000-0005-0000-0000-0000B4000000}"/>
    <cellStyle name="Standaard 6" xfId="181" xr:uid="{00000000-0005-0000-0000-0000B5000000}"/>
    <cellStyle name="Standaard 7" xfId="182" xr:uid="{00000000-0005-0000-0000-0000B6000000}"/>
    <cellStyle name="Standaard 7 2" xfId="183" xr:uid="{00000000-0005-0000-0000-0000B7000000}"/>
    <cellStyle name="Standaard 8" xfId="184" xr:uid="{00000000-0005-0000-0000-0000B8000000}"/>
    <cellStyle name="Standaard_20100727 Rekenmodel NE5R v1.9" xfId="185" xr:uid="{00000000-0005-0000-0000-0000B9000000}"/>
    <cellStyle name="Standaard_Balans IL-Glob. PLAU" xfId="186" xr:uid="{00000000-0005-0000-0000-0000BA000000}"/>
    <cellStyle name="Standaard_Balans IL-Glob. PLAU 2" xfId="187" xr:uid="{00000000-0005-0000-0000-0000BB000000}"/>
    <cellStyle name="Stijl 1" xfId="188" xr:uid="{00000000-0005-0000-0000-0000BC000000}"/>
    <cellStyle name="Style 1" xfId="189" xr:uid="{00000000-0005-0000-0000-0000BD000000}"/>
    <cellStyle name="Title" xfId="190" xr:uid="{00000000-0005-0000-0000-0000BE000000}"/>
    <cellStyle name="Total" xfId="191" xr:uid="{00000000-0005-0000-0000-0000BF000000}"/>
    <cellStyle name="Valuta" xfId="194" builtinId="4"/>
    <cellStyle name="Valuta 2" xfId="192" xr:uid="{00000000-0005-0000-0000-0000C0000000}"/>
    <cellStyle name="Warning Text" xfId="193" xr:uid="{00000000-0005-0000-0000-0000C1000000}"/>
  </cellStyles>
  <dxfs count="70">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0" defaultTableStyle="TableStyleMedium2"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19050</xdr:colOff>
      <xdr:row>37</xdr:row>
      <xdr:rowOff>6350</xdr:rowOff>
    </xdr:from>
    <xdr:to>
      <xdr:col>16</xdr:col>
      <xdr:colOff>119063</xdr:colOff>
      <xdr:row>47</xdr:row>
      <xdr:rowOff>38100</xdr:rowOff>
    </xdr:to>
    <xdr:sp macro="" textlink="">
      <xdr:nvSpPr>
        <xdr:cNvPr id="47254" name="AutoShape 2">
          <a:extLst>
            <a:ext uri="{FF2B5EF4-FFF2-40B4-BE49-F238E27FC236}">
              <a16:creationId xmlns:a16="http://schemas.microsoft.com/office/drawing/2014/main" id="{29286435-CF18-413D-B605-60ECEF42A1D4}"/>
            </a:ext>
          </a:extLst>
        </xdr:cNvPr>
        <xdr:cNvSpPr>
          <a:spLocks/>
        </xdr:cNvSpPr>
      </xdr:nvSpPr>
      <xdr:spPr bwMode="auto">
        <a:xfrm>
          <a:off x="17604581" y="6792913"/>
          <a:ext cx="100013" cy="1698625"/>
        </a:xfrm>
        <a:prstGeom prst="rightBrace">
          <a:avLst>
            <a:gd name="adj1" fmla="val 18566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19050</xdr:colOff>
      <xdr:row>34</xdr:row>
      <xdr:rowOff>6350</xdr:rowOff>
    </xdr:from>
    <xdr:to>
      <xdr:col>13</xdr:col>
      <xdr:colOff>130968</xdr:colOff>
      <xdr:row>41</xdr:row>
      <xdr:rowOff>38100</xdr:rowOff>
    </xdr:to>
    <xdr:sp macro="" textlink="">
      <xdr:nvSpPr>
        <xdr:cNvPr id="36226" name="AutoShape 2">
          <a:extLst>
            <a:ext uri="{FF2B5EF4-FFF2-40B4-BE49-F238E27FC236}">
              <a16:creationId xmlns:a16="http://schemas.microsoft.com/office/drawing/2014/main" id="{C12AC74D-D8F4-47A0-9DD4-7A0A922EB19A}"/>
            </a:ext>
          </a:extLst>
        </xdr:cNvPr>
        <xdr:cNvSpPr>
          <a:spLocks/>
        </xdr:cNvSpPr>
      </xdr:nvSpPr>
      <xdr:spPr bwMode="auto">
        <a:xfrm>
          <a:off x="23152894" y="6423819"/>
          <a:ext cx="111918" cy="1198562"/>
        </a:xfrm>
        <a:prstGeom prst="rightBrace">
          <a:avLst>
            <a:gd name="adj1" fmla="val 18566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19050</xdr:colOff>
      <xdr:row>69</xdr:row>
      <xdr:rowOff>6350</xdr:rowOff>
    </xdr:from>
    <xdr:to>
      <xdr:col>16</xdr:col>
      <xdr:colOff>130968</xdr:colOff>
      <xdr:row>79</xdr:row>
      <xdr:rowOff>38100</xdr:rowOff>
    </xdr:to>
    <xdr:sp macro="" textlink="">
      <xdr:nvSpPr>
        <xdr:cNvPr id="48278" name="AutoShape 2">
          <a:extLst>
            <a:ext uri="{FF2B5EF4-FFF2-40B4-BE49-F238E27FC236}">
              <a16:creationId xmlns:a16="http://schemas.microsoft.com/office/drawing/2014/main" id="{262EECD2-220A-4FE4-B017-619C16A3C7C0}"/>
            </a:ext>
          </a:extLst>
        </xdr:cNvPr>
        <xdr:cNvSpPr>
          <a:spLocks/>
        </xdr:cNvSpPr>
      </xdr:nvSpPr>
      <xdr:spPr bwMode="auto">
        <a:xfrm>
          <a:off x="18378488" y="22187694"/>
          <a:ext cx="111918" cy="1698625"/>
        </a:xfrm>
        <a:prstGeom prst="rightBrace">
          <a:avLst>
            <a:gd name="adj1" fmla="val 19098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19050</xdr:colOff>
      <xdr:row>94</xdr:row>
      <xdr:rowOff>6350</xdr:rowOff>
    </xdr:from>
    <xdr:to>
      <xdr:col>14</xdr:col>
      <xdr:colOff>130968</xdr:colOff>
      <xdr:row>102</xdr:row>
      <xdr:rowOff>38100</xdr:rowOff>
    </xdr:to>
    <xdr:sp macro="" textlink="">
      <xdr:nvSpPr>
        <xdr:cNvPr id="39288" name="AutoShape 2">
          <a:extLst>
            <a:ext uri="{FF2B5EF4-FFF2-40B4-BE49-F238E27FC236}">
              <a16:creationId xmlns:a16="http://schemas.microsoft.com/office/drawing/2014/main" id="{6493A4A7-2CF1-4C69-90B0-C290086BEC5A}"/>
            </a:ext>
          </a:extLst>
        </xdr:cNvPr>
        <xdr:cNvSpPr>
          <a:spLocks/>
        </xdr:cNvSpPr>
      </xdr:nvSpPr>
      <xdr:spPr bwMode="auto">
        <a:xfrm>
          <a:off x="17235488" y="32022256"/>
          <a:ext cx="111918" cy="1365250"/>
        </a:xfrm>
        <a:prstGeom prst="rightBrace">
          <a:avLst>
            <a:gd name="adj1" fmla="val 1291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19050</xdr:colOff>
      <xdr:row>33</xdr:row>
      <xdr:rowOff>6350</xdr:rowOff>
    </xdr:from>
    <xdr:to>
      <xdr:col>14</xdr:col>
      <xdr:colOff>130968</xdr:colOff>
      <xdr:row>41</xdr:row>
      <xdr:rowOff>38100</xdr:rowOff>
    </xdr:to>
    <xdr:sp macro="" textlink="">
      <xdr:nvSpPr>
        <xdr:cNvPr id="42340" name="AutoShape 2">
          <a:extLst>
            <a:ext uri="{FF2B5EF4-FFF2-40B4-BE49-F238E27FC236}">
              <a16:creationId xmlns:a16="http://schemas.microsoft.com/office/drawing/2014/main" id="{611A36E6-7A7A-4918-9601-5B46D5C48ECF}"/>
            </a:ext>
          </a:extLst>
        </xdr:cNvPr>
        <xdr:cNvSpPr>
          <a:spLocks/>
        </xdr:cNvSpPr>
      </xdr:nvSpPr>
      <xdr:spPr bwMode="auto">
        <a:xfrm>
          <a:off x="20283488" y="5983288"/>
          <a:ext cx="111918" cy="1365250"/>
        </a:xfrm>
        <a:prstGeom prst="rightBrace">
          <a:avLst>
            <a:gd name="adj1" fmla="val 1291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19050</xdr:colOff>
      <xdr:row>29</xdr:row>
      <xdr:rowOff>0</xdr:rowOff>
    </xdr:from>
    <xdr:to>
      <xdr:col>10</xdr:col>
      <xdr:colOff>130968</xdr:colOff>
      <xdr:row>33</xdr:row>
      <xdr:rowOff>38100</xdr:rowOff>
    </xdr:to>
    <xdr:sp macro="" textlink="">
      <xdr:nvSpPr>
        <xdr:cNvPr id="2" name="AutoShape 2">
          <a:extLst>
            <a:ext uri="{FF2B5EF4-FFF2-40B4-BE49-F238E27FC236}">
              <a16:creationId xmlns:a16="http://schemas.microsoft.com/office/drawing/2014/main" id="{65D00904-DBC9-4330-81C7-AADEC92BCC31}"/>
            </a:ext>
          </a:extLst>
        </xdr:cNvPr>
        <xdr:cNvSpPr>
          <a:spLocks/>
        </xdr:cNvSpPr>
      </xdr:nvSpPr>
      <xdr:spPr bwMode="auto">
        <a:xfrm>
          <a:off x="20783550" y="5867400"/>
          <a:ext cx="111918" cy="1323975"/>
        </a:xfrm>
        <a:prstGeom prst="rightBrace">
          <a:avLst>
            <a:gd name="adj1" fmla="val 1291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Centers\OP\OP_EV\CREG\Dossier%202007\Nacalculatie\Nacalc20080215\Documents%20and%20Settings\htulpinck\Local%20Settings\Temporary%20Internet%20Files\OLK39B\Tariefvoorstel%20aansluitingen%20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Centers/OP/OP_EV/CREG/Dossier%202007/Nacalculatie/Nacalc20080215/Documents%20and%20Settings/htulpinck/Local%20Settings/Temporary%20Internet%20Files/OLK39B/Tariefvoorstel%20aansluitingen%202005"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INNT/Profiles/gck162/Temporary%20Internet%20Files/OLK262/Comparaison%20Article%2018%20par%20I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Q67"/>
  <sheetViews>
    <sheetView showGridLines="0" zoomScaleNormal="100" workbookViewId="0">
      <selection activeCell="C10" sqref="C10:F10"/>
    </sheetView>
  </sheetViews>
  <sheetFormatPr defaultColWidth="8.85546875" defaultRowHeight="12.75" x14ac:dyDescent="0.2"/>
  <cols>
    <col min="1" max="1" width="10.7109375" style="3" bestFit="1" customWidth="1"/>
    <col min="2" max="2" width="36.28515625" style="3" customWidth="1"/>
    <col min="3" max="3" width="11.5703125" style="3" customWidth="1"/>
    <col min="4" max="4" width="14" style="3" customWidth="1"/>
    <col min="5" max="6" width="8.85546875" style="3"/>
    <col min="7" max="7" width="10.7109375" style="3" bestFit="1" customWidth="1"/>
    <col min="8" max="14" width="8.85546875" style="3"/>
    <col min="15" max="15" width="10.140625" style="3" bestFit="1" customWidth="1"/>
    <col min="16" max="17" width="10.140625" style="3" customWidth="1"/>
    <col min="18" max="16384" width="8.85546875" style="3"/>
  </cols>
  <sheetData>
    <row r="1" spans="1:17" x14ac:dyDescent="0.2">
      <c r="B1" s="4"/>
      <c r="C1" s="5"/>
      <c r="O1" s="126"/>
    </row>
    <row r="2" spans="1:17" ht="26.25" x14ac:dyDescent="0.4">
      <c r="A2" s="709"/>
      <c r="B2" s="710" t="s">
        <v>364</v>
      </c>
      <c r="C2" s="711"/>
      <c r="D2" s="711"/>
      <c r="E2" s="711"/>
      <c r="F2" s="709"/>
      <c r="G2" s="709"/>
      <c r="H2" s="709"/>
      <c r="I2" s="709"/>
      <c r="J2" s="709"/>
      <c r="K2" s="709"/>
      <c r="L2" s="709"/>
      <c r="M2" s="709"/>
      <c r="N2" s="709"/>
      <c r="O2" s="712"/>
      <c r="P2" s="709"/>
      <c r="Q2" s="724"/>
    </row>
    <row r="3" spans="1:17" x14ac:dyDescent="0.2">
      <c r="B3" s="4"/>
      <c r="C3" s="5"/>
    </row>
    <row r="4" spans="1:17" x14ac:dyDescent="0.2">
      <c r="B4" s="4"/>
      <c r="C4" s="5"/>
    </row>
    <row r="5" spans="1:17" x14ac:dyDescent="0.2">
      <c r="B5" s="4"/>
      <c r="C5" s="6"/>
    </row>
    <row r="6" spans="1:17" ht="13.5" thickBot="1" x14ac:dyDescent="0.25">
      <c r="B6" s="4"/>
      <c r="C6" s="5"/>
    </row>
    <row r="7" spans="1:17" ht="13.5" thickBot="1" x14ac:dyDescent="0.25">
      <c r="B7" s="4" t="s">
        <v>10</v>
      </c>
      <c r="C7" s="1156" t="s">
        <v>426</v>
      </c>
      <c r="D7" s="1157"/>
      <c r="E7" s="1157"/>
      <c r="F7" s="1158"/>
    </row>
    <row r="8" spans="1:17" ht="13.5" thickBot="1" x14ac:dyDescent="0.25">
      <c r="B8" s="4" t="s">
        <v>11</v>
      </c>
      <c r="C8" s="1156"/>
      <c r="D8" s="1157"/>
      <c r="E8" s="1157"/>
      <c r="F8" s="1158"/>
    </row>
    <row r="9" spans="1:17" s="7" customFormat="1" ht="13.5" thickBot="1" x14ac:dyDescent="0.25">
      <c r="B9" s="8"/>
      <c r="C9" s="9"/>
      <c r="D9" s="9"/>
      <c r="E9" s="9"/>
      <c r="F9" s="9"/>
    </row>
    <row r="10" spans="1:17" ht="13.5" thickBot="1" x14ac:dyDescent="0.25">
      <c r="B10" s="4" t="s">
        <v>177</v>
      </c>
      <c r="C10" s="1159" t="s">
        <v>460</v>
      </c>
      <c r="D10" s="1160"/>
      <c r="E10" s="1160"/>
      <c r="F10" s="1161"/>
    </row>
    <row r="11" spans="1:17" x14ac:dyDescent="0.2">
      <c r="B11" s="4"/>
      <c r="C11" s="5"/>
    </row>
    <row r="12" spans="1:17" ht="13.5" thickBot="1" x14ac:dyDescent="0.25">
      <c r="B12" s="4"/>
      <c r="C12" s="5"/>
    </row>
    <row r="13" spans="1:17" ht="13.5" thickBot="1" x14ac:dyDescent="0.25">
      <c r="B13" s="10" t="s">
        <v>12</v>
      </c>
      <c r="C13" s="4"/>
      <c r="D13" s="10" t="s">
        <v>13</v>
      </c>
      <c r="E13" s="159">
        <v>2021</v>
      </c>
    </row>
    <row r="14" spans="1:17" ht="13.5" thickBot="1" x14ac:dyDescent="0.25">
      <c r="B14" s="10"/>
      <c r="C14" s="4"/>
      <c r="D14" s="10" t="s">
        <v>14</v>
      </c>
      <c r="E14" s="159">
        <v>2024</v>
      </c>
    </row>
    <row r="15" spans="1:17" ht="13.5" thickBot="1" x14ac:dyDescent="0.25">
      <c r="B15" s="11"/>
      <c r="C15" s="5"/>
    </row>
    <row r="16" spans="1:17" s="12" customFormat="1" ht="13.5" thickBot="1" x14ac:dyDescent="0.25">
      <c r="B16" s="10" t="s">
        <v>105</v>
      </c>
      <c r="E16" s="159">
        <v>2021</v>
      </c>
      <c r="F16" s="983" t="s">
        <v>455</v>
      </c>
      <c r="G16" s="3"/>
      <c r="H16" s="3"/>
      <c r="I16" s="3"/>
      <c r="J16" s="13"/>
      <c r="K16" s="13"/>
      <c r="L16" s="13"/>
      <c r="M16" s="13"/>
      <c r="N16" s="13"/>
      <c r="O16" s="13"/>
      <c r="P16" s="13"/>
    </row>
    <row r="17" spans="1:12" x14ac:dyDescent="0.2">
      <c r="B17" s="14"/>
      <c r="C17" s="15"/>
    </row>
    <row r="19" spans="1:12" s="7" customFormat="1" x14ac:dyDescent="0.2">
      <c r="A19" s="1153" t="s">
        <v>363</v>
      </c>
      <c r="B19" s="1154"/>
      <c r="C19" s="1154"/>
      <c r="D19" s="1154"/>
      <c r="E19" s="1154"/>
      <c r="F19" s="1154"/>
      <c r="G19" s="1154"/>
      <c r="H19" s="1154"/>
      <c r="I19" s="1155"/>
    </row>
    <row r="20" spans="1:12" ht="14.25" x14ac:dyDescent="0.2">
      <c r="A20" s="16"/>
    </row>
    <row r="21" spans="1:12" ht="152.44999999999999" customHeight="1" x14ac:dyDescent="0.2">
      <c r="A21" s="1162" t="s">
        <v>378</v>
      </c>
      <c r="B21" s="1162"/>
      <c r="C21" s="1162"/>
      <c r="D21" s="1162"/>
      <c r="E21" s="1162"/>
      <c r="F21" s="1162"/>
      <c r="G21" s="1162"/>
      <c r="H21" s="1162"/>
      <c r="I21" s="1162"/>
    </row>
    <row r="22" spans="1:12" s="18" customFormat="1" x14ac:dyDescent="0.2"/>
    <row r="23" spans="1:12" s="7" customFormat="1" x14ac:dyDescent="0.2">
      <c r="A23" s="1153" t="s">
        <v>383</v>
      </c>
      <c r="B23" s="1154"/>
      <c r="C23" s="1154"/>
      <c r="D23" s="1154"/>
      <c r="E23" s="1154"/>
      <c r="F23" s="1154"/>
      <c r="G23" s="1154"/>
      <c r="H23" s="1154"/>
      <c r="I23" s="1155"/>
    </row>
    <row r="24" spans="1:12" s="17" customFormat="1" x14ac:dyDescent="0.2">
      <c r="A24" s="19"/>
      <c r="B24" s="19"/>
      <c r="C24" s="3"/>
      <c r="D24" s="3"/>
      <c r="E24" s="3"/>
      <c r="F24" s="3"/>
      <c r="G24" s="3"/>
      <c r="H24" s="3"/>
      <c r="I24" s="3"/>
      <c r="J24" s="3"/>
      <c r="K24" s="3"/>
      <c r="L24" s="3"/>
    </row>
    <row r="25" spans="1:12" x14ac:dyDescent="0.2">
      <c r="A25" s="19"/>
      <c r="B25" s="20"/>
      <c r="C25" s="21"/>
      <c r="D25" s="22" t="s">
        <v>61</v>
      </c>
      <c r="E25" s="21"/>
      <c r="F25" s="21"/>
      <c r="G25" s="21"/>
      <c r="H25" s="21"/>
      <c r="I25" s="21"/>
      <c r="J25" s="21"/>
    </row>
    <row r="26" spans="1:12" x14ac:dyDescent="0.2">
      <c r="A26" s="19"/>
      <c r="B26" s="23"/>
      <c r="C26" s="21"/>
      <c r="D26" s="22"/>
      <c r="E26" s="21"/>
      <c r="F26" s="21"/>
      <c r="G26" s="21"/>
      <c r="H26" s="21"/>
      <c r="I26" s="21"/>
      <c r="J26" s="21"/>
    </row>
    <row r="27" spans="1:12" ht="15" customHeight="1" x14ac:dyDescent="0.2">
      <c r="A27" s="19"/>
      <c r="B27" s="24"/>
      <c r="C27" s="25"/>
      <c r="D27" s="22" t="s">
        <v>36</v>
      </c>
      <c r="E27" s="26"/>
      <c r="F27" s="26"/>
      <c r="G27" s="26"/>
      <c r="H27" s="21"/>
      <c r="I27" s="21"/>
      <c r="J27" s="21"/>
    </row>
    <row r="28" spans="1:12" x14ac:dyDescent="0.2">
      <c r="A28" s="19"/>
      <c r="B28" s="27"/>
      <c r="C28" s="21"/>
      <c r="D28" s="22"/>
      <c r="E28" s="21"/>
      <c r="F28" s="21"/>
      <c r="G28" s="21"/>
      <c r="H28" s="21"/>
      <c r="I28" s="21"/>
      <c r="J28" s="21"/>
    </row>
    <row r="29" spans="1:12" x14ac:dyDescent="0.2">
      <c r="A29" s="19"/>
      <c r="B29" s="28"/>
      <c r="C29" s="21"/>
      <c r="D29" s="22" t="s">
        <v>62</v>
      </c>
      <c r="E29" s="21"/>
      <c r="F29" s="21"/>
      <c r="G29" s="21"/>
      <c r="H29" s="21"/>
      <c r="I29" s="21"/>
      <c r="J29" s="21"/>
    </row>
    <row r="30" spans="1:12" x14ac:dyDescent="0.2">
      <c r="A30" s="19"/>
      <c r="B30" s="29"/>
      <c r="C30" s="21"/>
      <c r="D30" s="22"/>
      <c r="E30" s="21"/>
      <c r="F30" s="21"/>
      <c r="G30" s="21"/>
      <c r="H30" s="21"/>
      <c r="I30" s="21"/>
      <c r="J30" s="21"/>
    </row>
    <row r="31" spans="1:12" ht="12.75" customHeight="1" x14ac:dyDescent="0.2">
      <c r="A31" s="19"/>
      <c r="B31" s="30"/>
      <c r="C31" s="21"/>
      <c r="D31" s="22" t="s">
        <v>379</v>
      </c>
      <c r="E31" s="31"/>
      <c r="F31" s="31"/>
      <c r="G31" s="31"/>
      <c r="H31" s="31"/>
      <c r="I31" s="31"/>
      <c r="J31" s="31"/>
      <c r="K31" s="32"/>
    </row>
    <row r="32" spans="1:12" x14ac:dyDescent="0.2">
      <c r="A32" s="19"/>
      <c r="B32" s="19"/>
      <c r="D32" s="33"/>
    </row>
    <row r="33" spans="1:9" s="7" customFormat="1" ht="13.5" thickBot="1" x14ac:dyDescent="0.25">
      <c r="A33" s="1153" t="s">
        <v>384</v>
      </c>
      <c r="B33" s="1154"/>
      <c r="C33" s="1154"/>
      <c r="D33" s="1154"/>
      <c r="E33" s="1154"/>
      <c r="F33" s="1154"/>
      <c r="G33" s="1154"/>
      <c r="H33" s="1154"/>
      <c r="I33" s="1155"/>
    </row>
    <row r="34" spans="1:9" s="7" customFormat="1" x14ac:dyDescent="0.2">
      <c r="A34" s="198"/>
    </row>
    <row r="35" spans="1:9" s="7" customFormat="1" x14ac:dyDescent="0.2">
      <c r="A35" s="715" t="s">
        <v>366</v>
      </c>
    </row>
    <row r="36" spans="1:9" s="7" customFormat="1" ht="6.95" customHeight="1" x14ac:dyDescent="0.2">
      <c r="A36" s="715"/>
    </row>
    <row r="37" spans="1:9" s="7" customFormat="1" x14ac:dyDescent="0.2">
      <c r="A37" s="716" t="str">
        <f>+'T1'!B1</f>
        <v>TABEL 1: Resultatenrekening (algemene boekhouding) voor boekjaar 2021 (waarden boekhouding)</v>
      </c>
      <c r="B37" s="716"/>
      <c r="C37" s="718"/>
      <c r="D37" s="718"/>
      <c r="E37" s="718"/>
    </row>
    <row r="38" spans="1:9" s="7" customFormat="1" x14ac:dyDescent="0.2">
      <c r="A38" s="716" t="str">
        <f>+'T2 - Overzicht'!A1</f>
        <v>TABEL 2: Algemeen overzicht exogene kosten</v>
      </c>
      <c r="B38" s="716"/>
      <c r="C38" s="719"/>
      <c r="D38" s="719"/>
      <c r="E38" s="719"/>
      <c r="F38" s="713"/>
      <c r="G38" s="1"/>
    </row>
    <row r="39" spans="1:9" s="7" customFormat="1" x14ac:dyDescent="0.2">
      <c r="A39" s="716" t="str">
        <f>+'T3'!A1</f>
        <v>TABEL 3: Detail inzake samenstelling exogene kosten</v>
      </c>
      <c r="B39" s="716"/>
      <c r="C39" s="719"/>
      <c r="D39" s="720"/>
      <c r="E39" s="720"/>
    </row>
    <row r="40" spans="1:9" x14ac:dyDescent="0.2">
      <c r="A40" s="716" t="str">
        <f>+T4A!A1</f>
        <v>TABEL 4A: Opvolging regulatoir saldo inzake exogene kosten m.b.t. distributie</v>
      </c>
      <c r="B40" s="716"/>
      <c r="C40" s="716"/>
      <c r="D40" s="716"/>
      <c r="E40" s="717"/>
    </row>
    <row r="41" spans="1:9" x14ac:dyDescent="0.2">
      <c r="A41" s="716" t="str">
        <f>+T4B!A1</f>
        <v>TABEL 4B: Overzicht regulatoir saldo inzake exogene kosten m.b.t. distributie per tariefcomponent</v>
      </c>
      <c r="B41" s="716"/>
      <c r="C41" s="716"/>
      <c r="D41" s="716"/>
      <c r="E41" s="716"/>
    </row>
    <row r="42" spans="1:9" x14ac:dyDescent="0.2">
      <c r="A42" s="716" t="str">
        <f>+T4C!A1</f>
        <v>TABEL 4C: Opvolging regulatoir saldo inzake exogene kosten m.b.t. transmissie (exclusief federale bijdrage elektriciteit)</v>
      </c>
      <c r="B42" s="716"/>
      <c r="C42" s="716"/>
      <c r="D42" s="716"/>
      <c r="E42" s="716"/>
      <c r="F42" s="714"/>
      <c r="G42" s="714"/>
    </row>
    <row r="43" spans="1:9" x14ac:dyDescent="0.2">
      <c r="A43" s="716" t="str">
        <f>+T5A!A1</f>
        <v>TABEL 5A: Opvolging regulatoir saldo inzake volumerisico endogeen budget</v>
      </c>
      <c r="B43" s="716"/>
      <c r="C43" s="716"/>
      <c r="D43" s="716"/>
      <c r="E43" s="717"/>
    </row>
    <row r="44" spans="1:9" x14ac:dyDescent="0.2">
      <c r="A44" s="716" t="str">
        <f>+T5B!A1</f>
        <v>TABEL 5B: Overzicht regulatoir saldo inzake volumerisico endogeen budget per tariefcomponent</v>
      </c>
      <c r="B44" s="716"/>
      <c r="C44" s="716"/>
      <c r="D44" s="716"/>
      <c r="E44" s="716"/>
    </row>
    <row r="45" spans="1:9" x14ac:dyDescent="0.2">
      <c r="A45" s="716" t="str">
        <f>+T5C!A1</f>
        <v>TABEL 5C: Werkelijke opbrengsten uit periodieke distributienettarieven in boekjaar 2021 (elektriciteit - afname)</v>
      </c>
      <c r="B45" s="716"/>
      <c r="C45" s="716"/>
      <c r="D45" s="716"/>
      <c r="E45" s="716"/>
      <c r="F45" s="714"/>
    </row>
    <row r="46" spans="1:9" x14ac:dyDescent="0.2">
      <c r="A46" s="716" t="str">
        <f>+T5D!A1</f>
        <v>TABEL 5D: Werkelijke opbrengsten uit periodieke distributienettarieven in boekjaar 2021 (elektriciteit-injectie)</v>
      </c>
      <c r="B46" s="716"/>
      <c r="C46" s="716"/>
      <c r="D46" s="716"/>
      <c r="E46" s="716"/>
      <c r="F46" s="714"/>
    </row>
    <row r="47" spans="1:9" x14ac:dyDescent="0.2">
      <c r="A47" s="716" t="str">
        <f>+T5E!A1</f>
        <v>TABEL 5E: Werkelijke opbrengsten uit periodieke distributienettarieven in boekjaar 2021 (gas - afname)</v>
      </c>
      <c r="B47" s="716"/>
      <c r="C47" s="716"/>
      <c r="D47" s="716"/>
      <c r="E47" s="716"/>
      <c r="F47" s="714"/>
    </row>
    <row r="48" spans="1:9" x14ac:dyDescent="0.2">
      <c r="A48" s="716" t="str">
        <f>+T5F!A1</f>
        <v>TABEL 5F: Werkelijke opbrengsten uit periodieke distributienettarieven in boekjaar 2021 (gas - injectie)</v>
      </c>
      <c r="B48" s="716"/>
      <c r="C48" s="716"/>
      <c r="D48" s="716"/>
      <c r="E48" s="716"/>
      <c r="F48" s="714"/>
    </row>
    <row r="49" spans="1:7" x14ac:dyDescent="0.2">
      <c r="A49" s="716" t="str">
        <f>+T6A!A1</f>
        <v>TABEL 6A: Opvolging regulatoir saldo inzake herindexering van het budget voor endogene kosten</v>
      </c>
      <c r="B49" s="716"/>
      <c r="C49" s="716"/>
      <c r="D49" s="716"/>
      <c r="E49" s="716"/>
    </row>
    <row r="50" spans="1:7" x14ac:dyDescent="0.2">
      <c r="A50" s="716" t="str">
        <f>+T6B!A1</f>
        <v>TABEL 6B: Overzicht regulatoir saldo inzake herindexering van het budget voor endogene kosten per tariefcomponent</v>
      </c>
      <c r="B50" s="716"/>
      <c r="C50" s="716"/>
      <c r="D50" s="716"/>
      <c r="E50" s="716"/>
      <c r="F50" s="714"/>
      <c r="G50" s="714"/>
    </row>
    <row r="51" spans="1:7" x14ac:dyDescent="0.2">
      <c r="A51" s="716" t="str">
        <f>+'T7'!A1:L1</f>
        <v>TABEL 7: Opvolging regulatoir saldo inzake vennootschapsbelasting</v>
      </c>
      <c r="B51" s="716"/>
      <c r="C51" s="716"/>
      <c r="D51" s="717"/>
      <c r="E51" s="717"/>
    </row>
    <row r="52" spans="1:7" x14ac:dyDescent="0.2">
      <c r="A52" s="716" t="str">
        <f>+'T8'!A1:H1</f>
        <v>TABEL 8: Opvolging regulatoir saldo inzake herwaarderingsmeerwaarden</v>
      </c>
      <c r="B52" s="716"/>
      <c r="C52" s="716"/>
      <c r="D52" s="717"/>
      <c r="E52" s="717"/>
    </row>
    <row r="53" spans="1:7" x14ac:dyDescent="0.2">
      <c r="A53" s="717"/>
      <c r="B53" s="717"/>
      <c r="C53" s="717"/>
      <c r="D53" s="717"/>
      <c r="E53" s="717"/>
    </row>
    <row r="54" spans="1:7" s="7" customFormat="1" x14ac:dyDescent="0.2">
      <c r="A54" s="715" t="s">
        <v>367</v>
      </c>
    </row>
    <row r="55" spans="1:7" s="7" customFormat="1" ht="6.95" customHeight="1" x14ac:dyDescent="0.2">
      <c r="A55" s="715"/>
    </row>
    <row r="56" spans="1:7" x14ac:dyDescent="0.2">
      <c r="A56" s="716" t="str">
        <f>+'T9 - Overzicht'!A1:L1</f>
        <v>TABEL 9: Algemeen overzicht aanvullende endogene termen</v>
      </c>
      <c r="B56" s="714"/>
      <c r="C56" s="714"/>
      <c r="D56" s="717"/>
      <c r="E56" s="717"/>
    </row>
    <row r="57" spans="1:7" x14ac:dyDescent="0.2">
      <c r="A57" s="716" t="str">
        <f>+'T10'!A1:K1</f>
        <v>TABEL 10: Fiscaal niet-aftrekbare afschrijvingen op herwaarderingsmeerwaarden</v>
      </c>
      <c r="B57" s="716"/>
      <c r="C57" s="716"/>
      <c r="D57" s="716"/>
      <c r="E57" s="717"/>
    </row>
    <row r="58" spans="1:7" x14ac:dyDescent="0.2">
      <c r="A58" s="716" t="str">
        <f>+'T11'!A1:D1</f>
        <v>TABEL 11: Fiscaal niet-aftrekbare heffing volgens het Decreet houdende het Grootschalig Referentiebestand</v>
      </c>
      <c r="B58" s="714"/>
      <c r="C58" s="714"/>
      <c r="D58" s="714"/>
      <c r="E58" s="714"/>
      <c r="F58" s="714"/>
    </row>
    <row r="59" spans="1:7" x14ac:dyDescent="0.2">
      <c r="A59" s="716" t="str">
        <f>+'T12'!A1:K1</f>
        <v>TABEL 12: Notionele intrestaftrek</v>
      </c>
      <c r="B59" s="716"/>
      <c r="C59" s="717"/>
      <c r="D59" s="717"/>
      <c r="E59" s="717"/>
    </row>
    <row r="60" spans="1:7" x14ac:dyDescent="0.2">
      <c r="A60" s="716" t="str">
        <f>+T13A!A1</f>
        <v>TABEL 13A: Afschrijvingen van de meerwaarde op basis van de historische indexatie (materiële vaste activa) - elektriciteit</v>
      </c>
      <c r="B60" s="716"/>
      <c r="C60" s="716"/>
      <c r="D60" s="716"/>
      <c r="E60" s="716"/>
      <c r="F60" s="714"/>
      <c r="G60" s="714"/>
    </row>
    <row r="61" spans="1:7" x14ac:dyDescent="0.2">
      <c r="A61" s="716" t="str">
        <f>+T13B!A1</f>
        <v>TABEL 13B: Afschrijvingen van de meerwaarde op basis van de iRAB (materiële vaste activa) - elektriciteit</v>
      </c>
      <c r="B61" s="716"/>
      <c r="C61" s="716"/>
      <c r="D61" s="716"/>
      <c r="E61" s="716"/>
      <c r="F61" s="714"/>
    </row>
    <row r="62" spans="1:7" x14ac:dyDescent="0.2">
      <c r="A62" s="716" t="str">
        <f>+T13C!A1</f>
        <v>TABEL 13C: Afschrijvingen van de meerwaarde op basis van de historische indexatie (materiële vaste activa) - gas</v>
      </c>
      <c r="B62" s="716"/>
      <c r="C62" s="716"/>
      <c r="D62" s="716"/>
      <c r="E62" s="716"/>
      <c r="F62" s="714"/>
      <c r="G62" s="714"/>
    </row>
    <row r="63" spans="1:7" x14ac:dyDescent="0.2">
      <c r="A63" s="716" t="str">
        <f>+T13D!A1</f>
        <v>df</v>
      </c>
      <c r="B63" s="716"/>
      <c r="C63" s="716"/>
      <c r="D63" s="716"/>
      <c r="E63" s="716"/>
      <c r="F63" s="714"/>
    </row>
    <row r="64" spans="1:7" x14ac:dyDescent="0.2">
      <c r="A64" s="716" t="str">
        <f>+'T14'!A1:G1</f>
        <v>TABEL 14: Kapitaalkostvergoeding herwaarderingsmeerwaarden</v>
      </c>
      <c r="B64" s="716"/>
      <c r="C64" s="716"/>
      <c r="D64" s="717"/>
      <c r="E64" s="717"/>
    </row>
    <row r="65" spans="1:5" x14ac:dyDescent="0.2">
      <c r="A65" s="717"/>
      <c r="B65" s="717"/>
      <c r="C65" s="717"/>
      <c r="D65" s="717"/>
      <c r="E65" s="717"/>
    </row>
    <row r="66" spans="1:5" x14ac:dyDescent="0.2">
      <c r="A66" s="717"/>
      <c r="B66" s="717"/>
      <c r="C66" s="717"/>
      <c r="D66" s="717"/>
      <c r="E66" s="717"/>
    </row>
    <row r="67" spans="1:5" x14ac:dyDescent="0.2">
      <c r="A67" s="717"/>
      <c r="B67" s="717"/>
      <c r="C67" s="717"/>
      <c r="D67" s="717"/>
      <c r="E67" s="717"/>
    </row>
  </sheetData>
  <sheetProtection algorithmName="SHA-512" hashValue="n4jM9OCosDiViHNpL0iICTI+JSy5+I74ocYfJ+P0GcnsqV4/ZWMR59L1zVMfpzyJql3s44OSIW23Drx2jTQG0w==" saltValue="G37iy4XVDAZliMa8wttINw==" spinCount="100000" sheet="1" objects="1" scenarios="1"/>
  <customSheetViews>
    <customSheetView guid="{C8C7977F-B6BF-432B-A1A7-559450D521AF}" showGridLines="0" topLeftCell="A20">
      <selection activeCell="E53" sqref="E53"/>
      <colBreaks count="1" manualBreakCount="1">
        <brk id="17" max="1048575" man="1"/>
      </colBreaks>
      <pageMargins left="0.98425196850393704" right="0.23622047244094491" top="0.82677165354330717" bottom="0.70866141732283472" header="0.74803149606299213" footer="0.47244094488188981"/>
      <pageSetup paperSize="8" scale="90" orientation="landscape" r:id="rId1"/>
      <headerFooter alignWithMargins="0">
        <oddFooter>&amp;C&amp;P/&amp;N</oddFooter>
      </headerFooter>
    </customSheetView>
  </customSheetViews>
  <mergeCells count="7">
    <mergeCell ref="A33:I33"/>
    <mergeCell ref="A19:I19"/>
    <mergeCell ref="C7:F7"/>
    <mergeCell ref="C8:F8"/>
    <mergeCell ref="C10:F10"/>
    <mergeCell ref="A23:I23"/>
    <mergeCell ref="A21:I21"/>
  </mergeCells>
  <dataValidations count="2">
    <dataValidation type="list" allowBlank="1" showInputMessage="1" showErrorMessage="1" sqref="C10" xr:uid="{00000000-0002-0000-0000-000000000000}">
      <formula1>"elektriciteit,gas"</formula1>
    </dataValidation>
    <dataValidation type="list" allowBlank="1" showInputMessage="1" showErrorMessage="1" sqref="F16" xr:uid="{00000000-0002-0000-0000-000001000000}">
      <formula1>"ex-ante,ex-post"</formula1>
    </dataValidation>
  </dataValidations>
  <hyperlinks>
    <hyperlink ref="A37:E37" location="'T1'!A1" display="'T1'!A1" xr:uid="{CFD9507C-C1D3-48BB-9F0C-9BA1EEBD928C}"/>
    <hyperlink ref="A38:B38" location="'T2 - Overzicht'!A1" display="'T2 - Overzicht'!A1" xr:uid="{827D5F22-584C-43A9-9317-9AA70562685C}"/>
    <hyperlink ref="A39:B39" location="'T3'!A1" display="'T3'!A1" xr:uid="{4F8627D4-03F2-47B8-B80A-34EF83D9D6D0}"/>
    <hyperlink ref="A40:D40" location="T4A!A1" display="T4A!A1" xr:uid="{CC59734A-1FC0-4CCC-8B7D-4550974F8A84}"/>
    <hyperlink ref="A41:E41" location="T4B!A1" display="T4B!A1" xr:uid="{4F09AEC1-D318-4655-BF3D-9DC2312FBE05}"/>
    <hyperlink ref="A42:G42" location="T4C!A1" display="T4C!A1" xr:uid="{F98263FE-2464-4908-9DB3-2C7E0EEEDF24}"/>
    <hyperlink ref="A43:D43" location="T5A!A1" display="T5A!A1" xr:uid="{7CD12772-5130-4DCD-9E63-ECA3135C64B1}"/>
    <hyperlink ref="A44:E44" location="T5B!A1" display="T5B!A1" xr:uid="{9EEF4A80-B791-4BE0-BC95-385845028C46}"/>
    <hyperlink ref="A45:F45" location="T5C!A1" display="T5C!A1" xr:uid="{001DBD05-15C0-4ECD-B08E-488AEAF597C6}"/>
    <hyperlink ref="A46:F46" location="T5D!A1" display="T5D!A1" xr:uid="{0478B678-1CE9-4E51-9FE6-8B4C78817A20}"/>
    <hyperlink ref="A47:F47" location="T5E!A1" display="T5E!A1" xr:uid="{4859F98A-B9A9-4575-9ECF-FD869FE12C42}"/>
    <hyperlink ref="A48:F48" location="T5F!A1" display="T5F!A1" xr:uid="{057E6744-359A-48BF-BCE3-C3CD2387EEFB}"/>
    <hyperlink ref="A49:E49" location="T6A!A1" display="T6A!A1" xr:uid="{813F6AB1-5224-4D8D-B4F5-BD3D3D64B37B}"/>
    <hyperlink ref="A50:G50" location="T6B!A1" display="T6B!A1" xr:uid="{C955F57B-621D-4E51-A7C2-7FE4A45BCD29}"/>
    <hyperlink ref="A51:C51" location="'T7'!A1" display="'T7'!A1" xr:uid="{6D2CD0C1-43C2-41AE-8C73-05DD0D401966}"/>
    <hyperlink ref="A52:C52" location="'T8'!A1" display="'T8'!A1" xr:uid="{D11E9D25-AEFE-4B64-B391-FD0A9FF3535D}"/>
    <hyperlink ref="A57:D57" location="'T11'!A1" display="'T11'!A1" xr:uid="{D95468AE-8022-4E73-9FC9-172ABCA69142}"/>
    <hyperlink ref="A59:B59" location="'T12'!A1" display="'T12'!A1" xr:uid="{335F438E-29B2-455B-9D6D-C7AFDC0F1FE5}"/>
    <hyperlink ref="A60:G60" location="T13A!A1" display="T13A!A1" xr:uid="{72D6B2A5-6C19-48B4-AE80-849947BCF852}"/>
    <hyperlink ref="A61:F61" location="T13B!A1" display="T13B!A1" xr:uid="{492209BF-8E89-4355-9225-33FD2D77C871}"/>
    <hyperlink ref="A62:G62" location="T13C!A1" display="T13C!A1" xr:uid="{8355A8F5-5CD8-4000-86EF-3389ECC8CFA3}"/>
    <hyperlink ref="A63:F63" location="T13D!A1" display="T13D!A1" xr:uid="{9FE1AB3A-9435-4B75-BD5B-706A28C88930}"/>
    <hyperlink ref="A64:C64" location="'T14'!A1" display="'T14'!A1" xr:uid="{BFCD7A01-7051-4AA2-A2F4-C6A43072A89B}"/>
    <hyperlink ref="A58:F58" location="'T11'!A1" display="'T11'!A1" xr:uid="{49512694-E78C-4825-A56A-B66C27536375}"/>
    <hyperlink ref="A56:C56" location="'T9 - Overzicht'!A1" display="'T9 - Overzicht'!A1" xr:uid="{1BCB2D7B-710C-4B77-AED3-E5FA3DC194AF}"/>
    <hyperlink ref="A57" location="'T10'!A1" display="'T10'!A1" xr:uid="{485E6532-F05C-4D7C-A23A-83820FCFF805}"/>
  </hyperlinks>
  <pageMargins left="0.98425196850393704" right="0.23622047244094491" top="0.82677165354330717" bottom="0.70866141732283472" header="0.74803149606299213" footer="0.47244094488188981"/>
  <pageSetup paperSize="8" scale="61" orientation="portrait" r:id="rId2"/>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ADDA4-43EA-475F-A6DE-9C650EB0F077}">
  <sheetPr published="0" codeName="Blad9"/>
  <dimension ref="A1:V683"/>
  <sheetViews>
    <sheetView zoomScale="80" zoomScaleNormal="80" workbookViewId="0">
      <selection activeCell="G228" sqref="G228"/>
    </sheetView>
  </sheetViews>
  <sheetFormatPr defaultColWidth="9.140625" defaultRowHeight="12.75" x14ac:dyDescent="0.2"/>
  <cols>
    <col min="1" max="1" width="2.42578125" style="167" customWidth="1"/>
    <col min="2" max="2" width="9.140625" style="167"/>
    <col min="3" max="3" width="19" style="167" customWidth="1"/>
    <col min="4" max="4" width="12.85546875" style="167" customWidth="1"/>
    <col min="5" max="5" width="24.28515625" style="167" customWidth="1"/>
    <col min="6" max="6" width="9.42578125" style="167" customWidth="1"/>
    <col min="7" max="16" width="25.7109375" style="167" customWidth="1"/>
    <col min="17" max="17" width="2.140625" style="209" customWidth="1"/>
    <col min="18" max="18" width="25.7109375" style="167" customWidth="1"/>
    <col min="19" max="16384" width="9.140625" style="167"/>
  </cols>
  <sheetData>
    <row r="1" spans="1:22" ht="25.5" customHeight="1" thickBot="1" x14ac:dyDescent="0.25">
      <c r="A1" s="1178" t="s">
        <v>251</v>
      </c>
      <c r="B1" s="1179"/>
      <c r="C1" s="1179"/>
      <c r="D1" s="1179"/>
      <c r="E1" s="1179"/>
      <c r="F1" s="1179"/>
      <c r="G1" s="1179"/>
      <c r="H1" s="1179"/>
      <c r="I1" s="1179"/>
      <c r="J1" s="1180"/>
      <c r="K1" s="292"/>
      <c r="L1" s="293"/>
      <c r="M1" s="293"/>
      <c r="N1" s="293"/>
      <c r="O1" s="293"/>
      <c r="P1" s="293"/>
      <c r="Q1" s="293"/>
      <c r="S1" s="294"/>
      <c r="T1" s="294"/>
      <c r="U1" s="294"/>
      <c r="V1" s="294"/>
    </row>
    <row r="2" spans="1:22" x14ac:dyDescent="0.2">
      <c r="B2" s="209" t="str">
        <f>+TITELBLAD!B16</f>
        <v>Rapportering over boekjaar:</v>
      </c>
      <c r="C2" s="209"/>
      <c r="D2" s="209">
        <f>+TITELBLAD!E16</f>
        <v>2021</v>
      </c>
      <c r="E2" s="209" t="str">
        <f>+TITELBLAD!F16</f>
        <v>ex-ante</v>
      </c>
      <c r="F2" s="296"/>
      <c r="G2" s="296"/>
      <c r="H2" s="295"/>
      <c r="I2" s="234"/>
      <c r="J2" s="233"/>
      <c r="K2" s="234"/>
      <c r="L2" s="234"/>
      <c r="M2" s="234"/>
      <c r="N2" s="234"/>
      <c r="O2" s="234"/>
      <c r="P2" s="234"/>
      <c r="Q2" s="296"/>
      <c r="R2" s="234"/>
    </row>
    <row r="3" spans="1:22" ht="13.5" thickBot="1" x14ac:dyDescent="0.25">
      <c r="B3" s="297" t="s">
        <v>15</v>
      </c>
      <c r="H3" s="241"/>
      <c r="I3" s="233"/>
      <c r="J3" s="233"/>
      <c r="K3" s="234"/>
      <c r="L3" s="234"/>
      <c r="M3" s="234"/>
      <c r="N3" s="234"/>
      <c r="O3" s="234"/>
      <c r="P3" s="234"/>
      <c r="Q3" s="296"/>
      <c r="R3" s="234"/>
    </row>
    <row r="4" spans="1:22" ht="13.5" thickBot="1" x14ac:dyDescent="0.25">
      <c r="B4" s="1199" t="str">
        <f>+TITELBLAD!C7</f>
        <v>NAAM DNB</v>
      </c>
      <c r="C4" s="1200"/>
      <c r="D4" s="1200"/>
      <c r="E4" s="1201"/>
      <c r="H4" s="241"/>
      <c r="I4" s="233"/>
      <c r="J4" s="233"/>
      <c r="K4" s="234"/>
      <c r="L4" s="234"/>
      <c r="M4" s="234"/>
      <c r="N4" s="234"/>
      <c r="O4" s="234"/>
      <c r="P4" s="234"/>
      <c r="Q4" s="296"/>
      <c r="R4" s="234"/>
    </row>
    <row r="5" spans="1:22" x14ac:dyDescent="0.2">
      <c r="H5" s="241"/>
      <c r="I5" s="233"/>
      <c r="J5" s="233"/>
      <c r="K5" s="234"/>
      <c r="L5" s="234"/>
      <c r="M5" s="234"/>
      <c r="N5" s="234"/>
      <c r="O5" s="234"/>
      <c r="P5" s="234"/>
      <c r="Q5" s="296"/>
      <c r="R5" s="234"/>
    </row>
    <row r="6" spans="1:22" ht="13.5" thickBot="1" x14ac:dyDescent="0.25">
      <c r="B6" s="297" t="s">
        <v>16</v>
      </c>
      <c r="H6" s="241"/>
      <c r="I6" s="233"/>
      <c r="J6" s="233"/>
      <c r="K6" s="234"/>
      <c r="L6" s="234"/>
      <c r="M6" s="234"/>
      <c r="N6" s="234"/>
      <c r="O6" s="234"/>
      <c r="P6" s="234"/>
      <c r="Q6" s="296"/>
      <c r="R6" s="234"/>
    </row>
    <row r="7" spans="1:22" ht="13.5" thickBot="1" x14ac:dyDescent="0.25">
      <c r="B7" s="1202" t="str">
        <f>+TITELBLAD!C10</f>
        <v>gas</v>
      </c>
      <c r="C7" s="1203"/>
      <c r="D7" s="1203"/>
      <c r="E7" s="1204"/>
      <c r="H7" s="241"/>
      <c r="I7" s="233"/>
      <c r="J7" s="233"/>
      <c r="K7" s="234"/>
      <c r="L7" s="234"/>
      <c r="M7" s="234"/>
      <c r="N7" s="234"/>
      <c r="O7" s="234"/>
      <c r="P7" s="234"/>
      <c r="Q7" s="296"/>
      <c r="R7" s="234"/>
    </row>
    <row r="8" spans="1:22" x14ac:dyDescent="0.2">
      <c r="H8" s="241"/>
      <c r="I8" s="233"/>
      <c r="J8" s="233"/>
      <c r="K8" s="234"/>
      <c r="L8" s="234"/>
      <c r="M8" s="234"/>
      <c r="N8" s="234"/>
      <c r="O8" s="234"/>
      <c r="P8" s="234"/>
      <c r="Q8" s="296"/>
      <c r="R8" s="234"/>
    </row>
    <row r="9" spans="1:22" x14ac:dyDescent="0.2">
      <c r="K9" s="296"/>
      <c r="L9" s="296"/>
      <c r="M9" s="296"/>
      <c r="N9" s="296"/>
      <c r="O9" s="296"/>
      <c r="P9" s="296"/>
      <c r="Q9" s="296"/>
      <c r="R9" s="296"/>
    </row>
    <row r="10" spans="1:22" x14ac:dyDescent="0.2">
      <c r="K10" s="296"/>
      <c r="L10" s="296"/>
      <c r="M10" s="296"/>
      <c r="N10" s="296"/>
      <c r="O10" s="296"/>
      <c r="P10" s="296"/>
      <c r="Q10" s="296"/>
      <c r="R10" s="296"/>
    </row>
    <row r="11" spans="1:22" x14ac:dyDescent="0.2">
      <c r="G11" s="124" t="s">
        <v>165</v>
      </c>
      <c r="H11" s="299"/>
      <c r="I11" s="300"/>
      <c r="K11" s="296"/>
      <c r="L11" s="296"/>
      <c r="M11" s="296"/>
      <c r="N11" s="296"/>
      <c r="O11" s="296"/>
      <c r="P11" s="296"/>
      <c r="Q11" s="296"/>
      <c r="R11" s="296"/>
    </row>
    <row r="12" spans="1:22" x14ac:dyDescent="0.2">
      <c r="G12" s="92" t="s">
        <v>126</v>
      </c>
      <c r="H12" s="299"/>
      <c r="I12" s="300"/>
    </row>
    <row r="13" spans="1:22" ht="60" customHeight="1" x14ac:dyDescent="0.2">
      <c r="B13" s="1257" t="s">
        <v>247</v>
      </c>
      <c r="C13" s="1258"/>
      <c r="D13" s="1258"/>
      <c r="E13" s="1259"/>
      <c r="F13" s="168"/>
      <c r="G13" s="166">
        <v>2015</v>
      </c>
      <c r="H13" s="166">
        <f>+G13+1</f>
        <v>2016</v>
      </c>
      <c r="I13" s="166">
        <f>+H13+1</f>
        <v>2017</v>
      </c>
      <c r="J13" s="166">
        <f>+I13+1</f>
        <v>2018</v>
      </c>
      <c r="K13" s="166">
        <f>+J13+1</f>
        <v>2019</v>
      </c>
      <c r="L13" s="166">
        <f t="shared" ref="L13:P13" si="0">+K13+1</f>
        <v>2020</v>
      </c>
      <c r="M13" s="166">
        <f t="shared" si="0"/>
        <v>2021</v>
      </c>
      <c r="N13" s="837">
        <f t="shared" si="0"/>
        <v>2022</v>
      </c>
      <c r="O13" s="837">
        <f t="shared" si="0"/>
        <v>2023</v>
      </c>
      <c r="P13" s="837">
        <f t="shared" si="0"/>
        <v>2024</v>
      </c>
      <c r="R13" s="166" t="s">
        <v>20</v>
      </c>
    </row>
    <row r="14" spans="1:22" s="301" customFormat="1" ht="12" customHeight="1" x14ac:dyDescent="0.2">
      <c r="B14" s="302"/>
      <c r="C14" s="302"/>
      <c r="D14" s="302"/>
      <c r="E14" s="302"/>
      <c r="F14" s="303"/>
      <c r="G14" s="304"/>
      <c r="H14" s="228"/>
      <c r="I14" s="228"/>
      <c r="N14" s="838"/>
      <c r="O14" s="838"/>
      <c r="P14" s="838"/>
      <c r="Q14" s="305"/>
    </row>
    <row r="15" spans="1:22" ht="28.5" customHeight="1" x14ac:dyDescent="0.2">
      <c r="B15" s="1263" t="s">
        <v>240</v>
      </c>
      <c r="C15" s="1263"/>
      <c r="D15" s="1263"/>
      <c r="E15" s="1263"/>
      <c r="F15" s="168"/>
      <c r="G15" s="255">
        <f>+T5A!C27</f>
        <v>0</v>
      </c>
      <c r="H15" s="255">
        <f>+T5A!D27</f>
        <v>0</v>
      </c>
      <c r="I15" s="255">
        <f>+T5A!E27</f>
        <v>0</v>
      </c>
      <c r="J15" s="255">
        <f>+T5A!F27</f>
        <v>0</v>
      </c>
      <c r="K15" s="255">
        <f>+T5A!G27</f>
        <v>0</v>
      </c>
      <c r="L15" s="255">
        <f>+T5A!H27</f>
        <v>0</v>
      </c>
      <c r="M15" s="255">
        <f>+T5A!I27</f>
        <v>0</v>
      </c>
      <c r="N15" s="565">
        <f>+T5A!J27</f>
        <v>0</v>
      </c>
      <c r="O15" s="565">
        <f>+T5A!K27</f>
        <v>0</v>
      </c>
      <c r="P15" s="565">
        <f>+T5A!L27</f>
        <v>0</v>
      </c>
      <c r="R15" s="991">
        <f>SUM(G15:P15)</f>
        <v>0</v>
      </c>
    </row>
    <row r="16" spans="1:22" ht="26.25" customHeight="1" x14ac:dyDescent="0.2">
      <c r="B16" s="1263" t="s">
        <v>66</v>
      </c>
      <c r="C16" s="1263"/>
      <c r="D16" s="1263"/>
      <c r="E16" s="1263"/>
      <c r="F16" s="168"/>
      <c r="G16" s="255">
        <f>+T5A!C28</f>
        <v>0</v>
      </c>
      <c r="H16" s="255">
        <f>+T5A!D28</f>
        <v>0</v>
      </c>
      <c r="I16" s="255">
        <f>+T5A!E28</f>
        <v>0</v>
      </c>
      <c r="J16" s="255">
        <f>+T5A!F28</f>
        <v>0</v>
      </c>
      <c r="K16" s="255">
        <f>+T5A!G28</f>
        <v>0</v>
      </c>
      <c r="L16" s="255">
        <f>+T5A!H28</f>
        <v>0</v>
      </c>
      <c r="M16" s="255">
        <f>+T5A!I28</f>
        <v>0</v>
      </c>
      <c r="N16" s="565">
        <f>+T5A!J28</f>
        <v>0</v>
      </c>
      <c r="O16" s="565">
        <f>+T5A!K28</f>
        <v>0</v>
      </c>
      <c r="P16" s="565">
        <f>+T5A!L28</f>
        <v>0</v>
      </c>
      <c r="R16" s="991">
        <f t="shared" ref="R16:R21" si="1">SUM(G16:P16)</f>
        <v>0</v>
      </c>
    </row>
    <row r="17" spans="2:18" ht="27.75" customHeight="1" x14ac:dyDescent="0.2">
      <c r="B17" s="1263" t="s">
        <v>205</v>
      </c>
      <c r="C17" s="1263"/>
      <c r="D17" s="1263"/>
      <c r="E17" s="1263"/>
      <c r="F17" s="168"/>
      <c r="G17" s="565"/>
      <c r="H17" s="565"/>
      <c r="I17" s="565"/>
      <c r="J17" s="565"/>
      <c r="K17" s="565"/>
      <c r="L17" s="565"/>
      <c r="M17" s="565"/>
      <c r="N17" s="565"/>
      <c r="O17" s="565"/>
      <c r="P17" s="565"/>
      <c r="R17" s="994"/>
    </row>
    <row r="18" spans="2:18" ht="24.75" customHeight="1" x14ac:dyDescent="0.2">
      <c r="B18" s="1263" t="s">
        <v>67</v>
      </c>
      <c r="C18" s="1263"/>
      <c r="D18" s="1263"/>
      <c r="E18" s="1263"/>
      <c r="F18" s="168"/>
      <c r="G18" s="255">
        <f>+T5A!C30</f>
        <v>0</v>
      </c>
      <c r="H18" s="255">
        <f>+T5A!D30</f>
        <v>0</v>
      </c>
      <c r="I18" s="255">
        <f>+T5A!E30</f>
        <v>0</v>
      </c>
      <c r="J18" s="255">
        <f>+T5A!F30</f>
        <v>0</v>
      </c>
      <c r="K18" s="255">
        <f>+T5A!G30</f>
        <v>0</v>
      </c>
      <c r="L18" s="255">
        <f>+T5A!H30</f>
        <v>0</v>
      </c>
      <c r="M18" s="255">
        <f>+T5A!I30</f>
        <v>0</v>
      </c>
      <c r="N18" s="565">
        <f>+T5A!J30</f>
        <v>0</v>
      </c>
      <c r="O18" s="565">
        <f>+T5A!K30</f>
        <v>0</v>
      </c>
      <c r="P18" s="565">
        <f>+T5A!L30</f>
        <v>0</v>
      </c>
      <c r="R18" s="991">
        <f t="shared" si="1"/>
        <v>0</v>
      </c>
    </row>
    <row r="19" spans="2:18" ht="27" customHeight="1" x14ac:dyDescent="0.2">
      <c r="B19" s="1263" t="s">
        <v>119</v>
      </c>
      <c r="C19" s="1263"/>
      <c r="D19" s="1263"/>
      <c r="E19" s="1263"/>
      <c r="F19" s="168"/>
      <c r="G19" s="255">
        <f>+T5A!C31</f>
        <v>0</v>
      </c>
      <c r="H19" s="255">
        <f>+T5A!D31</f>
        <v>0</v>
      </c>
      <c r="I19" s="255">
        <f>+T5A!E31</f>
        <v>0</v>
      </c>
      <c r="J19" s="255">
        <f>+T5A!F31</f>
        <v>0</v>
      </c>
      <c r="K19" s="255">
        <f>+T5A!G31</f>
        <v>0</v>
      </c>
      <c r="L19" s="255">
        <f>+T5A!H31</f>
        <v>0</v>
      </c>
      <c r="M19" s="565"/>
      <c r="N19" s="565"/>
      <c r="O19" s="565"/>
      <c r="P19" s="565"/>
      <c r="R19" s="991">
        <f>+SUM(G19:L19)</f>
        <v>0</v>
      </c>
    </row>
    <row r="20" spans="2:18" ht="18.75" customHeight="1" x14ac:dyDescent="0.2">
      <c r="B20" s="1263" t="s">
        <v>118</v>
      </c>
      <c r="C20" s="1263"/>
      <c r="D20" s="1263"/>
      <c r="E20" s="1263"/>
      <c r="F20" s="168"/>
      <c r="G20" s="255">
        <f>+T5A!C32</f>
        <v>0</v>
      </c>
      <c r="H20" s="255">
        <f>+T5A!D32</f>
        <v>0</v>
      </c>
      <c r="I20" s="255">
        <f>+T5A!E32</f>
        <v>0</v>
      </c>
      <c r="J20" s="255">
        <f>+T5A!F32</f>
        <v>0</v>
      </c>
      <c r="K20" s="255">
        <f>+T5A!G32</f>
        <v>0</v>
      </c>
      <c r="L20" s="255">
        <f>+T5A!H32</f>
        <v>0</v>
      </c>
      <c r="M20" s="255">
        <f>+T5A!I32</f>
        <v>0</v>
      </c>
      <c r="N20" s="565">
        <f>+T5A!J32</f>
        <v>0</v>
      </c>
      <c r="O20" s="565">
        <f>+T5A!K32</f>
        <v>0</v>
      </c>
      <c r="P20" s="565">
        <f>+T5A!L32</f>
        <v>0</v>
      </c>
      <c r="R20" s="991">
        <f t="shared" si="1"/>
        <v>0</v>
      </c>
    </row>
    <row r="21" spans="2:18" ht="28.5" customHeight="1" x14ac:dyDescent="0.2">
      <c r="B21" s="1289" t="s">
        <v>68</v>
      </c>
      <c r="C21" s="1290"/>
      <c r="D21" s="1290"/>
      <c r="E21" s="1291"/>
      <c r="F21" s="168"/>
      <c r="G21" s="255">
        <f>+T5A!C33</f>
        <v>0</v>
      </c>
      <c r="H21" s="255">
        <f>+T5A!D33</f>
        <v>0</v>
      </c>
      <c r="I21" s="255">
        <f>+T5A!E33</f>
        <v>0</v>
      </c>
      <c r="J21" s="255">
        <f>+T5A!F33</f>
        <v>0</v>
      </c>
      <c r="K21" s="255">
        <f>+T5A!G33</f>
        <v>0</v>
      </c>
      <c r="L21" s="255">
        <f>+T5A!H33</f>
        <v>0</v>
      </c>
      <c r="M21" s="255">
        <f>+T5A!I33</f>
        <v>0</v>
      </c>
      <c r="N21" s="565">
        <f>+T5A!J33</f>
        <v>0</v>
      </c>
      <c r="O21" s="565">
        <f>+T5A!K33</f>
        <v>0</v>
      </c>
      <c r="P21" s="565">
        <f>+T5A!L33</f>
        <v>0</v>
      </c>
      <c r="R21" s="991">
        <f t="shared" si="1"/>
        <v>0</v>
      </c>
    </row>
    <row r="22" spans="2:18" x14ac:dyDescent="0.2">
      <c r="G22" s="306"/>
      <c r="H22" s="306"/>
      <c r="I22" s="306"/>
      <c r="J22" s="306"/>
      <c r="K22" s="306"/>
      <c r="L22" s="306"/>
      <c r="M22" s="306"/>
      <c r="N22" s="839"/>
      <c r="O22" s="839"/>
      <c r="P22" s="839"/>
      <c r="R22" s="307"/>
    </row>
    <row r="23" spans="2:18" ht="23.25" customHeight="1" x14ac:dyDescent="0.2">
      <c r="B23" s="1286" t="s">
        <v>22</v>
      </c>
      <c r="C23" s="1287"/>
      <c r="D23" s="1287"/>
      <c r="E23" s="1288"/>
      <c r="F23" s="173"/>
      <c r="G23" s="174">
        <f t="shared" ref="G23:P23" si="2">SUM(G15:G21)</f>
        <v>0</v>
      </c>
      <c r="H23" s="174">
        <f t="shared" si="2"/>
        <v>0</v>
      </c>
      <c r="I23" s="174">
        <f t="shared" si="2"/>
        <v>0</v>
      </c>
      <c r="J23" s="174">
        <f t="shared" si="2"/>
        <v>0</v>
      </c>
      <c r="K23" s="174">
        <f t="shared" si="2"/>
        <v>0</v>
      </c>
      <c r="L23" s="174">
        <f t="shared" si="2"/>
        <v>0</v>
      </c>
      <c r="M23" s="174">
        <f t="shared" si="2"/>
        <v>0</v>
      </c>
      <c r="N23" s="840">
        <f t="shared" si="2"/>
        <v>0</v>
      </c>
      <c r="O23" s="840">
        <f t="shared" si="2"/>
        <v>0</v>
      </c>
      <c r="P23" s="840">
        <f t="shared" si="2"/>
        <v>0</v>
      </c>
      <c r="R23" s="174">
        <f>SUM(G23:P23)</f>
        <v>0</v>
      </c>
    </row>
    <row r="24" spans="2:18" x14ac:dyDescent="0.2">
      <c r="B24" s="1292" t="s">
        <v>123</v>
      </c>
      <c r="C24" s="1292"/>
      <c r="D24" s="1292"/>
      <c r="E24" s="1292"/>
      <c r="F24" s="226"/>
      <c r="G24" s="308">
        <f>+G23-T5A!C63</f>
        <v>0</v>
      </c>
      <c r="H24" s="308">
        <f>+H23-T5A!D63</f>
        <v>0</v>
      </c>
      <c r="I24" s="308">
        <f>+I23-T5A!E63</f>
        <v>0</v>
      </c>
      <c r="J24" s="308">
        <f>+J23-T5A!F63</f>
        <v>0</v>
      </c>
      <c r="K24" s="309">
        <f>+K23-T5A!G63</f>
        <v>0</v>
      </c>
      <c r="L24" s="309">
        <f>+L23-T5A!H63</f>
        <v>0</v>
      </c>
      <c r="M24" s="309">
        <f>+M23-T5A!I63</f>
        <v>0</v>
      </c>
      <c r="N24" s="841">
        <f>+N23-T5A!J63</f>
        <v>0</v>
      </c>
      <c r="O24" s="841">
        <f>+O23-T5A!K63</f>
        <v>0</v>
      </c>
      <c r="P24" s="841">
        <f>+P23-T5A!L63</f>
        <v>0</v>
      </c>
      <c r="R24" s="309">
        <f>+R23-T5A!N63</f>
        <v>0</v>
      </c>
    </row>
    <row r="25" spans="2:18" x14ac:dyDescent="0.2">
      <c r="B25" s="310"/>
      <c r="C25" s="310"/>
      <c r="D25" s="310"/>
      <c r="E25" s="310"/>
      <c r="F25" s="311"/>
      <c r="G25" s="312"/>
      <c r="H25" s="312"/>
      <c r="I25" s="312"/>
      <c r="J25" s="312"/>
      <c r="N25" s="842"/>
      <c r="O25" s="842"/>
      <c r="P25" s="842"/>
    </row>
    <row r="26" spans="2:18" x14ac:dyDescent="0.2">
      <c r="G26" s="313" t="s">
        <v>32</v>
      </c>
      <c r="H26" s="306"/>
      <c r="N26" s="842"/>
      <c r="O26" s="842"/>
      <c r="P26" s="842"/>
    </row>
    <row r="27" spans="2:18" x14ac:dyDescent="0.2">
      <c r="G27" s="313" t="s">
        <v>33</v>
      </c>
      <c r="H27" s="306"/>
      <c r="N27" s="842"/>
      <c r="O27" s="842"/>
      <c r="P27" s="842"/>
    </row>
    <row r="28" spans="2:18" ht="60" customHeight="1" x14ac:dyDescent="0.2">
      <c r="B28" s="1257" t="s">
        <v>248</v>
      </c>
      <c r="C28" s="1258"/>
      <c r="D28" s="1258"/>
      <c r="E28" s="1259"/>
      <c r="F28" s="168"/>
      <c r="G28" s="166">
        <v>2015</v>
      </c>
      <c r="H28" s="166">
        <f>+G28+1</f>
        <v>2016</v>
      </c>
      <c r="I28" s="166">
        <f>+H28+1</f>
        <v>2017</v>
      </c>
      <c r="J28" s="166">
        <f>+I28+1</f>
        <v>2018</v>
      </c>
      <c r="K28" s="166">
        <f>+J28+1</f>
        <v>2019</v>
      </c>
      <c r="L28" s="166">
        <f t="shared" ref="L28:P28" si="3">+K28+1</f>
        <v>2020</v>
      </c>
      <c r="M28" s="166">
        <f t="shared" si="3"/>
        <v>2021</v>
      </c>
      <c r="N28" s="837">
        <f t="shared" si="3"/>
        <v>2022</v>
      </c>
      <c r="O28" s="837">
        <f t="shared" si="3"/>
        <v>2023</v>
      </c>
      <c r="P28" s="837">
        <f t="shared" si="3"/>
        <v>2024</v>
      </c>
      <c r="R28" s="166" t="s">
        <v>20</v>
      </c>
    </row>
    <row r="29" spans="2:18" s="301" customFormat="1" ht="12" customHeight="1" x14ac:dyDescent="0.2">
      <c r="B29" s="302"/>
      <c r="C29" s="302"/>
      <c r="D29" s="302"/>
      <c r="E29" s="302"/>
      <c r="F29" s="303"/>
      <c r="G29" s="304"/>
      <c r="H29" s="228"/>
      <c r="I29" s="228"/>
      <c r="N29" s="838"/>
      <c r="O29" s="838"/>
      <c r="P29" s="838"/>
      <c r="Q29" s="305"/>
    </row>
    <row r="30" spans="2:18" ht="36" customHeight="1" x14ac:dyDescent="0.2">
      <c r="B30" s="1282" t="s">
        <v>240</v>
      </c>
      <c r="C30" s="1283"/>
      <c r="D30" s="1283"/>
      <c r="E30" s="1284"/>
      <c r="F30" s="168"/>
      <c r="G30" s="992"/>
      <c r="H30" s="992"/>
      <c r="I30" s="992"/>
      <c r="J30" s="992"/>
      <c r="K30" s="992"/>
      <c r="L30" s="992"/>
      <c r="M30" s="992"/>
      <c r="N30" s="993"/>
      <c r="O30" s="993"/>
      <c r="P30" s="993"/>
      <c r="R30" s="992"/>
    </row>
    <row r="31" spans="2:18" ht="28.5" customHeight="1" x14ac:dyDescent="0.2">
      <c r="B31" s="1267" t="str">
        <f>"per 31/12/"&amp;$G$13</f>
        <v>per 31/12/2015</v>
      </c>
      <c r="C31" s="1268"/>
      <c r="D31" s="1268"/>
      <c r="E31" s="1269"/>
      <c r="F31" s="168"/>
      <c r="G31" s="255"/>
      <c r="H31" s="255"/>
      <c r="I31" s="255"/>
      <c r="J31" s="255"/>
      <c r="K31" s="255"/>
      <c r="L31" s="255"/>
      <c r="M31" s="255"/>
      <c r="N31" s="565"/>
      <c r="O31" s="565"/>
      <c r="P31" s="565"/>
      <c r="R31" s="991">
        <f t="shared" ref="R31:R94" si="4">SUM(G31:P31)</f>
        <v>0</v>
      </c>
    </row>
    <row r="32" spans="2:18" ht="28.5" customHeight="1" x14ac:dyDescent="0.2">
      <c r="B32" s="1267" t="str">
        <f>"per 31/12/"&amp;$H$13</f>
        <v>per 31/12/2016</v>
      </c>
      <c r="C32" s="1268"/>
      <c r="D32" s="1268"/>
      <c r="E32" s="1269"/>
      <c r="F32" s="168"/>
      <c r="G32" s="255"/>
      <c r="H32" s="255"/>
      <c r="I32" s="255"/>
      <c r="J32" s="255"/>
      <c r="K32" s="255"/>
      <c r="L32" s="255"/>
      <c r="M32" s="255"/>
      <c r="N32" s="565"/>
      <c r="O32" s="565"/>
      <c r="P32" s="565"/>
      <c r="R32" s="991">
        <f t="shared" si="4"/>
        <v>0</v>
      </c>
    </row>
    <row r="33" spans="2:18" ht="28.5" customHeight="1" x14ac:dyDescent="0.2">
      <c r="B33" s="1267" t="str">
        <f>"per 31/12/"&amp;$I$13</f>
        <v>per 31/12/2017</v>
      </c>
      <c r="C33" s="1268"/>
      <c r="D33" s="1268"/>
      <c r="E33" s="1269"/>
      <c r="F33" s="168"/>
      <c r="G33" s="255">
        <f>J238</f>
        <v>0</v>
      </c>
      <c r="H33" s="255"/>
      <c r="I33" s="255"/>
      <c r="J33" s="255"/>
      <c r="K33" s="255"/>
      <c r="L33" s="255"/>
      <c r="M33" s="255"/>
      <c r="N33" s="565"/>
      <c r="O33" s="565"/>
      <c r="P33" s="565"/>
      <c r="R33" s="991">
        <f t="shared" si="4"/>
        <v>0</v>
      </c>
    </row>
    <row r="34" spans="2:18" ht="28.5" customHeight="1" x14ac:dyDescent="0.2">
      <c r="B34" s="1267" t="str">
        <f>"per 31/12/"&amp;$J$13</f>
        <v>per 31/12/2018</v>
      </c>
      <c r="C34" s="1268"/>
      <c r="D34" s="1268"/>
      <c r="E34" s="1269"/>
      <c r="F34" s="168"/>
      <c r="G34" s="255">
        <f>L243</f>
        <v>0</v>
      </c>
      <c r="H34" s="255">
        <f>L244</f>
        <v>0</v>
      </c>
      <c r="I34" s="255"/>
      <c r="J34" s="255"/>
      <c r="K34" s="255"/>
      <c r="L34" s="255"/>
      <c r="M34" s="255"/>
      <c r="N34" s="565"/>
      <c r="O34" s="565"/>
      <c r="P34" s="565"/>
      <c r="R34" s="991">
        <f t="shared" si="4"/>
        <v>0</v>
      </c>
    </row>
    <row r="35" spans="2:18" ht="28.5" customHeight="1" x14ac:dyDescent="0.2">
      <c r="B35" s="1267" t="str">
        <f>"per 31/12/"&amp;$K$13</f>
        <v>per 31/12/2019</v>
      </c>
      <c r="C35" s="1268"/>
      <c r="D35" s="1268"/>
      <c r="E35" s="1269"/>
      <c r="F35" s="168"/>
      <c r="G35" s="255">
        <f>L250</f>
        <v>0</v>
      </c>
      <c r="H35" s="255">
        <f>L251</f>
        <v>0</v>
      </c>
      <c r="I35" s="255">
        <f>L252</f>
        <v>0</v>
      </c>
      <c r="J35" s="255"/>
      <c r="K35" s="255"/>
      <c r="L35" s="255"/>
      <c r="M35" s="255"/>
      <c r="N35" s="565"/>
      <c r="O35" s="565"/>
      <c r="P35" s="565"/>
      <c r="R35" s="991">
        <f t="shared" si="4"/>
        <v>0</v>
      </c>
    </row>
    <row r="36" spans="2:18" ht="28.5" customHeight="1" x14ac:dyDescent="0.2">
      <c r="B36" s="1267" t="str">
        <f>"per 31/12/"&amp;$L$13</f>
        <v>per 31/12/2020</v>
      </c>
      <c r="C36" s="1268"/>
      <c r="D36" s="1268"/>
      <c r="E36" s="1269"/>
      <c r="F36" s="168"/>
      <c r="G36" s="255">
        <f>L258</f>
        <v>0</v>
      </c>
      <c r="H36" s="255">
        <f>L259</f>
        <v>0</v>
      </c>
      <c r="I36" s="255">
        <f>L260</f>
        <v>0</v>
      </c>
      <c r="J36" s="255">
        <f>L261</f>
        <v>0</v>
      </c>
      <c r="K36" s="255"/>
      <c r="L36" s="255"/>
      <c r="M36" s="255"/>
      <c r="N36" s="565"/>
      <c r="O36" s="565"/>
      <c r="P36" s="565"/>
      <c r="R36" s="991">
        <f t="shared" si="4"/>
        <v>0</v>
      </c>
    </row>
    <row r="37" spans="2:18" ht="28.5" customHeight="1" x14ac:dyDescent="0.2">
      <c r="B37" s="1267" t="str">
        <f>"per 31/12/"&amp;$M$13</f>
        <v>per 31/12/2021</v>
      </c>
      <c r="C37" s="1268"/>
      <c r="D37" s="1268"/>
      <c r="E37" s="1269"/>
      <c r="F37" s="168"/>
      <c r="G37" s="255">
        <f>+H267</f>
        <v>0</v>
      </c>
      <c r="H37" s="255">
        <f>H268</f>
        <v>0</v>
      </c>
      <c r="I37" s="255">
        <f>H269</f>
        <v>0</v>
      </c>
      <c r="J37" s="255">
        <f>H270</f>
        <v>0</v>
      </c>
      <c r="K37" s="255">
        <f>H271</f>
        <v>0</v>
      </c>
      <c r="L37" s="255"/>
      <c r="M37" s="255"/>
      <c r="N37" s="565"/>
      <c r="O37" s="565"/>
      <c r="P37" s="565"/>
      <c r="R37" s="991">
        <f t="shared" si="4"/>
        <v>0</v>
      </c>
    </row>
    <row r="38" spans="2:18" ht="28.5" customHeight="1" x14ac:dyDescent="0.2">
      <c r="B38" s="1270" t="str">
        <f>"per 31/12/"&amp;$N$13</f>
        <v>per 31/12/2022</v>
      </c>
      <c r="C38" s="1271"/>
      <c r="D38" s="1271"/>
      <c r="E38" s="1272"/>
      <c r="F38" s="314"/>
      <c r="G38" s="565">
        <f>H277</f>
        <v>0</v>
      </c>
      <c r="H38" s="565">
        <f>H278</f>
        <v>0</v>
      </c>
      <c r="I38" s="565">
        <f>H279</f>
        <v>0</v>
      </c>
      <c r="J38" s="565">
        <f>H280</f>
        <v>0</v>
      </c>
      <c r="K38" s="565">
        <f>H281</f>
        <v>0</v>
      </c>
      <c r="L38" s="565">
        <f>H282</f>
        <v>0</v>
      </c>
      <c r="M38" s="565"/>
      <c r="N38" s="565"/>
      <c r="O38" s="565"/>
      <c r="P38" s="565"/>
      <c r="Q38" s="845"/>
      <c r="R38" s="994">
        <f t="shared" si="4"/>
        <v>0</v>
      </c>
    </row>
    <row r="39" spans="2:18" ht="28.5" customHeight="1" x14ac:dyDescent="0.2">
      <c r="B39" s="1270" t="str">
        <f>"per 31/12/"&amp;$O$13</f>
        <v>per 31/12/2023</v>
      </c>
      <c r="C39" s="1271"/>
      <c r="D39" s="1271"/>
      <c r="E39" s="1272"/>
      <c r="F39" s="314"/>
      <c r="G39" s="565"/>
      <c r="H39" s="565"/>
      <c r="I39" s="565"/>
      <c r="J39" s="565"/>
      <c r="K39" s="565"/>
      <c r="L39" s="565">
        <f>H288</f>
        <v>0</v>
      </c>
      <c r="M39" s="565">
        <f>H289</f>
        <v>0</v>
      </c>
      <c r="N39" s="565"/>
      <c r="O39" s="565"/>
      <c r="P39" s="565"/>
      <c r="Q39" s="845"/>
      <c r="R39" s="994">
        <f t="shared" si="4"/>
        <v>0</v>
      </c>
    </row>
    <row r="40" spans="2:18" ht="28.5" customHeight="1" x14ac:dyDescent="0.2">
      <c r="B40" s="1270" t="str">
        <f>"per 31/12/"&amp;$P$13</f>
        <v>per 31/12/2024</v>
      </c>
      <c r="C40" s="1271"/>
      <c r="D40" s="1271"/>
      <c r="E40" s="1272"/>
      <c r="F40" s="314"/>
      <c r="G40" s="565"/>
      <c r="H40" s="565"/>
      <c r="I40" s="565"/>
      <c r="J40" s="565"/>
      <c r="K40" s="565"/>
      <c r="L40" s="565"/>
      <c r="M40" s="565">
        <f>H295</f>
        <v>0</v>
      </c>
      <c r="N40" s="565">
        <f>H296</f>
        <v>0</v>
      </c>
      <c r="O40" s="565"/>
      <c r="P40" s="565"/>
      <c r="Q40" s="845"/>
      <c r="R40" s="994">
        <f t="shared" si="4"/>
        <v>0</v>
      </c>
    </row>
    <row r="41" spans="2:18" ht="27.75" customHeight="1" x14ac:dyDescent="0.2">
      <c r="B41" s="1282" t="s">
        <v>66</v>
      </c>
      <c r="C41" s="1283"/>
      <c r="D41" s="1283"/>
      <c r="E41" s="1284"/>
      <c r="F41" s="168"/>
      <c r="G41" s="992"/>
      <c r="H41" s="992"/>
      <c r="I41" s="992"/>
      <c r="J41" s="992"/>
      <c r="K41" s="992"/>
      <c r="L41" s="992"/>
      <c r="M41" s="992"/>
      <c r="N41" s="993"/>
      <c r="O41" s="993"/>
      <c r="P41" s="993"/>
      <c r="R41" s="992"/>
    </row>
    <row r="42" spans="2:18" ht="28.5" customHeight="1" x14ac:dyDescent="0.2">
      <c r="B42" s="1267" t="str">
        <f>"per 31/12/"&amp;$G$13</f>
        <v>per 31/12/2015</v>
      </c>
      <c r="C42" s="1268"/>
      <c r="D42" s="1268"/>
      <c r="E42" s="1269"/>
      <c r="F42" s="168"/>
      <c r="G42" s="255"/>
      <c r="H42" s="255"/>
      <c r="I42" s="255"/>
      <c r="J42" s="255"/>
      <c r="K42" s="255"/>
      <c r="L42" s="255"/>
      <c r="M42" s="255"/>
      <c r="N42" s="565"/>
      <c r="O42" s="565"/>
      <c r="P42" s="565"/>
      <c r="R42" s="991">
        <f t="shared" si="4"/>
        <v>0</v>
      </c>
    </row>
    <row r="43" spans="2:18" ht="28.5" customHeight="1" x14ac:dyDescent="0.2">
      <c r="B43" s="1267" t="str">
        <f>"per 31/12/"&amp;$H$13</f>
        <v>per 31/12/2016</v>
      </c>
      <c r="C43" s="1268"/>
      <c r="D43" s="1268"/>
      <c r="E43" s="1269"/>
      <c r="F43" s="168"/>
      <c r="G43" s="255"/>
      <c r="H43" s="255"/>
      <c r="I43" s="255"/>
      <c r="J43" s="255"/>
      <c r="K43" s="255"/>
      <c r="L43" s="255"/>
      <c r="M43" s="255"/>
      <c r="N43" s="565"/>
      <c r="O43" s="565"/>
      <c r="P43" s="565"/>
      <c r="R43" s="991">
        <f t="shared" si="4"/>
        <v>0</v>
      </c>
    </row>
    <row r="44" spans="2:18" ht="28.5" customHeight="1" x14ac:dyDescent="0.2">
      <c r="B44" s="1267" t="str">
        <f>"per 31/12/"&amp;$I$13</f>
        <v>per 31/12/2017</v>
      </c>
      <c r="C44" s="1268"/>
      <c r="D44" s="1268"/>
      <c r="E44" s="1269"/>
      <c r="F44" s="168"/>
      <c r="G44" s="255">
        <f>J312</f>
        <v>0</v>
      </c>
      <c r="H44" s="255"/>
      <c r="I44" s="255"/>
      <c r="J44" s="255"/>
      <c r="K44" s="255"/>
      <c r="L44" s="255"/>
      <c r="M44" s="255"/>
      <c r="N44" s="565"/>
      <c r="O44" s="565"/>
      <c r="P44" s="565"/>
      <c r="R44" s="991">
        <f t="shared" si="4"/>
        <v>0</v>
      </c>
    </row>
    <row r="45" spans="2:18" ht="28.5" customHeight="1" x14ac:dyDescent="0.2">
      <c r="B45" s="1267" t="str">
        <f>"per 31/12/"&amp;$J$13</f>
        <v>per 31/12/2018</v>
      </c>
      <c r="C45" s="1268"/>
      <c r="D45" s="1268"/>
      <c r="E45" s="1269"/>
      <c r="F45" s="168"/>
      <c r="G45" s="255">
        <f>L317</f>
        <v>0</v>
      </c>
      <c r="H45" s="255">
        <f>L318</f>
        <v>0</v>
      </c>
      <c r="I45" s="255"/>
      <c r="J45" s="255"/>
      <c r="K45" s="255"/>
      <c r="L45" s="255"/>
      <c r="M45" s="255"/>
      <c r="N45" s="565"/>
      <c r="O45" s="565"/>
      <c r="P45" s="565"/>
      <c r="R45" s="991">
        <f t="shared" si="4"/>
        <v>0</v>
      </c>
    </row>
    <row r="46" spans="2:18" ht="28.5" customHeight="1" x14ac:dyDescent="0.2">
      <c r="B46" s="1267" t="str">
        <f>"per 31/12/"&amp;$K$13</f>
        <v>per 31/12/2019</v>
      </c>
      <c r="C46" s="1268"/>
      <c r="D46" s="1268"/>
      <c r="E46" s="1269"/>
      <c r="F46" s="168"/>
      <c r="G46" s="255">
        <f>L324</f>
        <v>0</v>
      </c>
      <c r="H46" s="255">
        <f>L325</f>
        <v>0</v>
      </c>
      <c r="I46" s="255">
        <f>L326</f>
        <v>0</v>
      </c>
      <c r="J46" s="255"/>
      <c r="K46" s="255"/>
      <c r="L46" s="255"/>
      <c r="M46" s="255"/>
      <c r="N46" s="565"/>
      <c r="O46" s="565"/>
      <c r="P46" s="565"/>
      <c r="R46" s="991">
        <f t="shared" si="4"/>
        <v>0</v>
      </c>
    </row>
    <row r="47" spans="2:18" ht="28.5" customHeight="1" x14ac:dyDescent="0.2">
      <c r="B47" s="1267" t="str">
        <f>"per 31/12/"&amp;$L$13</f>
        <v>per 31/12/2020</v>
      </c>
      <c r="C47" s="1268"/>
      <c r="D47" s="1268"/>
      <c r="E47" s="1269"/>
      <c r="F47" s="168"/>
      <c r="G47" s="255">
        <f>L332</f>
        <v>0</v>
      </c>
      <c r="H47" s="255">
        <f>L333</f>
        <v>0</v>
      </c>
      <c r="I47" s="255">
        <f>L334</f>
        <v>0</v>
      </c>
      <c r="J47" s="255">
        <f>L335</f>
        <v>0</v>
      </c>
      <c r="K47" s="255"/>
      <c r="L47" s="255"/>
      <c r="M47" s="255"/>
      <c r="N47" s="565"/>
      <c r="O47" s="565"/>
      <c r="P47" s="565"/>
      <c r="R47" s="991">
        <f t="shared" si="4"/>
        <v>0</v>
      </c>
    </row>
    <row r="48" spans="2:18" ht="28.5" customHeight="1" x14ac:dyDescent="0.2">
      <c r="B48" s="1267" t="str">
        <f>"per 31/12/"&amp;$M$13</f>
        <v>per 31/12/2021</v>
      </c>
      <c r="C48" s="1268"/>
      <c r="D48" s="1268"/>
      <c r="E48" s="1269"/>
      <c r="F48" s="168"/>
      <c r="G48" s="255">
        <f>H341</f>
        <v>0</v>
      </c>
      <c r="H48" s="255">
        <f>H342</f>
        <v>0</v>
      </c>
      <c r="I48" s="255">
        <f>H343</f>
        <v>0</v>
      </c>
      <c r="J48" s="255">
        <f>H344</f>
        <v>0</v>
      </c>
      <c r="K48" s="255">
        <f>H345</f>
        <v>0</v>
      </c>
      <c r="L48" s="255"/>
      <c r="M48" s="255"/>
      <c r="N48" s="565"/>
      <c r="O48" s="565"/>
      <c r="P48" s="565"/>
      <c r="R48" s="991">
        <f t="shared" si="4"/>
        <v>0</v>
      </c>
    </row>
    <row r="49" spans="2:18" ht="28.5" customHeight="1" x14ac:dyDescent="0.2">
      <c r="B49" s="1270" t="str">
        <f>"per 31/12/"&amp;$N$13</f>
        <v>per 31/12/2022</v>
      </c>
      <c r="C49" s="1271"/>
      <c r="D49" s="1271"/>
      <c r="E49" s="1272"/>
      <c r="F49" s="314"/>
      <c r="G49" s="565">
        <f>H351</f>
        <v>0</v>
      </c>
      <c r="H49" s="565">
        <f>H352</f>
        <v>0</v>
      </c>
      <c r="I49" s="565">
        <f>H353</f>
        <v>0</v>
      </c>
      <c r="J49" s="565">
        <f>H354</f>
        <v>0</v>
      </c>
      <c r="K49" s="565">
        <f>H355</f>
        <v>0</v>
      </c>
      <c r="L49" s="565">
        <f>H356</f>
        <v>0</v>
      </c>
      <c r="M49" s="565"/>
      <c r="N49" s="565"/>
      <c r="O49" s="565"/>
      <c r="P49" s="565"/>
      <c r="Q49" s="845"/>
      <c r="R49" s="994">
        <f t="shared" si="4"/>
        <v>0</v>
      </c>
    </row>
    <row r="50" spans="2:18" ht="28.5" customHeight="1" x14ac:dyDescent="0.2">
      <c r="B50" s="1270" t="str">
        <f>"per 31/12/"&amp;$O$13</f>
        <v>per 31/12/2023</v>
      </c>
      <c r="C50" s="1271"/>
      <c r="D50" s="1271"/>
      <c r="E50" s="1272"/>
      <c r="F50" s="314"/>
      <c r="G50" s="565"/>
      <c r="H50" s="565"/>
      <c r="I50" s="565"/>
      <c r="J50" s="565"/>
      <c r="K50" s="565"/>
      <c r="L50" s="565">
        <f>H362</f>
        <v>0</v>
      </c>
      <c r="M50" s="565">
        <f>H363</f>
        <v>0</v>
      </c>
      <c r="N50" s="565"/>
      <c r="O50" s="565"/>
      <c r="P50" s="565"/>
      <c r="Q50" s="845"/>
      <c r="R50" s="994">
        <f t="shared" si="4"/>
        <v>0</v>
      </c>
    </row>
    <row r="51" spans="2:18" ht="28.5" customHeight="1" x14ac:dyDescent="0.2">
      <c r="B51" s="1270" t="str">
        <f>"per 31/12/"&amp;$P$13</f>
        <v>per 31/12/2024</v>
      </c>
      <c r="C51" s="1271"/>
      <c r="D51" s="1271"/>
      <c r="E51" s="1272"/>
      <c r="F51" s="314"/>
      <c r="G51" s="565"/>
      <c r="H51" s="565"/>
      <c r="I51" s="565"/>
      <c r="J51" s="565"/>
      <c r="K51" s="565"/>
      <c r="L51" s="565"/>
      <c r="M51" s="565">
        <f>H369</f>
        <v>0</v>
      </c>
      <c r="N51" s="565">
        <f>H370</f>
        <v>0</v>
      </c>
      <c r="O51" s="565"/>
      <c r="P51" s="565"/>
      <c r="Q51" s="845"/>
      <c r="R51" s="994">
        <f t="shared" si="4"/>
        <v>0</v>
      </c>
    </row>
    <row r="52" spans="2:18" ht="30" customHeight="1" x14ac:dyDescent="0.2">
      <c r="B52" s="1282" t="s">
        <v>205</v>
      </c>
      <c r="C52" s="1283"/>
      <c r="D52" s="1283"/>
      <c r="E52" s="1284"/>
      <c r="F52" s="168"/>
      <c r="G52" s="992"/>
      <c r="H52" s="992"/>
      <c r="I52" s="992"/>
      <c r="J52" s="992"/>
      <c r="K52" s="992"/>
      <c r="L52" s="992"/>
      <c r="M52" s="992"/>
      <c r="N52" s="993"/>
      <c r="O52" s="993"/>
      <c r="P52" s="993"/>
      <c r="R52" s="992"/>
    </row>
    <row r="53" spans="2:18" ht="28.5" customHeight="1" x14ac:dyDescent="0.2">
      <c r="B53" s="1267" t="str">
        <f>"per 31/12/"&amp;$G$13</f>
        <v>per 31/12/2015</v>
      </c>
      <c r="C53" s="1268"/>
      <c r="D53" s="1268"/>
      <c r="E53" s="1269"/>
      <c r="F53" s="168"/>
      <c r="G53" s="255"/>
      <c r="H53" s="255"/>
      <c r="I53" s="255"/>
      <c r="J53" s="255"/>
      <c r="K53" s="255"/>
      <c r="L53" s="255"/>
      <c r="M53" s="255"/>
      <c r="N53" s="565"/>
      <c r="O53" s="565"/>
      <c r="P53" s="565"/>
      <c r="R53" s="994"/>
    </row>
    <row r="54" spans="2:18" ht="28.5" customHeight="1" x14ac:dyDescent="0.2">
      <c r="B54" s="1267" t="str">
        <f>"per 31/12/"&amp;$H$13</f>
        <v>per 31/12/2016</v>
      </c>
      <c r="C54" s="1268"/>
      <c r="D54" s="1268"/>
      <c r="E54" s="1269"/>
      <c r="F54" s="168"/>
      <c r="G54" s="255"/>
      <c r="H54" s="255"/>
      <c r="I54" s="255"/>
      <c r="J54" s="255"/>
      <c r="K54" s="255"/>
      <c r="L54" s="255"/>
      <c r="M54" s="255"/>
      <c r="N54" s="565"/>
      <c r="O54" s="565"/>
      <c r="P54" s="565"/>
      <c r="R54" s="994"/>
    </row>
    <row r="55" spans="2:18" ht="28.5" customHeight="1" x14ac:dyDescent="0.2">
      <c r="B55" s="1267" t="str">
        <f>"per 31/12/"&amp;$I$13</f>
        <v>per 31/12/2017</v>
      </c>
      <c r="C55" s="1268"/>
      <c r="D55" s="1268"/>
      <c r="E55" s="1269"/>
      <c r="F55" s="168"/>
      <c r="G55" s="565"/>
      <c r="H55" s="255"/>
      <c r="I55" s="255"/>
      <c r="J55" s="255"/>
      <c r="K55" s="255"/>
      <c r="L55" s="255"/>
      <c r="M55" s="255"/>
      <c r="N55" s="565"/>
      <c r="O55" s="565"/>
      <c r="P55" s="565"/>
      <c r="R55" s="994"/>
    </row>
    <row r="56" spans="2:18" ht="28.5" customHeight="1" x14ac:dyDescent="0.2">
      <c r="B56" s="1267" t="str">
        <f>"per 31/12/"&amp;$J$13</f>
        <v>per 31/12/2018</v>
      </c>
      <c r="C56" s="1268"/>
      <c r="D56" s="1268"/>
      <c r="E56" s="1269"/>
      <c r="F56" s="168"/>
      <c r="G56" s="565"/>
      <c r="H56" s="565"/>
      <c r="I56" s="255"/>
      <c r="J56" s="255"/>
      <c r="K56" s="255"/>
      <c r="L56" s="255"/>
      <c r="M56" s="255"/>
      <c r="N56" s="565"/>
      <c r="O56" s="565"/>
      <c r="P56" s="565"/>
      <c r="R56" s="994"/>
    </row>
    <row r="57" spans="2:18" ht="28.5" customHeight="1" x14ac:dyDescent="0.2">
      <c r="B57" s="1267" t="str">
        <f>"per 31/12/"&amp;$K$13</f>
        <v>per 31/12/2019</v>
      </c>
      <c r="C57" s="1268"/>
      <c r="D57" s="1268"/>
      <c r="E57" s="1269"/>
      <c r="F57" s="168"/>
      <c r="G57" s="565"/>
      <c r="H57" s="565"/>
      <c r="I57" s="565"/>
      <c r="J57" s="255"/>
      <c r="K57" s="255"/>
      <c r="L57" s="255"/>
      <c r="M57" s="255"/>
      <c r="N57" s="565"/>
      <c r="O57" s="565"/>
      <c r="P57" s="565"/>
      <c r="R57" s="994"/>
    </row>
    <row r="58" spans="2:18" ht="28.5" customHeight="1" x14ac:dyDescent="0.2">
      <c r="B58" s="1267" t="str">
        <f>"per 31/12/"&amp;$L$13</f>
        <v>per 31/12/2020</v>
      </c>
      <c r="C58" s="1268"/>
      <c r="D58" s="1268"/>
      <c r="E58" s="1269"/>
      <c r="F58" s="168"/>
      <c r="G58" s="565"/>
      <c r="H58" s="565"/>
      <c r="I58" s="565"/>
      <c r="J58" s="565"/>
      <c r="K58" s="255"/>
      <c r="L58" s="255"/>
      <c r="M58" s="255"/>
      <c r="N58" s="565"/>
      <c r="O58" s="565"/>
      <c r="P58" s="565"/>
      <c r="R58" s="994"/>
    </row>
    <row r="59" spans="2:18" ht="28.5" customHeight="1" x14ac:dyDescent="0.2">
      <c r="B59" s="1267" t="str">
        <f>"per 31/12/"&amp;$M$13</f>
        <v>per 31/12/2021</v>
      </c>
      <c r="C59" s="1268"/>
      <c r="D59" s="1268"/>
      <c r="E59" s="1269"/>
      <c r="F59" s="168"/>
      <c r="G59" s="565"/>
      <c r="H59" s="565"/>
      <c r="I59" s="565"/>
      <c r="J59" s="565"/>
      <c r="K59" s="565"/>
      <c r="L59" s="255"/>
      <c r="M59" s="255"/>
      <c r="N59" s="565"/>
      <c r="O59" s="565"/>
      <c r="P59" s="565"/>
      <c r="R59" s="994"/>
    </row>
    <row r="60" spans="2:18" ht="28.5" customHeight="1" x14ac:dyDescent="0.2">
      <c r="B60" s="1270" t="str">
        <f>"per 31/12/"&amp;$N$13</f>
        <v>per 31/12/2022</v>
      </c>
      <c r="C60" s="1271"/>
      <c r="D60" s="1271"/>
      <c r="E60" s="1272"/>
      <c r="F60" s="314"/>
      <c r="G60" s="565"/>
      <c r="H60" s="565"/>
      <c r="I60" s="565"/>
      <c r="J60" s="565"/>
      <c r="K60" s="565"/>
      <c r="L60" s="565"/>
      <c r="M60" s="565"/>
      <c r="N60" s="565"/>
      <c r="O60" s="565"/>
      <c r="P60" s="565"/>
      <c r="Q60" s="845"/>
      <c r="R60" s="994"/>
    </row>
    <row r="61" spans="2:18" ht="28.5" customHeight="1" x14ac:dyDescent="0.2">
      <c r="B61" s="1270" t="str">
        <f>"per 31/12/"&amp;$O$13</f>
        <v>per 31/12/2023</v>
      </c>
      <c r="C61" s="1271"/>
      <c r="D61" s="1271"/>
      <c r="E61" s="1272"/>
      <c r="F61" s="314"/>
      <c r="G61" s="565"/>
      <c r="H61" s="565"/>
      <c r="I61" s="565"/>
      <c r="J61" s="565"/>
      <c r="K61" s="565"/>
      <c r="L61" s="565"/>
      <c r="M61" s="565"/>
      <c r="N61" s="565"/>
      <c r="O61" s="565"/>
      <c r="P61" s="565"/>
      <c r="Q61" s="845"/>
      <c r="R61" s="994">
        <f t="shared" si="4"/>
        <v>0</v>
      </c>
    </row>
    <row r="62" spans="2:18" ht="28.5" customHeight="1" x14ac:dyDescent="0.2">
      <c r="B62" s="1270" t="str">
        <f>"per 31/12/"&amp;$P$13</f>
        <v>per 31/12/2024</v>
      </c>
      <c r="C62" s="1271"/>
      <c r="D62" s="1271"/>
      <c r="E62" s="1272"/>
      <c r="F62" s="314"/>
      <c r="G62" s="565"/>
      <c r="H62" s="565"/>
      <c r="I62" s="565"/>
      <c r="J62" s="565"/>
      <c r="K62" s="565"/>
      <c r="L62" s="565"/>
      <c r="M62" s="565"/>
      <c r="N62" s="565"/>
      <c r="O62" s="565"/>
      <c r="P62" s="565"/>
      <c r="Q62" s="845"/>
      <c r="R62" s="994"/>
    </row>
    <row r="63" spans="2:18" ht="30" customHeight="1" x14ac:dyDescent="0.2">
      <c r="B63" s="1282" t="s">
        <v>67</v>
      </c>
      <c r="C63" s="1283"/>
      <c r="D63" s="1283"/>
      <c r="E63" s="1284"/>
      <c r="F63" s="168"/>
      <c r="G63" s="992"/>
      <c r="H63" s="992"/>
      <c r="I63" s="992"/>
      <c r="J63" s="992"/>
      <c r="K63" s="992"/>
      <c r="L63" s="992"/>
      <c r="M63" s="992"/>
      <c r="N63" s="993"/>
      <c r="O63" s="993"/>
      <c r="P63" s="993"/>
      <c r="R63" s="992"/>
    </row>
    <row r="64" spans="2:18" ht="28.5" customHeight="1" x14ac:dyDescent="0.2">
      <c r="B64" s="1267" t="str">
        <f>"per 31/12/"&amp;$G$13</f>
        <v>per 31/12/2015</v>
      </c>
      <c r="C64" s="1268"/>
      <c r="D64" s="1268"/>
      <c r="E64" s="1269"/>
      <c r="F64" s="168"/>
      <c r="G64" s="255"/>
      <c r="H64" s="255"/>
      <c r="I64" s="255"/>
      <c r="J64" s="255"/>
      <c r="K64" s="255"/>
      <c r="L64" s="255"/>
      <c r="M64" s="255"/>
      <c r="N64" s="565"/>
      <c r="O64" s="565"/>
      <c r="P64" s="565"/>
      <c r="R64" s="991">
        <f t="shared" si="4"/>
        <v>0</v>
      </c>
    </row>
    <row r="65" spans="2:18" ht="28.5" customHeight="1" x14ac:dyDescent="0.2">
      <c r="B65" s="1267" t="str">
        <f>"per 31/12/"&amp;$H$13</f>
        <v>per 31/12/2016</v>
      </c>
      <c r="C65" s="1268"/>
      <c r="D65" s="1268"/>
      <c r="E65" s="1269"/>
      <c r="F65" s="168"/>
      <c r="G65" s="255"/>
      <c r="H65" s="255"/>
      <c r="I65" s="255"/>
      <c r="J65" s="255"/>
      <c r="K65" s="255"/>
      <c r="L65" s="255"/>
      <c r="M65" s="255"/>
      <c r="N65" s="565"/>
      <c r="O65" s="565"/>
      <c r="P65" s="565"/>
      <c r="R65" s="991">
        <f t="shared" si="4"/>
        <v>0</v>
      </c>
    </row>
    <row r="66" spans="2:18" ht="28.5" customHeight="1" x14ac:dyDescent="0.2">
      <c r="B66" s="1267" t="str">
        <f>"per 31/12/"&amp;$I$13</f>
        <v>per 31/12/2017</v>
      </c>
      <c r="C66" s="1268"/>
      <c r="D66" s="1268"/>
      <c r="E66" s="1269"/>
      <c r="F66" s="168"/>
      <c r="G66" s="255">
        <f>J398</f>
        <v>0</v>
      </c>
      <c r="H66" s="255"/>
      <c r="I66" s="255"/>
      <c r="J66" s="255"/>
      <c r="K66" s="255"/>
      <c r="L66" s="255"/>
      <c r="M66" s="255"/>
      <c r="N66" s="565"/>
      <c r="O66" s="565"/>
      <c r="P66" s="565"/>
      <c r="R66" s="991">
        <f t="shared" si="4"/>
        <v>0</v>
      </c>
    </row>
    <row r="67" spans="2:18" ht="28.5" customHeight="1" x14ac:dyDescent="0.2">
      <c r="B67" s="1267" t="str">
        <f>"per 31/12/"&amp;$J$13</f>
        <v>per 31/12/2018</v>
      </c>
      <c r="C67" s="1268"/>
      <c r="D67" s="1268"/>
      <c r="E67" s="1269"/>
      <c r="F67" s="168"/>
      <c r="G67" s="255">
        <f>L403</f>
        <v>0</v>
      </c>
      <c r="H67" s="255">
        <f>L404</f>
        <v>0</v>
      </c>
      <c r="I67" s="255"/>
      <c r="J67" s="255"/>
      <c r="K67" s="255"/>
      <c r="L67" s="255"/>
      <c r="M67" s="255"/>
      <c r="N67" s="565"/>
      <c r="O67" s="565"/>
      <c r="P67" s="565"/>
      <c r="R67" s="991">
        <f t="shared" si="4"/>
        <v>0</v>
      </c>
    </row>
    <row r="68" spans="2:18" ht="28.5" customHeight="1" x14ac:dyDescent="0.2">
      <c r="B68" s="1267" t="str">
        <f>"per 31/12/"&amp;$K$13</f>
        <v>per 31/12/2019</v>
      </c>
      <c r="C68" s="1268"/>
      <c r="D68" s="1268"/>
      <c r="E68" s="1269"/>
      <c r="F68" s="168"/>
      <c r="G68" s="255">
        <f>L410</f>
        <v>0</v>
      </c>
      <c r="H68" s="255">
        <f>L411</f>
        <v>0</v>
      </c>
      <c r="I68" s="255">
        <f>L412</f>
        <v>0</v>
      </c>
      <c r="J68" s="255"/>
      <c r="K68" s="255"/>
      <c r="L68" s="255"/>
      <c r="M68" s="255"/>
      <c r="N68" s="565"/>
      <c r="O68" s="565"/>
      <c r="P68" s="565"/>
      <c r="R68" s="991">
        <f t="shared" si="4"/>
        <v>0</v>
      </c>
    </row>
    <row r="69" spans="2:18" ht="28.5" customHeight="1" x14ac:dyDescent="0.2">
      <c r="B69" s="1267" t="str">
        <f>"per 31/12/"&amp;$L$13</f>
        <v>per 31/12/2020</v>
      </c>
      <c r="C69" s="1268"/>
      <c r="D69" s="1268"/>
      <c r="E69" s="1269"/>
      <c r="F69" s="168"/>
      <c r="G69" s="255">
        <f>L418</f>
        <v>0</v>
      </c>
      <c r="H69" s="255">
        <f>L419</f>
        <v>0</v>
      </c>
      <c r="I69" s="255">
        <f>L420</f>
        <v>0</v>
      </c>
      <c r="J69" s="255">
        <f>L421</f>
        <v>0</v>
      </c>
      <c r="K69" s="255"/>
      <c r="L69" s="255"/>
      <c r="M69" s="255"/>
      <c r="N69" s="565"/>
      <c r="O69" s="565"/>
      <c r="P69" s="565"/>
      <c r="R69" s="991">
        <f t="shared" si="4"/>
        <v>0</v>
      </c>
    </row>
    <row r="70" spans="2:18" ht="28.5" customHeight="1" x14ac:dyDescent="0.2">
      <c r="B70" s="1267" t="str">
        <f>"per 31/12/"&amp;$M$13</f>
        <v>per 31/12/2021</v>
      </c>
      <c r="C70" s="1268"/>
      <c r="D70" s="1268"/>
      <c r="E70" s="1269"/>
      <c r="F70" s="168"/>
      <c r="G70" s="255">
        <f>H427</f>
        <v>0</v>
      </c>
      <c r="H70" s="255">
        <f>H428</f>
        <v>0</v>
      </c>
      <c r="I70" s="255">
        <f>H429</f>
        <v>0</v>
      </c>
      <c r="J70" s="255">
        <f>H430</f>
        <v>0</v>
      </c>
      <c r="K70" s="255">
        <f>H431</f>
        <v>0</v>
      </c>
      <c r="L70" s="255"/>
      <c r="M70" s="255"/>
      <c r="N70" s="565"/>
      <c r="O70" s="565"/>
      <c r="P70" s="565"/>
      <c r="R70" s="991">
        <f t="shared" si="4"/>
        <v>0</v>
      </c>
    </row>
    <row r="71" spans="2:18" ht="28.5" customHeight="1" x14ac:dyDescent="0.2">
      <c r="B71" s="1270" t="str">
        <f>"per 31/12/"&amp;$N$13</f>
        <v>per 31/12/2022</v>
      </c>
      <c r="C71" s="1271"/>
      <c r="D71" s="1271"/>
      <c r="E71" s="1272"/>
      <c r="F71" s="314"/>
      <c r="G71" s="565">
        <f>H437</f>
        <v>0</v>
      </c>
      <c r="H71" s="565">
        <f>H438</f>
        <v>0</v>
      </c>
      <c r="I71" s="565">
        <f>H439</f>
        <v>0</v>
      </c>
      <c r="J71" s="565">
        <f>H440</f>
        <v>0</v>
      </c>
      <c r="K71" s="565">
        <f>H441</f>
        <v>0</v>
      </c>
      <c r="L71" s="565">
        <f>H442</f>
        <v>0</v>
      </c>
      <c r="M71" s="565"/>
      <c r="N71" s="565"/>
      <c r="O71" s="565"/>
      <c r="P71" s="565"/>
      <c r="Q71" s="845"/>
      <c r="R71" s="994">
        <f t="shared" si="4"/>
        <v>0</v>
      </c>
    </row>
    <row r="72" spans="2:18" ht="28.5" customHeight="1" x14ac:dyDescent="0.2">
      <c r="B72" s="1270" t="str">
        <f>"per 31/12/"&amp;$O$13</f>
        <v>per 31/12/2023</v>
      </c>
      <c r="C72" s="1271"/>
      <c r="D72" s="1271"/>
      <c r="E72" s="1272"/>
      <c r="F72" s="314"/>
      <c r="G72" s="565"/>
      <c r="H72" s="565"/>
      <c r="I72" s="565"/>
      <c r="J72" s="565"/>
      <c r="K72" s="565"/>
      <c r="L72" s="565">
        <f>H448</f>
        <v>0</v>
      </c>
      <c r="M72" s="565">
        <f>H449</f>
        <v>0</v>
      </c>
      <c r="N72" s="565"/>
      <c r="O72" s="565"/>
      <c r="P72" s="565"/>
      <c r="Q72" s="845"/>
      <c r="R72" s="994">
        <f t="shared" si="4"/>
        <v>0</v>
      </c>
    </row>
    <row r="73" spans="2:18" ht="28.5" customHeight="1" x14ac:dyDescent="0.2">
      <c r="B73" s="1270" t="str">
        <f>"per 31/12/"&amp;$P$13</f>
        <v>per 31/12/2024</v>
      </c>
      <c r="C73" s="1271"/>
      <c r="D73" s="1271"/>
      <c r="E73" s="1272"/>
      <c r="F73" s="314"/>
      <c r="G73" s="565"/>
      <c r="H73" s="565"/>
      <c r="I73" s="565"/>
      <c r="J73" s="565"/>
      <c r="K73" s="565"/>
      <c r="L73" s="565"/>
      <c r="M73" s="565">
        <f>H455</f>
        <v>0</v>
      </c>
      <c r="N73" s="565">
        <f>H456</f>
        <v>0</v>
      </c>
      <c r="O73" s="565"/>
      <c r="P73" s="565"/>
      <c r="Q73" s="845"/>
      <c r="R73" s="994">
        <f t="shared" si="4"/>
        <v>0</v>
      </c>
    </row>
    <row r="74" spans="2:18" ht="33.75" customHeight="1" x14ac:dyDescent="0.2">
      <c r="B74" s="1285" t="s">
        <v>119</v>
      </c>
      <c r="C74" s="1285"/>
      <c r="D74" s="1285"/>
      <c r="E74" s="1285"/>
      <c r="F74" s="168"/>
      <c r="G74" s="992"/>
      <c r="H74" s="992"/>
      <c r="I74" s="992"/>
      <c r="J74" s="992"/>
      <c r="K74" s="992"/>
      <c r="L74" s="992"/>
      <c r="M74" s="992"/>
      <c r="N74" s="993"/>
      <c r="O74" s="993"/>
      <c r="P74" s="993"/>
      <c r="R74" s="992"/>
    </row>
    <row r="75" spans="2:18" ht="28.5" customHeight="1" x14ac:dyDescent="0.2">
      <c r="B75" s="1267" t="str">
        <f>"per 31/12/"&amp;$G$13</f>
        <v>per 31/12/2015</v>
      </c>
      <c r="C75" s="1268"/>
      <c r="D75" s="1268"/>
      <c r="E75" s="1269"/>
      <c r="F75" s="168"/>
      <c r="G75" s="255"/>
      <c r="H75" s="255"/>
      <c r="I75" s="255"/>
      <c r="J75" s="255"/>
      <c r="K75" s="255"/>
      <c r="L75" s="255"/>
      <c r="M75" s="255"/>
      <c r="N75" s="565"/>
      <c r="O75" s="565"/>
      <c r="P75" s="565"/>
      <c r="R75" s="991">
        <f t="shared" si="4"/>
        <v>0</v>
      </c>
    </row>
    <row r="76" spans="2:18" ht="28.5" customHeight="1" x14ac:dyDescent="0.2">
      <c r="B76" s="1267" t="str">
        <f>"per 31/12/"&amp;$H$13</f>
        <v>per 31/12/2016</v>
      </c>
      <c r="C76" s="1268"/>
      <c r="D76" s="1268"/>
      <c r="E76" s="1269"/>
      <c r="F76" s="168"/>
      <c r="G76" s="255"/>
      <c r="H76" s="255"/>
      <c r="I76" s="255"/>
      <c r="J76" s="255"/>
      <c r="K76" s="255"/>
      <c r="L76" s="255"/>
      <c r="M76" s="255"/>
      <c r="N76" s="565"/>
      <c r="O76" s="565"/>
      <c r="P76" s="565"/>
      <c r="R76" s="991">
        <f t="shared" si="4"/>
        <v>0</v>
      </c>
    </row>
    <row r="77" spans="2:18" ht="28.5" customHeight="1" x14ac:dyDescent="0.2">
      <c r="B77" s="1267" t="str">
        <f>"per 31/12/"&amp;$I$13</f>
        <v>per 31/12/2017</v>
      </c>
      <c r="C77" s="1268"/>
      <c r="D77" s="1268"/>
      <c r="E77" s="1269"/>
      <c r="F77" s="168"/>
      <c r="G77" s="255">
        <f>J473</f>
        <v>0</v>
      </c>
      <c r="H77" s="255"/>
      <c r="I77" s="255"/>
      <c r="J77" s="255"/>
      <c r="K77" s="255"/>
      <c r="L77" s="255"/>
      <c r="M77" s="255"/>
      <c r="N77" s="565"/>
      <c r="O77" s="565"/>
      <c r="P77" s="565"/>
      <c r="R77" s="991">
        <f t="shared" si="4"/>
        <v>0</v>
      </c>
    </row>
    <row r="78" spans="2:18" ht="28.5" customHeight="1" x14ac:dyDescent="0.2">
      <c r="B78" s="1267" t="str">
        <f>"per 31/12/"&amp;$J$13</f>
        <v>per 31/12/2018</v>
      </c>
      <c r="C78" s="1268"/>
      <c r="D78" s="1268"/>
      <c r="E78" s="1269"/>
      <c r="F78" s="168"/>
      <c r="G78" s="255">
        <f>L478</f>
        <v>0</v>
      </c>
      <c r="H78" s="255">
        <f>L479</f>
        <v>0</v>
      </c>
      <c r="I78" s="255"/>
      <c r="J78" s="255"/>
      <c r="K78" s="255"/>
      <c r="L78" s="255"/>
      <c r="M78" s="255"/>
      <c r="N78" s="565"/>
      <c r="O78" s="565"/>
      <c r="P78" s="565"/>
      <c r="R78" s="991">
        <f t="shared" si="4"/>
        <v>0</v>
      </c>
    </row>
    <row r="79" spans="2:18" ht="28.5" customHeight="1" x14ac:dyDescent="0.2">
      <c r="B79" s="1267" t="str">
        <f>"per 31/12/"&amp;$K$13</f>
        <v>per 31/12/2019</v>
      </c>
      <c r="C79" s="1268"/>
      <c r="D79" s="1268"/>
      <c r="E79" s="1269"/>
      <c r="F79" s="168"/>
      <c r="G79" s="255">
        <f>L485</f>
        <v>0</v>
      </c>
      <c r="H79" s="255">
        <f>L486</f>
        <v>0</v>
      </c>
      <c r="I79" s="255">
        <f>L487</f>
        <v>0</v>
      </c>
      <c r="J79" s="255"/>
      <c r="K79" s="255"/>
      <c r="L79" s="255"/>
      <c r="M79" s="255"/>
      <c r="N79" s="565"/>
      <c r="O79" s="565"/>
      <c r="P79" s="565"/>
      <c r="R79" s="991">
        <f t="shared" si="4"/>
        <v>0</v>
      </c>
    </row>
    <row r="80" spans="2:18" ht="28.5" customHeight="1" x14ac:dyDescent="0.2">
      <c r="B80" s="1267" t="str">
        <f>"per 31/12/"&amp;$L$13</f>
        <v>per 31/12/2020</v>
      </c>
      <c r="C80" s="1268"/>
      <c r="D80" s="1268"/>
      <c r="E80" s="1269"/>
      <c r="F80" s="168"/>
      <c r="G80" s="255">
        <f>L493</f>
        <v>0</v>
      </c>
      <c r="H80" s="255">
        <f>L494</f>
        <v>0</v>
      </c>
      <c r="I80" s="255">
        <f>L495</f>
        <v>0</v>
      </c>
      <c r="J80" s="255">
        <f>L496</f>
        <v>0</v>
      </c>
      <c r="K80" s="255"/>
      <c r="L80" s="255"/>
      <c r="M80" s="255"/>
      <c r="N80" s="565"/>
      <c r="O80" s="565"/>
      <c r="P80" s="565"/>
      <c r="R80" s="991">
        <f t="shared" si="4"/>
        <v>0</v>
      </c>
    </row>
    <row r="81" spans="2:18" ht="28.5" customHeight="1" x14ac:dyDescent="0.2">
      <c r="B81" s="1267" t="str">
        <f>"per 31/12/"&amp;$M$13</f>
        <v>per 31/12/2021</v>
      </c>
      <c r="C81" s="1268"/>
      <c r="D81" s="1268"/>
      <c r="E81" s="1269"/>
      <c r="F81" s="168"/>
      <c r="G81" s="255">
        <f>H502</f>
        <v>0</v>
      </c>
      <c r="H81" s="255">
        <f>H503</f>
        <v>0</v>
      </c>
      <c r="I81" s="255">
        <f>H504</f>
        <v>0</v>
      </c>
      <c r="J81" s="255">
        <f>H505</f>
        <v>0</v>
      </c>
      <c r="K81" s="255">
        <f>H506</f>
        <v>0</v>
      </c>
      <c r="L81" s="255"/>
      <c r="M81" s="255"/>
      <c r="N81" s="565"/>
      <c r="O81" s="565"/>
      <c r="P81" s="565"/>
      <c r="R81" s="991">
        <f t="shared" si="4"/>
        <v>0</v>
      </c>
    </row>
    <row r="82" spans="2:18" ht="28.5" customHeight="1" x14ac:dyDescent="0.2">
      <c r="B82" s="1270" t="str">
        <f>"per 31/12/"&amp;$N$13</f>
        <v>per 31/12/2022</v>
      </c>
      <c r="C82" s="1271"/>
      <c r="D82" s="1271"/>
      <c r="E82" s="1272"/>
      <c r="F82" s="314"/>
      <c r="G82" s="565">
        <f>H512</f>
        <v>0</v>
      </c>
      <c r="H82" s="565">
        <f>H513</f>
        <v>0</v>
      </c>
      <c r="I82" s="565">
        <f>H514</f>
        <v>0</v>
      </c>
      <c r="J82" s="565">
        <f>H515</f>
        <v>0</v>
      </c>
      <c r="K82" s="565">
        <f>H516</f>
        <v>0</v>
      </c>
      <c r="L82" s="565">
        <f>H517</f>
        <v>0</v>
      </c>
      <c r="M82" s="565"/>
      <c r="N82" s="565"/>
      <c r="O82" s="565"/>
      <c r="P82" s="565"/>
      <c r="Q82" s="845"/>
      <c r="R82" s="994">
        <f t="shared" si="4"/>
        <v>0</v>
      </c>
    </row>
    <row r="83" spans="2:18" ht="28.5" customHeight="1" x14ac:dyDescent="0.2">
      <c r="B83" s="1270" t="str">
        <f>"per 31/12/"&amp;$O$13</f>
        <v>per 31/12/2023</v>
      </c>
      <c r="C83" s="1271"/>
      <c r="D83" s="1271"/>
      <c r="E83" s="1272"/>
      <c r="F83" s="314"/>
      <c r="G83" s="565"/>
      <c r="H83" s="565"/>
      <c r="I83" s="565"/>
      <c r="J83" s="565"/>
      <c r="K83" s="565"/>
      <c r="L83" s="565">
        <f>+H523</f>
        <v>0</v>
      </c>
      <c r="M83" s="565"/>
      <c r="N83" s="565"/>
      <c r="O83" s="565"/>
      <c r="P83" s="565"/>
      <c r="Q83" s="845"/>
      <c r="R83" s="994">
        <f t="shared" si="4"/>
        <v>0</v>
      </c>
    </row>
    <row r="84" spans="2:18" ht="28.5" customHeight="1" x14ac:dyDescent="0.2">
      <c r="B84" s="1270" t="str">
        <f>"per 31/12/"&amp;$P$13</f>
        <v>per 31/12/2024</v>
      </c>
      <c r="C84" s="1271"/>
      <c r="D84" s="1271"/>
      <c r="E84" s="1272"/>
      <c r="F84" s="314"/>
      <c r="G84" s="565"/>
      <c r="H84" s="565"/>
      <c r="I84" s="565"/>
      <c r="J84" s="565"/>
      <c r="K84" s="565"/>
      <c r="L84" s="565"/>
      <c r="M84" s="565"/>
      <c r="N84" s="565"/>
      <c r="O84" s="565"/>
      <c r="P84" s="565"/>
      <c r="Q84" s="845"/>
      <c r="R84" s="994"/>
    </row>
    <row r="85" spans="2:18" ht="26.25" customHeight="1" x14ac:dyDescent="0.2">
      <c r="B85" s="1282" t="s">
        <v>118</v>
      </c>
      <c r="C85" s="1283"/>
      <c r="D85" s="1283"/>
      <c r="E85" s="1284"/>
      <c r="F85" s="168"/>
      <c r="G85" s="992"/>
      <c r="H85" s="992"/>
      <c r="I85" s="992"/>
      <c r="J85" s="992"/>
      <c r="K85" s="992"/>
      <c r="L85" s="992"/>
      <c r="M85" s="992"/>
      <c r="N85" s="993"/>
      <c r="O85" s="993"/>
      <c r="P85" s="993"/>
      <c r="R85" s="992"/>
    </row>
    <row r="86" spans="2:18" ht="28.5" customHeight="1" x14ac:dyDescent="0.2">
      <c r="B86" s="1267" t="str">
        <f>"per 31/12/"&amp;$G$13</f>
        <v>per 31/12/2015</v>
      </c>
      <c r="C86" s="1268"/>
      <c r="D86" s="1268"/>
      <c r="E86" s="1269"/>
      <c r="F86" s="168"/>
      <c r="G86" s="255"/>
      <c r="H86" s="255"/>
      <c r="I86" s="255"/>
      <c r="J86" s="255"/>
      <c r="K86" s="255"/>
      <c r="L86" s="255"/>
      <c r="M86" s="255"/>
      <c r="N86" s="565"/>
      <c r="O86" s="565"/>
      <c r="P86" s="565"/>
      <c r="R86" s="991">
        <f t="shared" si="4"/>
        <v>0</v>
      </c>
    </row>
    <row r="87" spans="2:18" ht="28.5" customHeight="1" x14ac:dyDescent="0.2">
      <c r="B87" s="1267" t="str">
        <f>"per 31/12/"&amp;$H$13</f>
        <v>per 31/12/2016</v>
      </c>
      <c r="C87" s="1268"/>
      <c r="D87" s="1268"/>
      <c r="E87" s="1269"/>
      <c r="F87" s="168"/>
      <c r="G87" s="255"/>
      <c r="H87" s="255"/>
      <c r="I87" s="255"/>
      <c r="J87" s="255"/>
      <c r="K87" s="255"/>
      <c r="L87" s="255"/>
      <c r="M87" s="255"/>
      <c r="N87" s="565"/>
      <c r="O87" s="565"/>
      <c r="P87" s="565"/>
      <c r="R87" s="991">
        <f t="shared" si="4"/>
        <v>0</v>
      </c>
    </row>
    <row r="88" spans="2:18" ht="28.5" customHeight="1" x14ac:dyDescent="0.2">
      <c r="B88" s="1267" t="str">
        <f>"per 31/12/"&amp;$I$13</f>
        <v>per 31/12/2017</v>
      </c>
      <c r="C88" s="1268"/>
      <c r="D88" s="1268"/>
      <c r="E88" s="1269"/>
      <c r="F88" s="168"/>
      <c r="G88" s="255">
        <f>J539</f>
        <v>0</v>
      </c>
      <c r="H88" s="255"/>
      <c r="I88" s="255"/>
      <c r="J88" s="255"/>
      <c r="K88" s="255"/>
      <c r="L88" s="255"/>
      <c r="M88" s="255"/>
      <c r="N88" s="565"/>
      <c r="O88" s="565"/>
      <c r="P88" s="565"/>
      <c r="R88" s="991">
        <f t="shared" si="4"/>
        <v>0</v>
      </c>
    </row>
    <row r="89" spans="2:18" ht="28.5" customHeight="1" x14ac:dyDescent="0.2">
      <c r="B89" s="1267" t="str">
        <f>"per 31/12/"&amp;$J$13</f>
        <v>per 31/12/2018</v>
      </c>
      <c r="C89" s="1268"/>
      <c r="D89" s="1268"/>
      <c r="E89" s="1269"/>
      <c r="F89" s="168"/>
      <c r="G89" s="255">
        <f>L544</f>
        <v>0</v>
      </c>
      <c r="H89" s="255">
        <f>L545</f>
        <v>0</v>
      </c>
      <c r="I89" s="255"/>
      <c r="J89" s="255"/>
      <c r="K89" s="255"/>
      <c r="L89" s="255"/>
      <c r="M89" s="255"/>
      <c r="N89" s="565"/>
      <c r="O89" s="565"/>
      <c r="P89" s="565"/>
      <c r="R89" s="991">
        <f t="shared" si="4"/>
        <v>0</v>
      </c>
    </row>
    <row r="90" spans="2:18" ht="28.5" customHeight="1" x14ac:dyDescent="0.2">
      <c r="B90" s="1267" t="str">
        <f>"per 31/12/"&amp;$K$13</f>
        <v>per 31/12/2019</v>
      </c>
      <c r="C90" s="1268"/>
      <c r="D90" s="1268"/>
      <c r="E90" s="1269"/>
      <c r="F90" s="168"/>
      <c r="G90" s="255">
        <f>L551</f>
        <v>0</v>
      </c>
      <c r="H90" s="255">
        <f>L552</f>
        <v>0</v>
      </c>
      <c r="I90" s="255">
        <f>L553</f>
        <v>0</v>
      </c>
      <c r="J90" s="255"/>
      <c r="K90" s="255"/>
      <c r="L90" s="255"/>
      <c r="M90" s="255"/>
      <c r="N90" s="565"/>
      <c r="O90" s="565"/>
      <c r="P90" s="565"/>
      <c r="R90" s="991">
        <f t="shared" si="4"/>
        <v>0</v>
      </c>
    </row>
    <row r="91" spans="2:18" ht="28.5" customHeight="1" x14ac:dyDescent="0.2">
      <c r="B91" s="1267" t="str">
        <f>"per 31/12/"&amp;$L$13</f>
        <v>per 31/12/2020</v>
      </c>
      <c r="C91" s="1268"/>
      <c r="D91" s="1268"/>
      <c r="E91" s="1269"/>
      <c r="F91" s="168"/>
      <c r="G91" s="255">
        <f>L559</f>
        <v>0</v>
      </c>
      <c r="H91" s="255">
        <f>L560</f>
        <v>0</v>
      </c>
      <c r="I91" s="255">
        <f>L561</f>
        <v>0</v>
      </c>
      <c r="J91" s="255">
        <f>L562</f>
        <v>0</v>
      </c>
      <c r="K91" s="255"/>
      <c r="L91" s="255"/>
      <c r="M91" s="255"/>
      <c r="N91" s="565"/>
      <c r="O91" s="565"/>
      <c r="P91" s="565"/>
      <c r="R91" s="991">
        <f t="shared" si="4"/>
        <v>0</v>
      </c>
    </row>
    <row r="92" spans="2:18" ht="28.5" customHeight="1" x14ac:dyDescent="0.2">
      <c r="B92" s="1267" t="str">
        <f>"per 31/12/"&amp;$M$13</f>
        <v>per 31/12/2021</v>
      </c>
      <c r="C92" s="1268"/>
      <c r="D92" s="1268"/>
      <c r="E92" s="1269"/>
      <c r="F92" s="168"/>
      <c r="G92" s="255">
        <f>H568</f>
        <v>0</v>
      </c>
      <c r="H92" s="255">
        <f>H569</f>
        <v>0</v>
      </c>
      <c r="I92" s="255">
        <f>H570</f>
        <v>0</v>
      </c>
      <c r="J92" s="255">
        <f>H571</f>
        <v>0</v>
      </c>
      <c r="K92" s="255">
        <f>H572</f>
        <v>0</v>
      </c>
      <c r="L92" s="255"/>
      <c r="M92" s="255"/>
      <c r="N92" s="565"/>
      <c r="O92" s="565"/>
      <c r="P92" s="565"/>
      <c r="R92" s="991">
        <f t="shared" si="4"/>
        <v>0</v>
      </c>
    </row>
    <row r="93" spans="2:18" ht="28.5" customHeight="1" x14ac:dyDescent="0.2">
      <c r="B93" s="1270" t="str">
        <f>"per 31/12/"&amp;$N$13</f>
        <v>per 31/12/2022</v>
      </c>
      <c r="C93" s="1271"/>
      <c r="D93" s="1271"/>
      <c r="E93" s="1272"/>
      <c r="F93" s="314"/>
      <c r="G93" s="565">
        <f>H578</f>
        <v>0</v>
      </c>
      <c r="H93" s="565">
        <f>H579</f>
        <v>0</v>
      </c>
      <c r="I93" s="565">
        <f>H580</f>
        <v>0</v>
      </c>
      <c r="J93" s="565">
        <f>H581</f>
        <v>0</v>
      </c>
      <c r="K93" s="565">
        <f>H582</f>
        <v>0</v>
      </c>
      <c r="L93" s="565">
        <f>H583</f>
        <v>0</v>
      </c>
      <c r="M93" s="565"/>
      <c r="N93" s="565"/>
      <c r="O93" s="565"/>
      <c r="P93" s="565"/>
      <c r="Q93" s="845"/>
      <c r="R93" s="994">
        <f t="shared" si="4"/>
        <v>0</v>
      </c>
    </row>
    <row r="94" spans="2:18" ht="28.5" customHeight="1" x14ac:dyDescent="0.2">
      <c r="B94" s="1270" t="str">
        <f>"per 31/12/"&amp;$O$13</f>
        <v>per 31/12/2023</v>
      </c>
      <c r="C94" s="1271"/>
      <c r="D94" s="1271"/>
      <c r="E94" s="1272"/>
      <c r="F94" s="314"/>
      <c r="G94" s="565"/>
      <c r="H94" s="565"/>
      <c r="I94" s="565"/>
      <c r="J94" s="565"/>
      <c r="K94" s="565"/>
      <c r="L94" s="565">
        <f>H589</f>
        <v>0</v>
      </c>
      <c r="M94" s="565">
        <f>H590</f>
        <v>0</v>
      </c>
      <c r="N94" s="565"/>
      <c r="O94" s="565"/>
      <c r="P94" s="565"/>
      <c r="Q94" s="845"/>
      <c r="R94" s="994">
        <f t="shared" si="4"/>
        <v>0</v>
      </c>
    </row>
    <row r="95" spans="2:18" ht="28.5" customHeight="1" x14ac:dyDescent="0.2">
      <c r="B95" s="1270" t="str">
        <f>"per 31/12/"&amp;$P$13</f>
        <v>per 31/12/2024</v>
      </c>
      <c r="C95" s="1271"/>
      <c r="D95" s="1271"/>
      <c r="E95" s="1272"/>
      <c r="F95" s="314"/>
      <c r="G95" s="565"/>
      <c r="H95" s="565"/>
      <c r="I95" s="565"/>
      <c r="J95" s="565"/>
      <c r="K95" s="565"/>
      <c r="L95" s="565"/>
      <c r="M95" s="565">
        <f>H596</f>
        <v>0</v>
      </c>
      <c r="N95" s="565">
        <f>H597</f>
        <v>0</v>
      </c>
      <c r="O95" s="565"/>
      <c r="P95" s="565"/>
      <c r="Q95" s="845"/>
      <c r="R95" s="994">
        <f t="shared" ref="R95" si="5">SUM(G95:P95)</f>
        <v>0</v>
      </c>
    </row>
    <row r="96" spans="2:18" ht="33" customHeight="1" x14ac:dyDescent="0.2">
      <c r="B96" s="1282" t="s">
        <v>68</v>
      </c>
      <c r="C96" s="1283"/>
      <c r="D96" s="1283"/>
      <c r="E96" s="1284"/>
      <c r="F96" s="168"/>
      <c r="G96" s="992"/>
      <c r="H96" s="992"/>
      <c r="I96" s="992"/>
      <c r="J96" s="992"/>
      <c r="K96" s="992"/>
      <c r="L96" s="992"/>
      <c r="M96" s="992"/>
      <c r="N96" s="993"/>
      <c r="O96" s="993"/>
      <c r="P96" s="993"/>
      <c r="R96" s="992"/>
    </row>
    <row r="97" spans="1:18" ht="28.5" customHeight="1" x14ac:dyDescent="0.2">
      <c r="B97" s="1267" t="str">
        <f>"per 31/12/"&amp;$G$13</f>
        <v>per 31/12/2015</v>
      </c>
      <c r="C97" s="1268"/>
      <c r="D97" s="1268"/>
      <c r="E97" s="1269"/>
      <c r="F97" s="168"/>
      <c r="G97" s="255"/>
      <c r="H97" s="255"/>
      <c r="I97" s="255"/>
      <c r="J97" s="255"/>
      <c r="K97" s="255"/>
      <c r="L97" s="255"/>
      <c r="M97" s="255"/>
      <c r="N97" s="565"/>
      <c r="O97" s="565"/>
      <c r="P97" s="565"/>
      <c r="R97" s="991">
        <f t="shared" ref="R97:R106" si="6">SUM(G97:P97)</f>
        <v>0</v>
      </c>
    </row>
    <row r="98" spans="1:18" ht="28.5" customHeight="1" x14ac:dyDescent="0.2">
      <c r="B98" s="1267" t="str">
        <f>"per 31/12/"&amp;$H$13</f>
        <v>per 31/12/2016</v>
      </c>
      <c r="C98" s="1268"/>
      <c r="D98" s="1268"/>
      <c r="E98" s="1269"/>
      <c r="F98" s="168"/>
      <c r="G98" s="255"/>
      <c r="H98" s="255"/>
      <c r="I98" s="255"/>
      <c r="J98" s="255"/>
      <c r="K98" s="255"/>
      <c r="L98" s="255"/>
      <c r="M98" s="255"/>
      <c r="N98" s="565"/>
      <c r="O98" s="565"/>
      <c r="P98" s="565"/>
      <c r="R98" s="991">
        <f t="shared" si="6"/>
        <v>0</v>
      </c>
    </row>
    <row r="99" spans="1:18" ht="28.5" customHeight="1" x14ac:dyDescent="0.2">
      <c r="B99" s="1267" t="str">
        <f>"per 31/12/"&amp;$I$13</f>
        <v>per 31/12/2017</v>
      </c>
      <c r="C99" s="1268"/>
      <c r="D99" s="1268"/>
      <c r="E99" s="1269"/>
      <c r="F99" s="168"/>
      <c r="G99" s="255">
        <f>J614</f>
        <v>0</v>
      </c>
      <c r="H99" s="255"/>
      <c r="I99" s="255"/>
      <c r="J99" s="255"/>
      <c r="K99" s="255"/>
      <c r="L99" s="255"/>
      <c r="M99" s="255"/>
      <c r="N99" s="565"/>
      <c r="O99" s="565"/>
      <c r="P99" s="565"/>
      <c r="R99" s="991">
        <f t="shared" si="6"/>
        <v>0</v>
      </c>
    </row>
    <row r="100" spans="1:18" ht="28.5" customHeight="1" x14ac:dyDescent="0.2">
      <c r="B100" s="1267" t="str">
        <f>"per 31/12/"&amp;$J$13</f>
        <v>per 31/12/2018</v>
      </c>
      <c r="C100" s="1268"/>
      <c r="D100" s="1268"/>
      <c r="E100" s="1269"/>
      <c r="F100" s="168"/>
      <c r="G100" s="255">
        <f>L619</f>
        <v>0</v>
      </c>
      <c r="H100" s="255">
        <f>L620</f>
        <v>0</v>
      </c>
      <c r="I100" s="255"/>
      <c r="J100" s="255"/>
      <c r="K100" s="255"/>
      <c r="L100" s="255"/>
      <c r="M100" s="255"/>
      <c r="N100" s="565"/>
      <c r="O100" s="565"/>
      <c r="P100" s="565"/>
      <c r="R100" s="991">
        <f t="shared" si="6"/>
        <v>0</v>
      </c>
    </row>
    <row r="101" spans="1:18" ht="28.5" customHeight="1" x14ac:dyDescent="0.2">
      <c r="B101" s="1267" t="str">
        <f>"per 31/12/"&amp;$K$13</f>
        <v>per 31/12/2019</v>
      </c>
      <c r="C101" s="1268"/>
      <c r="D101" s="1268"/>
      <c r="E101" s="1269"/>
      <c r="F101" s="168"/>
      <c r="G101" s="255">
        <f>L626</f>
        <v>0</v>
      </c>
      <c r="H101" s="255">
        <f>L627</f>
        <v>0</v>
      </c>
      <c r="I101" s="255">
        <f>L628</f>
        <v>0</v>
      </c>
      <c r="J101" s="255"/>
      <c r="K101" s="255"/>
      <c r="L101" s="255"/>
      <c r="M101" s="255"/>
      <c r="N101" s="565"/>
      <c r="O101" s="565"/>
      <c r="P101" s="565"/>
      <c r="R101" s="991">
        <f t="shared" si="6"/>
        <v>0</v>
      </c>
    </row>
    <row r="102" spans="1:18" ht="28.5" customHeight="1" x14ac:dyDescent="0.2">
      <c r="B102" s="1267" t="str">
        <f>"per 31/12/"&amp;$L$13</f>
        <v>per 31/12/2020</v>
      </c>
      <c r="C102" s="1268"/>
      <c r="D102" s="1268"/>
      <c r="E102" s="1269"/>
      <c r="F102" s="168"/>
      <c r="G102" s="255">
        <f>L634</f>
        <v>0</v>
      </c>
      <c r="H102" s="255">
        <f>L635</f>
        <v>0</v>
      </c>
      <c r="I102" s="255">
        <f>L636</f>
        <v>0</v>
      </c>
      <c r="J102" s="255">
        <f>L637</f>
        <v>0</v>
      </c>
      <c r="K102" s="255"/>
      <c r="L102" s="255"/>
      <c r="M102" s="255"/>
      <c r="N102" s="565"/>
      <c r="O102" s="565"/>
      <c r="P102" s="565"/>
      <c r="R102" s="991">
        <f t="shared" si="6"/>
        <v>0</v>
      </c>
    </row>
    <row r="103" spans="1:18" ht="28.5" customHeight="1" x14ac:dyDescent="0.2">
      <c r="B103" s="1267" t="str">
        <f>"per 31/12/"&amp;$M$13</f>
        <v>per 31/12/2021</v>
      </c>
      <c r="C103" s="1268"/>
      <c r="D103" s="1268"/>
      <c r="E103" s="1269"/>
      <c r="F103" s="168"/>
      <c r="G103" s="255">
        <f>H643</f>
        <v>0</v>
      </c>
      <c r="H103" s="255">
        <f>H644</f>
        <v>0</v>
      </c>
      <c r="I103" s="255">
        <f>H645</f>
        <v>0</v>
      </c>
      <c r="J103" s="255">
        <f>H646</f>
        <v>0</v>
      </c>
      <c r="K103" s="255">
        <f>H647</f>
        <v>0</v>
      </c>
      <c r="L103" s="255"/>
      <c r="M103" s="255"/>
      <c r="N103" s="565"/>
      <c r="O103" s="565"/>
      <c r="P103" s="565"/>
      <c r="R103" s="991">
        <f t="shared" si="6"/>
        <v>0</v>
      </c>
    </row>
    <row r="104" spans="1:18" ht="28.5" customHeight="1" x14ac:dyDescent="0.2">
      <c r="B104" s="1270" t="str">
        <f>"per 31/12/"&amp;$N$13</f>
        <v>per 31/12/2022</v>
      </c>
      <c r="C104" s="1271"/>
      <c r="D104" s="1271"/>
      <c r="E104" s="1272"/>
      <c r="F104" s="314"/>
      <c r="G104" s="565">
        <f>H653</f>
        <v>0</v>
      </c>
      <c r="H104" s="565">
        <f>H654</f>
        <v>0</v>
      </c>
      <c r="I104" s="565">
        <f>H655</f>
        <v>0</v>
      </c>
      <c r="J104" s="565">
        <f>H656</f>
        <v>0</v>
      </c>
      <c r="K104" s="565">
        <f>H657</f>
        <v>0</v>
      </c>
      <c r="L104" s="565">
        <f>H658</f>
        <v>0</v>
      </c>
      <c r="M104" s="565"/>
      <c r="N104" s="565"/>
      <c r="O104" s="565"/>
      <c r="P104" s="565"/>
      <c r="Q104" s="845"/>
      <c r="R104" s="994">
        <f t="shared" si="6"/>
        <v>0</v>
      </c>
    </row>
    <row r="105" spans="1:18" ht="28.5" customHeight="1" x14ac:dyDescent="0.2">
      <c r="B105" s="1270" t="str">
        <f>"per 31/12/"&amp;$O$13</f>
        <v>per 31/12/2023</v>
      </c>
      <c r="C105" s="1271"/>
      <c r="D105" s="1271"/>
      <c r="E105" s="1272"/>
      <c r="F105" s="314"/>
      <c r="G105" s="565"/>
      <c r="H105" s="565"/>
      <c r="I105" s="565"/>
      <c r="J105" s="565"/>
      <c r="K105" s="565"/>
      <c r="L105" s="565">
        <f>H664</f>
        <v>0</v>
      </c>
      <c r="M105" s="565">
        <f>H665</f>
        <v>0</v>
      </c>
      <c r="N105" s="565"/>
      <c r="O105" s="565"/>
      <c r="P105" s="565"/>
      <c r="Q105" s="845"/>
      <c r="R105" s="994">
        <f t="shared" si="6"/>
        <v>0</v>
      </c>
    </row>
    <row r="106" spans="1:18" ht="28.5" customHeight="1" x14ac:dyDescent="0.2">
      <c r="B106" s="1270" t="str">
        <f>"per 31/12/"&amp;$P$13</f>
        <v>per 31/12/2024</v>
      </c>
      <c r="C106" s="1271"/>
      <c r="D106" s="1271"/>
      <c r="E106" s="1272"/>
      <c r="F106" s="314"/>
      <c r="G106" s="565"/>
      <c r="H106" s="565"/>
      <c r="I106" s="565"/>
      <c r="J106" s="565"/>
      <c r="K106" s="565"/>
      <c r="L106" s="565"/>
      <c r="M106" s="565">
        <f>H671</f>
        <v>0</v>
      </c>
      <c r="N106" s="565">
        <f>H672</f>
        <v>0</v>
      </c>
      <c r="O106" s="565"/>
      <c r="P106" s="565"/>
      <c r="Q106" s="845"/>
      <c r="R106" s="994">
        <f t="shared" si="6"/>
        <v>0</v>
      </c>
    </row>
    <row r="107" spans="1:18" x14ac:dyDescent="0.2">
      <c r="G107" s="306"/>
      <c r="H107" s="306"/>
      <c r="I107" s="306"/>
      <c r="J107" s="306"/>
      <c r="K107" s="306"/>
      <c r="L107" s="306"/>
      <c r="M107" s="306"/>
      <c r="N107" s="839"/>
      <c r="O107" s="839"/>
      <c r="P107" s="839"/>
      <c r="R107" s="306"/>
    </row>
    <row r="108" spans="1:18" s="224" customFormat="1" x14ac:dyDescent="0.2">
      <c r="B108" s="1293"/>
      <c r="C108" s="1293"/>
      <c r="D108" s="1293"/>
      <c r="E108" s="1293"/>
      <c r="G108" s="309"/>
      <c r="H108" s="309"/>
      <c r="I108" s="309"/>
      <c r="J108" s="309"/>
      <c r="K108" s="309"/>
      <c r="L108" s="309"/>
      <c r="M108" s="309"/>
      <c r="N108" s="841"/>
      <c r="O108" s="841"/>
      <c r="P108" s="841"/>
      <c r="Q108" s="211"/>
      <c r="R108" s="309"/>
    </row>
    <row r="109" spans="1:18" s="224" customFormat="1" x14ac:dyDescent="0.2">
      <c r="B109" s="315"/>
      <c r="C109" s="316"/>
      <c r="D109" s="316"/>
      <c r="E109" s="317"/>
      <c r="F109" s="283"/>
      <c r="G109" s="975">
        <v>2015</v>
      </c>
      <c r="H109" s="166">
        <f>+G109+1</f>
        <v>2016</v>
      </c>
      <c r="I109" s="166">
        <f>+H109+1</f>
        <v>2017</v>
      </c>
      <c r="J109" s="166">
        <f>+I109+1</f>
        <v>2018</v>
      </c>
      <c r="K109" s="166">
        <f>+J109+1</f>
        <v>2019</v>
      </c>
      <c r="L109" s="166">
        <f t="shared" ref="L109:P109" si="7">+K109+1</f>
        <v>2020</v>
      </c>
      <c r="M109" s="166">
        <f t="shared" si="7"/>
        <v>2021</v>
      </c>
      <c r="N109" s="837">
        <f t="shared" si="7"/>
        <v>2022</v>
      </c>
      <c r="O109" s="837">
        <f t="shared" si="7"/>
        <v>2023</v>
      </c>
      <c r="P109" s="837">
        <f t="shared" si="7"/>
        <v>2024</v>
      </c>
      <c r="Q109" s="209"/>
      <c r="R109" s="166" t="s">
        <v>20</v>
      </c>
    </row>
    <row r="110" spans="1:18" s="220" customFormat="1" ht="26.25" customHeight="1" x14ac:dyDescent="0.2">
      <c r="B110" s="1286" t="s">
        <v>159</v>
      </c>
      <c r="C110" s="1287"/>
      <c r="D110" s="1287"/>
      <c r="E110" s="1288"/>
      <c r="F110" s="172"/>
      <c r="G110" s="171"/>
      <c r="H110" s="171"/>
      <c r="I110" s="171"/>
      <c r="J110" s="171"/>
      <c r="K110" s="171"/>
      <c r="L110" s="171"/>
      <c r="M110" s="171"/>
      <c r="N110" s="843"/>
      <c r="O110" s="843"/>
      <c r="P110" s="843"/>
      <c r="Q110" s="210"/>
      <c r="R110" s="171"/>
    </row>
    <row r="111" spans="1:18" ht="28.5" customHeight="1" x14ac:dyDescent="0.2">
      <c r="A111" s="296"/>
      <c r="B111" s="1273" t="str">
        <f>"per 31/12/"&amp;$G$13</f>
        <v>per 31/12/2015</v>
      </c>
      <c r="C111" s="1274"/>
      <c r="D111" s="1274"/>
      <c r="E111" s="1275"/>
      <c r="F111" s="318"/>
      <c r="G111" s="995"/>
      <c r="H111" s="995"/>
      <c r="I111" s="995"/>
      <c r="J111" s="995"/>
      <c r="K111" s="995"/>
      <c r="L111" s="995"/>
      <c r="M111" s="995"/>
      <c r="N111" s="996"/>
      <c r="O111" s="996"/>
      <c r="P111" s="996"/>
      <c r="R111" s="997">
        <f t="shared" ref="R111:R120" si="8">SUMIFS(R$31:R$106,$B$31:$B$106,$B111)</f>
        <v>0</v>
      </c>
    </row>
    <row r="112" spans="1:18" ht="28.5" customHeight="1" x14ac:dyDescent="0.2">
      <c r="A112" s="296"/>
      <c r="B112" s="1273" t="str">
        <f>"per 31/12/"&amp;$H$13</f>
        <v>per 31/12/2016</v>
      </c>
      <c r="C112" s="1274"/>
      <c r="D112" s="1274"/>
      <c r="E112" s="1275"/>
      <c r="F112" s="318"/>
      <c r="G112" s="995"/>
      <c r="H112" s="995"/>
      <c r="I112" s="995"/>
      <c r="J112" s="995"/>
      <c r="K112" s="995"/>
      <c r="L112" s="995"/>
      <c r="M112" s="995"/>
      <c r="N112" s="996"/>
      <c r="O112" s="996"/>
      <c r="P112" s="996"/>
      <c r="R112" s="997">
        <f t="shared" si="8"/>
        <v>0</v>
      </c>
    </row>
    <row r="113" spans="1:18" ht="28.5" customHeight="1" x14ac:dyDescent="0.2">
      <c r="A113" s="296"/>
      <c r="B113" s="1273" t="str">
        <f>"per 31/12/"&amp;$I$13</f>
        <v>per 31/12/2017</v>
      </c>
      <c r="C113" s="1274"/>
      <c r="D113" s="1274"/>
      <c r="E113" s="1275"/>
      <c r="F113" s="318"/>
      <c r="G113" s="995">
        <f t="shared" ref="G113:G118" si="9">SUMIFS(G$31:G$106,$B$31:$B$106,$B113)</f>
        <v>0</v>
      </c>
      <c r="H113" s="995"/>
      <c r="I113" s="995"/>
      <c r="J113" s="995"/>
      <c r="K113" s="995"/>
      <c r="L113" s="995"/>
      <c r="M113" s="995"/>
      <c r="N113" s="996"/>
      <c r="O113" s="996"/>
      <c r="P113" s="996"/>
      <c r="R113" s="997">
        <f t="shared" si="8"/>
        <v>0</v>
      </c>
    </row>
    <row r="114" spans="1:18" ht="28.5" customHeight="1" x14ac:dyDescent="0.2">
      <c r="A114" s="296"/>
      <c r="B114" s="1273" t="str">
        <f>"per 31/12/"&amp;$J$13</f>
        <v>per 31/12/2018</v>
      </c>
      <c r="C114" s="1274"/>
      <c r="D114" s="1274"/>
      <c r="E114" s="1275"/>
      <c r="F114" s="318"/>
      <c r="G114" s="995">
        <f t="shared" si="9"/>
        <v>0</v>
      </c>
      <c r="H114" s="995">
        <f>SUMIFS(H$31:H$106,$B$31:$B$106,$B114)</f>
        <v>0</v>
      </c>
      <c r="I114" s="995"/>
      <c r="J114" s="995"/>
      <c r="K114" s="995"/>
      <c r="L114" s="995"/>
      <c r="M114" s="995"/>
      <c r="N114" s="996"/>
      <c r="O114" s="996"/>
      <c r="P114" s="996"/>
      <c r="R114" s="997">
        <f t="shared" si="8"/>
        <v>0</v>
      </c>
    </row>
    <row r="115" spans="1:18" ht="28.5" customHeight="1" x14ac:dyDescent="0.2">
      <c r="A115" s="296"/>
      <c r="B115" s="1273" t="str">
        <f>"per 31/12/"&amp;$K$13</f>
        <v>per 31/12/2019</v>
      </c>
      <c r="C115" s="1274"/>
      <c r="D115" s="1274"/>
      <c r="E115" s="1275"/>
      <c r="F115" s="318"/>
      <c r="G115" s="995">
        <f t="shared" si="9"/>
        <v>0</v>
      </c>
      <c r="H115" s="995">
        <f>SUMIFS(H$31:H$106,$B$31:$B$106,$B115)</f>
        <v>0</v>
      </c>
      <c r="I115" s="995">
        <f>SUMIFS(I$31:I$106,$B$31:$B$106,$B115)</f>
        <v>0</v>
      </c>
      <c r="J115" s="995"/>
      <c r="K115" s="995"/>
      <c r="L115" s="995"/>
      <c r="M115" s="995"/>
      <c r="N115" s="996"/>
      <c r="O115" s="996"/>
      <c r="P115" s="996"/>
      <c r="R115" s="997">
        <f t="shared" si="8"/>
        <v>0</v>
      </c>
    </row>
    <row r="116" spans="1:18" ht="28.5" customHeight="1" x14ac:dyDescent="0.2">
      <c r="A116" s="296"/>
      <c r="B116" s="1273" t="str">
        <f>"per 31/12/"&amp;$L$13</f>
        <v>per 31/12/2020</v>
      </c>
      <c r="C116" s="1274"/>
      <c r="D116" s="1274"/>
      <c r="E116" s="1275"/>
      <c r="F116" s="318"/>
      <c r="G116" s="995">
        <f t="shared" si="9"/>
        <v>0</v>
      </c>
      <c r="H116" s="995">
        <f>SUMIFS(H$31:H$106,$B$31:$B$106,$B116)</f>
        <v>0</v>
      </c>
      <c r="I116" s="995">
        <f>SUMIFS(I$31:I$106,$B$31:$B$106,$B116)</f>
        <v>0</v>
      </c>
      <c r="J116" s="995">
        <f>SUMIFS(J$31:J$106,$B$31:$B$106,$B116)</f>
        <v>0</v>
      </c>
      <c r="K116" s="995"/>
      <c r="L116" s="995"/>
      <c r="M116" s="995"/>
      <c r="N116" s="996"/>
      <c r="O116" s="996"/>
      <c r="P116" s="996"/>
      <c r="R116" s="997">
        <f t="shared" si="8"/>
        <v>0</v>
      </c>
    </row>
    <row r="117" spans="1:18" ht="28.5" customHeight="1" x14ac:dyDescent="0.2">
      <c r="A117" s="296"/>
      <c r="B117" s="1273" t="str">
        <f>"per 31/12/"&amp;$M$13</f>
        <v>per 31/12/2021</v>
      </c>
      <c r="C117" s="1274"/>
      <c r="D117" s="1274"/>
      <c r="E117" s="1275"/>
      <c r="F117" s="318"/>
      <c r="G117" s="995">
        <f t="shared" si="9"/>
        <v>0</v>
      </c>
      <c r="H117" s="995">
        <f>SUMIFS(H$31:H$106,$B$31:$B$106,$B117)</f>
        <v>0</v>
      </c>
      <c r="I117" s="995">
        <f>SUMIFS(I$31:I$106,$B$31:$B$106,$B117)</f>
        <v>0</v>
      </c>
      <c r="J117" s="995">
        <f>SUMIFS(J$31:J$106,$B$31:$B$106,$B117)</f>
        <v>0</v>
      </c>
      <c r="K117" s="995">
        <f>SUMIFS(K$31:K$106,$B$31:$B$106,$B117)</f>
        <v>0</v>
      </c>
      <c r="L117" s="995"/>
      <c r="M117" s="995"/>
      <c r="N117" s="996"/>
      <c r="O117" s="996"/>
      <c r="P117" s="996"/>
      <c r="R117" s="997">
        <f t="shared" si="8"/>
        <v>0</v>
      </c>
    </row>
    <row r="118" spans="1:18" ht="28.5" customHeight="1" x14ac:dyDescent="0.2">
      <c r="A118" s="296"/>
      <c r="B118" s="1276" t="str">
        <f>"per 31/12/"&amp;$N$13</f>
        <v>per 31/12/2022</v>
      </c>
      <c r="C118" s="1277"/>
      <c r="D118" s="1277"/>
      <c r="E118" s="1278"/>
      <c r="F118" s="846"/>
      <c r="G118" s="996">
        <f t="shared" si="9"/>
        <v>0</v>
      </c>
      <c r="H118" s="996">
        <f>SUMIFS(H$31:H$106,$B$31:$B$106,$B118)</f>
        <v>0</v>
      </c>
      <c r="I118" s="996">
        <f>SUMIFS(I$31:I$106,$B$31:$B$106,$B118)</f>
        <v>0</v>
      </c>
      <c r="J118" s="996">
        <f>SUMIFS(J$31:J$106,$B$31:$B$106,$B118)</f>
        <v>0</v>
      </c>
      <c r="K118" s="996">
        <f>SUMIFS(K$31:K$106,$B$31:$B$106,$B118)</f>
        <v>0</v>
      </c>
      <c r="L118" s="996">
        <f>SUMIFS(L$31:L$106,$B$31:$B$106,$B118)</f>
        <v>0</v>
      </c>
      <c r="M118" s="996"/>
      <c r="N118" s="996"/>
      <c r="O118" s="996"/>
      <c r="P118" s="996"/>
      <c r="Q118" s="845"/>
      <c r="R118" s="998">
        <f t="shared" si="8"/>
        <v>0</v>
      </c>
    </row>
    <row r="119" spans="1:18" ht="28.5" customHeight="1" x14ac:dyDescent="0.2">
      <c r="A119" s="296"/>
      <c r="B119" s="1276" t="str">
        <f>"per 31/12/"&amp;$O$13</f>
        <v>per 31/12/2023</v>
      </c>
      <c r="C119" s="1277"/>
      <c r="D119" s="1277"/>
      <c r="E119" s="1278"/>
      <c r="F119" s="846"/>
      <c r="G119" s="996"/>
      <c r="H119" s="996"/>
      <c r="I119" s="996"/>
      <c r="J119" s="996"/>
      <c r="K119" s="996"/>
      <c r="L119" s="996">
        <f>SUMIFS(L$31:L$106,$B$31:$B$106,$B119)</f>
        <v>0</v>
      </c>
      <c r="M119" s="996">
        <f>SUMIFS(M$31:M$106,$B$31:$B$106,$B119)</f>
        <v>0</v>
      </c>
      <c r="N119" s="996"/>
      <c r="O119" s="996"/>
      <c r="P119" s="996"/>
      <c r="Q119" s="845"/>
      <c r="R119" s="998">
        <f t="shared" si="8"/>
        <v>0</v>
      </c>
    </row>
    <row r="120" spans="1:18" ht="28.5" customHeight="1" x14ac:dyDescent="0.2">
      <c r="A120" s="296"/>
      <c r="B120" s="1276" t="str">
        <f>"per 31/12/"&amp;$P$13</f>
        <v>per 31/12/2024</v>
      </c>
      <c r="C120" s="1277"/>
      <c r="D120" s="1277"/>
      <c r="E120" s="1278"/>
      <c r="F120" s="846"/>
      <c r="G120" s="996"/>
      <c r="H120" s="996"/>
      <c r="I120" s="996"/>
      <c r="J120" s="996"/>
      <c r="K120" s="996"/>
      <c r="L120" s="996"/>
      <c r="M120" s="996">
        <f>SUMIFS(M$31:M$106,$B$31:$B$106,$B120)</f>
        <v>0</v>
      </c>
      <c r="N120" s="996">
        <f>SUMIFS(N$31:N$106,$B$31:$B$106,$B120)</f>
        <v>0</v>
      </c>
      <c r="O120" s="996"/>
      <c r="P120" s="996"/>
      <c r="Q120" s="845"/>
      <c r="R120" s="998">
        <f t="shared" si="8"/>
        <v>0</v>
      </c>
    </row>
    <row r="121" spans="1:18" s="224" customFormat="1" x14ac:dyDescent="0.2">
      <c r="B121" s="1292"/>
      <c r="C121" s="1292"/>
      <c r="D121" s="1292"/>
      <c r="E121" s="1292"/>
      <c r="G121" s="319"/>
      <c r="H121" s="319"/>
      <c r="I121" s="319"/>
      <c r="J121" s="319"/>
      <c r="K121" s="309"/>
      <c r="L121" s="309"/>
      <c r="M121" s="309"/>
      <c r="N121" s="841"/>
      <c r="O121" s="841"/>
      <c r="P121" s="841"/>
      <c r="Q121" s="211"/>
      <c r="R121" s="309"/>
    </row>
    <row r="122" spans="1:18" x14ac:dyDescent="0.2">
      <c r="N122" s="842"/>
      <c r="O122" s="842"/>
      <c r="P122" s="842"/>
    </row>
    <row r="123" spans="1:18" x14ac:dyDescent="0.2">
      <c r="G123" s="124" t="s">
        <v>165</v>
      </c>
      <c r="N123" s="842"/>
      <c r="O123" s="842"/>
      <c r="P123" s="842"/>
    </row>
    <row r="124" spans="1:18" x14ac:dyDescent="0.2">
      <c r="G124" s="92" t="s">
        <v>126</v>
      </c>
      <c r="N124" s="842"/>
      <c r="O124" s="842"/>
      <c r="P124" s="842"/>
    </row>
    <row r="125" spans="1:18" ht="69.75" customHeight="1" x14ac:dyDescent="0.2">
      <c r="B125" s="1257" t="s">
        <v>249</v>
      </c>
      <c r="C125" s="1258"/>
      <c r="D125" s="1258"/>
      <c r="E125" s="1259"/>
      <c r="F125" s="282"/>
      <c r="G125" s="166">
        <v>2015</v>
      </c>
      <c r="H125" s="166">
        <f>+G125+1</f>
        <v>2016</v>
      </c>
      <c r="I125" s="166">
        <f>+H125+1</f>
        <v>2017</v>
      </c>
      <c r="J125" s="166">
        <f>+I125+1</f>
        <v>2018</v>
      </c>
      <c r="K125" s="166">
        <f>+J125+1</f>
        <v>2019</v>
      </c>
      <c r="L125" s="166">
        <f t="shared" ref="L125:O125" si="10">+K125+1</f>
        <v>2020</v>
      </c>
      <c r="M125" s="166">
        <f t="shared" si="10"/>
        <v>2021</v>
      </c>
      <c r="N125" s="837">
        <f t="shared" si="10"/>
        <v>2022</v>
      </c>
      <c r="O125" s="837">
        <f t="shared" si="10"/>
        <v>2023</v>
      </c>
      <c r="P125" s="837">
        <f>+K125+1</f>
        <v>2020</v>
      </c>
      <c r="R125" s="166" t="s">
        <v>20</v>
      </c>
    </row>
    <row r="126" spans="1:18" s="301" customFormat="1" ht="12" customHeight="1" x14ac:dyDescent="0.2">
      <c r="B126" s="320"/>
      <c r="C126" s="320"/>
      <c r="D126" s="320"/>
      <c r="E126" s="320"/>
      <c r="F126" s="321"/>
      <c r="G126" s="322"/>
      <c r="H126" s="323"/>
      <c r="I126" s="323"/>
      <c r="J126" s="324"/>
      <c r="K126" s="324"/>
      <c r="L126" s="324"/>
      <c r="M126" s="324"/>
      <c r="N126" s="844"/>
      <c r="O126" s="844"/>
      <c r="P126" s="844"/>
      <c r="Q126" s="305"/>
      <c r="R126" s="324"/>
    </row>
    <row r="127" spans="1:18" ht="36" customHeight="1" x14ac:dyDescent="0.2">
      <c r="B127" s="1282" t="s">
        <v>240</v>
      </c>
      <c r="C127" s="1283"/>
      <c r="D127" s="1283"/>
      <c r="E127" s="1284"/>
      <c r="F127" s="168"/>
      <c r="G127" s="992"/>
      <c r="H127" s="992"/>
      <c r="I127" s="992"/>
      <c r="J127" s="992"/>
      <c r="K127" s="992"/>
      <c r="L127" s="992"/>
      <c r="M127" s="992"/>
      <c r="N127" s="993"/>
      <c r="O127" s="993"/>
      <c r="P127" s="993"/>
      <c r="R127" s="992"/>
    </row>
    <row r="128" spans="1:18" ht="28.5" customHeight="1" x14ac:dyDescent="0.2">
      <c r="B128" s="1267" t="str">
        <f>"per 31/12/"&amp;$G$13</f>
        <v>per 31/12/2015</v>
      </c>
      <c r="C128" s="1268"/>
      <c r="D128" s="1268"/>
      <c r="E128" s="1269"/>
      <c r="F128" s="168"/>
      <c r="G128" s="255">
        <f>+G$15+G31</f>
        <v>0</v>
      </c>
      <c r="H128" s="255"/>
      <c r="I128" s="255"/>
      <c r="J128" s="255"/>
      <c r="K128" s="255"/>
      <c r="L128" s="255"/>
      <c r="M128" s="255"/>
      <c r="N128" s="565"/>
      <c r="O128" s="565"/>
      <c r="P128" s="565"/>
      <c r="R128" s="991">
        <f t="shared" ref="R128:R191" si="11">SUM(G128:P128)</f>
        <v>0</v>
      </c>
    </row>
    <row r="129" spans="2:18" ht="28.5" customHeight="1" x14ac:dyDescent="0.2">
      <c r="B129" s="1267" t="str">
        <f>"per 31/12/"&amp;$H$13</f>
        <v>per 31/12/2016</v>
      </c>
      <c r="C129" s="1268"/>
      <c r="D129" s="1268"/>
      <c r="E129" s="1269"/>
      <c r="F129" s="168"/>
      <c r="G129" s="255">
        <f t="shared" ref="G129:G135" si="12">+G128+G32</f>
        <v>0</v>
      </c>
      <c r="H129" s="255">
        <f>+$H$15+H32</f>
        <v>0</v>
      </c>
      <c r="I129" s="255"/>
      <c r="J129" s="255"/>
      <c r="K129" s="255"/>
      <c r="L129" s="255"/>
      <c r="M129" s="255"/>
      <c r="N129" s="565"/>
      <c r="O129" s="565"/>
      <c r="P129" s="565"/>
      <c r="R129" s="991">
        <f t="shared" si="11"/>
        <v>0</v>
      </c>
    </row>
    <row r="130" spans="2:18" ht="28.5" customHeight="1" x14ac:dyDescent="0.2">
      <c r="B130" s="1267" t="str">
        <f>"per 31/12/"&amp;$I$13</f>
        <v>per 31/12/2017</v>
      </c>
      <c r="C130" s="1268"/>
      <c r="D130" s="1268"/>
      <c r="E130" s="1269"/>
      <c r="F130" s="168"/>
      <c r="G130" s="255">
        <f t="shared" si="12"/>
        <v>0</v>
      </c>
      <c r="H130" s="255">
        <f t="shared" ref="H130:H135" si="13">+H129+H33</f>
        <v>0</v>
      </c>
      <c r="I130" s="255">
        <f>+$I$15+I33</f>
        <v>0</v>
      </c>
      <c r="J130" s="255"/>
      <c r="K130" s="255"/>
      <c r="L130" s="255"/>
      <c r="M130" s="255"/>
      <c r="N130" s="565"/>
      <c r="O130" s="565"/>
      <c r="P130" s="565"/>
      <c r="R130" s="991">
        <f t="shared" si="11"/>
        <v>0</v>
      </c>
    </row>
    <row r="131" spans="2:18" ht="28.5" customHeight="1" x14ac:dyDescent="0.2">
      <c r="B131" s="1267" t="str">
        <f>"per 31/12/"&amp;$J$13</f>
        <v>per 31/12/2018</v>
      </c>
      <c r="C131" s="1268"/>
      <c r="D131" s="1268"/>
      <c r="E131" s="1269"/>
      <c r="F131" s="168"/>
      <c r="G131" s="255">
        <f t="shared" si="12"/>
        <v>0</v>
      </c>
      <c r="H131" s="255">
        <f t="shared" si="13"/>
        <v>0</v>
      </c>
      <c r="I131" s="255">
        <f>+I130+I34</f>
        <v>0</v>
      </c>
      <c r="J131" s="255">
        <f>+$J$15+J34</f>
        <v>0</v>
      </c>
      <c r="K131" s="255"/>
      <c r="L131" s="255"/>
      <c r="M131" s="255"/>
      <c r="N131" s="565"/>
      <c r="O131" s="565"/>
      <c r="P131" s="565"/>
      <c r="R131" s="991">
        <f t="shared" si="11"/>
        <v>0</v>
      </c>
    </row>
    <row r="132" spans="2:18" ht="28.5" customHeight="1" x14ac:dyDescent="0.2">
      <c r="B132" s="1267" t="str">
        <f>"per 31/12/"&amp;$K$13</f>
        <v>per 31/12/2019</v>
      </c>
      <c r="C132" s="1268"/>
      <c r="D132" s="1268"/>
      <c r="E132" s="1269"/>
      <c r="F132" s="168"/>
      <c r="G132" s="255">
        <f t="shared" si="12"/>
        <v>0</v>
      </c>
      <c r="H132" s="255">
        <f t="shared" si="13"/>
        <v>0</v>
      </c>
      <c r="I132" s="255">
        <f>+I131+I35</f>
        <v>0</v>
      </c>
      <c r="J132" s="255">
        <f>+J131+J35</f>
        <v>0</v>
      </c>
      <c r="K132" s="255">
        <f>+$K$15+K35</f>
        <v>0</v>
      </c>
      <c r="L132" s="255"/>
      <c r="M132" s="255"/>
      <c r="N132" s="565"/>
      <c r="O132" s="565"/>
      <c r="P132" s="565"/>
      <c r="R132" s="991">
        <f t="shared" si="11"/>
        <v>0</v>
      </c>
    </row>
    <row r="133" spans="2:18" ht="28.5" customHeight="1" x14ac:dyDescent="0.2">
      <c r="B133" s="1267" t="str">
        <f>"per 31/12/"&amp;$L$13</f>
        <v>per 31/12/2020</v>
      </c>
      <c r="C133" s="1268"/>
      <c r="D133" s="1268"/>
      <c r="E133" s="1269"/>
      <c r="F133" s="168"/>
      <c r="G133" s="255">
        <f t="shared" si="12"/>
        <v>0</v>
      </c>
      <c r="H133" s="255">
        <f t="shared" si="13"/>
        <v>0</v>
      </c>
      <c r="I133" s="255">
        <f>+I132+I36</f>
        <v>0</v>
      </c>
      <c r="J133" s="255">
        <f>+J132+J36</f>
        <v>0</v>
      </c>
      <c r="K133" s="255">
        <f>+K132+K36</f>
        <v>0</v>
      </c>
      <c r="L133" s="255">
        <f>+L$15+L36</f>
        <v>0</v>
      </c>
      <c r="M133" s="255"/>
      <c r="N133" s="565"/>
      <c r="O133" s="565"/>
      <c r="P133" s="565"/>
      <c r="R133" s="991">
        <f t="shared" si="11"/>
        <v>0</v>
      </c>
    </row>
    <row r="134" spans="2:18" ht="28.5" customHeight="1" x14ac:dyDescent="0.2">
      <c r="B134" s="1267" t="str">
        <f>"per 31/12/"&amp;$M$13</f>
        <v>per 31/12/2021</v>
      </c>
      <c r="C134" s="1268"/>
      <c r="D134" s="1268"/>
      <c r="E134" s="1269"/>
      <c r="F134" s="168"/>
      <c r="G134" s="255">
        <f t="shared" si="12"/>
        <v>0</v>
      </c>
      <c r="H134" s="255">
        <f t="shared" si="13"/>
        <v>0</v>
      </c>
      <c r="I134" s="255">
        <f>+I133+I37</f>
        <v>0</v>
      </c>
      <c r="J134" s="255">
        <f>+J133+J37</f>
        <v>0</v>
      </c>
      <c r="K134" s="255">
        <f>+K133+K37</f>
        <v>0</v>
      </c>
      <c r="L134" s="255">
        <f>+L133+L37</f>
        <v>0</v>
      </c>
      <c r="M134" s="255">
        <f>+M$15+M37</f>
        <v>0</v>
      </c>
      <c r="N134" s="565"/>
      <c r="O134" s="565"/>
      <c r="P134" s="565"/>
      <c r="R134" s="991">
        <f t="shared" si="11"/>
        <v>0</v>
      </c>
    </row>
    <row r="135" spans="2:18" ht="28.5" customHeight="1" x14ac:dyDescent="0.2">
      <c r="B135" s="1270" t="str">
        <f>"per 31/12/"&amp;$N$13</f>
        <v>per 31/12/2022</v>
      </c>
      <c r="C135" s="1271"/>
      <c r="D135" s="1271"/>
      <c r="E135" s="1272"/>
      <c r="F135" s="314"/>
      <c r="G135" s="565">
        <f t="shared" si="12"/>
        <v>0</v>
      </c>
      <c r="H135" s="565">
        <f t="shared" si="13"/>
        <v>0</v>
      </c>
      <c r="I135" s="565">
        <f>+I134+I38</f>
        <v>0</v>
      </c>
      <c r="J135" s="565">
        <f>+J134+J38</f>
        <v>0</v>
      </c>
      <c r="K135" s="565">
        <f>+K134+K38</f>
        <v>0</v>
      </c>
      <c r="L135" s="565">
        <f>+L134+L38</f>
        <v>0</v>
      </c>
      <c r="M135" s="565">
        <f>+M134+M38</f>
        <v>0</v>
      </c>
      <c r="N135" s="565">
        <f>+N$15+N38</f>
        <v>0</v>
      </c>
      <c r="O135" s="565"/>
      <c r="P135" s="565"/>
      <c r="Q135" s="845"/>
      <c r="R135" s="994">
        <f t="shared" si="11"/>
        <v>0</v>
      </c>
    </row>
    <row r="136" spans="2:18" ht="28.5" customHeight="1" x14ac:dyDescent="0.2">
      <c r="B136" s="1270" t="str">
        <f>"per 31/12/"&amp;$O$13</f>
        <v>per 31/12/2023</v>
      </c>
      <c r="C136" s="1271"/>
      <c r="D136" s="1271"/>
      <c r="E136" s="1272"/>
      <c r="F136" s="314"/>
      <c r="G136" s="565"/>
      <c r="H136" s="565"/>
      <c r="I136" s="565"/>
      <c r="J136" s="565"/>
      <c r="K136" s="565"/>
      <c r="L136" s="565">
        <f>+L135+L39</f>
        <v>0</v>
      </c>
      <c r="M136" s="565">
        <f>+M135+M39</f>
        <v>0</v>
      </c>
      <c r="N136" s="565">
        <f>+N135+N39</f>
        <v>0</v>
      </c>
      <c r="O136" s="565">
        <f>+O$15+O39</f>
        <v>0</v>
      </c>
      <c r="P136" s="565"/>
      <c r="Q136" s="845"/>
      <c r="R136" s="994">
        <f t="shared" si="11"/>
        <v>0</v>
      </c>
    </row>
    <row r="137" spans="2:18" ht="28.5" customHeight="1" x14ac:dyDescent="0.2">
      <c r="B137" s="1270" t="str">
        <f>"per 31/12/"&amp;$P$13</f>
        <v>per 31/12/2024</v>
      </c>
      <c r="C137" s="1271"/>
      <c r="D137" s="1271"/>
      <c r="E137" s="1272"/>
      <c r="F137" s="314"/>
      <c r="G137" s="565"/>
      <c r="H137" s="565"/>
      <c r="I137" s="565"/>
      <c r="J137" s="565"/>
      <c r="K137" s="565"/>
      <c r="L137" s="565"/>
      <c r="M137" s="565">
        <f>+M136+M40</f>
        <v>0</v>
      </c>
      <c r="N137" s="565">
        <f>+N136+N40</f>
        <v>0</v>
      </c>
      <c r="O137" s="565">
        <f>+O136+O40</f>
        <v>0</v>
      </c>
      <c r="P137" s="565">
        <f>+P$15+P40</f>
        <v>0</v>
      </c>
      <c r="Q137" s="845"/>
      <c r="R137" s="994">
        <f t="shared" si="11"/>
        <v>0</v>
      </c>
    </row>
    <row r="138" spans="2:18" ht="27.75" customHeight="1" x14ac:dyDescent="0.2">
      <c r="B138" s="1282" t="s">
        <v>66</v>
      </c>
      <c r="C138" s="1283"/>
      <c r="D138" s="1283"/>
      <c r="E138" s="1284"/>
      <c r="F138" s="168"/>
      <c r="G138" s="992"/>
      <c r="H138" s="992"/>
      <c r="I138" s="992"/>
      <c r="J138" s="992"/>
      <c r="K138" s="992"/>
      <c r="L138" s="992"/>
      <c r="M138" s="992"/>
      <c r="N138" s="993"/>
      <c r="O138" s="993"/>
      <c r="P138" s="993"/>
      <c r="R138" s="992"/>
    </row>
    <row r="139" spans="2:18" ht="28.5" customHeight="1" x14ac:dyDescent="0.2">
      <c r="B139" s="1267" t="str">
        <f>"per 31/12/"&amp;$G$13</f>
        <v>per 31/12/2015</v>
      </c>
      <c r="C139" s="1268"/>
      <c r="D139" s="1268"/>
      <c r="E139" s="1269"/>
      <c r="F139" s="168"/>
      <c r="G139" s="255">
        <f>+G$16+G42</f>
        <v>0</v>
      </c>
      <c r="H139" s="255"/>
      <c r="I139" s="255"/>
      <c r="J139" s="255"/>
      <c r="K139" s="255"/>
      <c r="L139" s="255"/>
      <c r="M139" s="255"/>
      <c r="N139" s="565"/>
      <c r="O139" s="565"/>
      <c r="P139" s="565"/>
      <c r="R139" s="991">
        <f t="shared" si="11"/>
        <v>0</v>
      </c>
    </row>
    <row r="140" spans="2:18" ht="28.5" customHeight="1" x14ac:dyDescent="0.2">
      <c r="B140" s="1267" t="str">
        <f>"per 31/12/"&amp;$H$13</f>
        <v>per 31/12/2016</v>
      </c>
      <c r="C140" s="1268"/>
      <c r="D140" s="1268"/>
      <c r="E140" s="1269"/>
      <c r="F140" s="168"/>
      <c r="G140" s="255">
        <f t="shared" ref="G140:G146" si="14">+G139+G43</f>
        <v>0</v>
      </c>
      <c r="H140" s="255">
        <f>+H$16+H43</f>
        <v>0</v>
      </c>
      <c r="I140" s="255"/>
      <c r="J140" s="255"/>
      <c r="K140" s="255"/>
      <c r="L140" s="255"/>
      <c r="M140" s="255"/>
      <c r="N140" s="565"/>
      <c r="O140" s="565"/>
      <c r="P140" s="565"/>
      <c r="R140" s="991">
        <f t="shared" si="11"/>
        <v>0</v>
      </c>
    </row>
    <row r="141" spans="2:18" ht="28.5" customHeight="1" x14ac:dyDescent="0.2">
      <c r="B141" s="1267" t="str">
        <f>"per 31/12/"&amp;$I$13</f>
        <v>per 31/12/2017</v>
      </c>
      <c r="C141" s="1268"/>
      <c r="D141" s="1268"/>
      <c r="E141" s="1269"/>
      <c r="F141" s="168"/>
      <c r="G141" s="255">
        <f t="shared" si="14"/>
        <v>0</v>
      </c>
      <c r="H141" s="255">
        <f t="shared" ref="H141:H146" si="15">+H140+H44</f>
        <v>0</v>
      </c>
      <c r="I141" s="255">
        <f>+I$16+I44</f>
        <v>0</v>
      </c>
      <c r="J141" s="255"/>
      <c r="K141" s="255"/>
      <c r="L141" s="255"/>
      <c r="M141" s="255"/>
      <c r="N141" s="565"/>
      <c r="O141" s="565"/>
      <c r="P141" s="565"/>
      <c r="R141" s="991">
        <f t="shared" si="11"/>
        <v>0</v>
      </c>
    </row>
    <row r="142" spans="2:18" ht="28.5" customHeight="1" x14ac:dyDescent="0.2">
      <c r="B142" s="1267" t="str">
        <f>"per 31/12/"&amp;$J$13</f>
        <v>per 31/12/2018</v>
      </c>
      <c r="C142" s="1268"/>
      <c r="D142" s="1268"/>
      <c r="E142" s="1269"/>
      <c r="F142" s="168"/>
      <c r="G142" s="255">
        <f t="shared" si="14"/>
        <v>0</v>
      </c>
      <c r="H142" s="255">
        <f t="shared" si="15"/>
        <v>0</v>
      </c>
      <c r="I142" s="255">
        <f>+I141+I45</f>
        <v>0</v>
      </c>
      <c r="J142" s="255">
        <f>+J$16+J45</f>
        <v>0</v>
      </c>
      <c r="K142" s="255"/>
      <c r="L142" s="255"/>
      <c r="M142" s="255"/>
      <c r="N142" s="565"/>
      <c r="O142" s="565"/>
      <c r="P142" s="565"/>
      <c r="R142" s="991">
        <f t="shared" si="11"/>
        <v>0</v>
      </c>
    </row>
    <row r="143" spans="2:18" ht="28.5" customHeight="1" x14ac:dyDescent="0.2">
      <c r="B143" s="1267" t="str">
        <f>"per 31/12/"&amp;$K$13</f>
        <v>per 31/12/2019</v>
      </c>
      <c r="C143" s="1268"/>
      <c r="D143" s="1268"/>
      <c r="E143" s="1269"/>
      <c r="F143" s="168"/>
      <c r="G143" s="255">
        <f t="shared" si="14"/>
        <v>0</v>
      </c>
      <c r="H143" s="255">
        <f t="shared" si="15"/>
        <v>0</v>
      </c>
      <c r="I143" s="255">
        <f>+I142+I46</f>
        <v>0</v>
      </c>
      <c r="J143" s="255">
        <f>+J142+J46</f>
        <v>0</v>
      </c>
      <c r="K143" s="255">
        <f>+K$16+K46</f>
        <v>0</v>
      </c>
      <c r="L143" s="255"/>
      <c r="M143" s="255"/>
      <c r="N143" s="565"/>
      <c r="O143" s="565"/>
      <c r="P143" s="565"/>
      <c r="R143" s="991">
        <f t="shared" si="11"/>
        <v>0</v>
      </c>
    </row>
    <row r="144" spans="2:18" ht="28.5" customHeight="1" x14ac:dyDescent="0.2">
      <c r="B144" s="1267" t="str">
        <f>"per 31/12/"&amp;$L$13</f>
        <v>per 31/12/2020</v>
      </c>
      <c r="C144" s="1268"/>
      <c r="D144" s="1268"/>
      <c r="E144" s="1269"/>
      <c r="F144" s="168"/>
      <c r="G144" s="255">
        <f t="shared" si="14"/>
        <v>0</v>
      </c>
      <c r="H144" s="255">
        <f t="shared" si="15"/>
        <v>0</v>
      </c>
      <c r="I144" s="255">
        <f>+I143+I47</f>
        <v>0</v>
      </c>
      <c r="J144" s="255">
        <f>+J143+J47</f>
        <v>0</v>
      </c>
      <c r="K144" s="255">
        <f>+K143+K47</f>
        <v>0</v>
      </c>
      <c r="L144" s="255">
        <f>+L$16+L47</f>
        <v>0</v>
      </c>
      <c r="M144" s="255"/>
      <c r="N144" s="565"/>
      <c r="O144" s="565"/>
      <c r="P144" s="565"/>
      <c r="R144" s="991">
        <f t="shared" si="11"/>
        <v>0</v>
      </c>
    </row>
    <row r="145" spans="2:18" ht="28.5" customHeight="1" x14ac:dyDescent="0.2">
      <c r="B145" s="1267" t="str">
        <f>"per 31/12/"&amp;$M$13</f>
        <v>per 31/12/2021</v>
      </c>
      <c r="C145" s="1268"/>
      <c r="D145" s="1268"/>
      <c r="E145" s="1269"/>
      <c r="F145" s="168"/>
      <c r="G145" s="255">
        <f t="shared" si="14"/>
        <v>0</v>
      </c>
      <c r="H145" s="255">
        <f t="shared" si="15"/>
        <v>0</v>
      </c>
      <c r="I145" s="255">
        <f>+I144+I48</f>
        <v>0</v>
      </c>
      <c r="J145" s="255">
        <f>+J144+J48</f>
        <v>0</v>
      </c>
      <c r="K145" s="255">
        <f>+K144+K48</f>
        <v>0</v>
      </c>
      <c r="L145" s="255">
        <f>+L144+L48</f>
        <v>0</v>
      </c>
      <c r="M145" s="255">
        <f>+M$16+M48</f>
        <v>0</v>
      </c>
      <c r="N145" s="565"/>
      <c r="O145" s="565"/>
      <c r="P145" s="565"/>
      <c r="R145" s="991">
        <f t="shared" si="11"/>
        <v>0</v>
      </c>
    </row>
    <row r="146" spans="2:18" ht="28.5" customHeight="1" x14ac:dyDescent="0.2">
      <c r="B146" s="1270" t="str">
        <f>"per 31/12/"&amp;$N$13</f>
        <v>per 31/12/2022</v>
      </c>
      <c r="C146" s="1271"/>
      <c r="D146" s="1271"/>
      <c r="E146" s="1272"/>
      <c r="F146" s="314"/>
      <c r="G146" s="565">
        <f t="shared" si="14"/>
        <v>0</v>
      </c>
      <c r="H146" s="565">
        <f t="shared" si="15"/>
        <v>0</v>
      </c>
      <c r="I146" s="565">
        <f>+I145+I49</f>
        <v>0</v>
      </c>
      <c r="J146" s="565">
        <f>+J145+J49</f>
        <v>0</v>
      </c>
      <c r="K146" s="565">
        <f>+K145+K49</f>
        <v>0</v>
      </c>
      <c r="L146" s="565">
        <f>+L145+L49</f>
        <v>0</v>
      </c>
      <c r="M146" s="565">
        <f>+M145+M49</f>
        <v>0</v>
      </c>
      <c r="N146" s="565">
        <f>+N$16+N49</f>
        <v>0</v>
      </c>
      <c r="O146" s="565"/>
      <c r="P146" s="565"/>
      <c r="Q146" s="845"/>
      <c r="R146" s="994">
        <f t="shared" si="11"/>
        <v>0</v>
      </c>
    </row>
    <row r="147" spans="2:18" ht="28.5" customHeight="1" x14ac:dyDescent="0.2">
      <c r="B147" s="1270" t="str">
        <f>"per 31/12/"&amp;$O$13</f>
        <v>per 31/12/2023</v>
      </c>
      <c r="C147" s="1271"/>
      <c r="D147" s="1271"/>
      <c r="E147" s="1272"/>
      <c r="F147" s="314"/>
      <c r="G147" s="565"/>
      <c r="H147" s="565"/>
      <c r="I147" s="565"/>
      <c r="J147" s="565"/>
      <c r="K147" s="565"/>
      <c r="L147" s="565">
        <f>+L146+L50</f>
        <v>0</v>
      </c>
      <c r="M147" s="565">
        <f>+M146+M50</f>
        <v>0</v>
      </c>
      <c r="N147" s="565">
        <f>+N146+N50</f>
        <v>0</v>
      </c>
      <c r="O147" s="565">
        <f>+O$16+O50</f>
        <v>0</v>
      </c>
      <c r="P147" s="565"/>
      <c r="Q147" s="845"/>
      <c r="R147" s="994">
        <f t="shared" si="11"/>
        <v>0</v>
      </c>
    </row>
    <row r="148" spans="2:18" ht="28.5" customHeight="1" x14ac:dyDescent="0.2">
      <c r="B148" s="1270" t="str">
        <f>"per 31/12/"&amp;$P$13</f>
        <v>per 31/12/2024</v>
      </c>
      <c r="C148" s="1271"/>
      <c r="D148" s="1271"/>
      <c r="E148" s="1272"/>
      <c r="F148" s="314"/>
      <c r="G148" s="565"/>
      <c r="H148" s="565"/>
      <c r="I148" s="565"/>
      <c r="J148" s="565"/>
      <c r="K148" s="565"/>
      <c r="L148" s="565"/>
      <c r="M148" s="565">
        <f>+M147+M51</f>
        <v>0</v>
      </c>
      <c r="N148" s="565">
        <f>+N147+N51</f>
        <v>0</v>
      </c>
      <c r="O148" s="565">
        <f>+O147+O51</f>
        <v>0</v>
      </c>
      <c r="P148" s="565">
        <f>+P$16+P51</f>
        <v>0</v>
      </c>
      <c r="Q148" s="845"/>
      <c r="R148" s="994">
        <f t="shared" si="11"/>
        <v>0</v>
      </c>
    </row>
    <row r="149" spans="2:18" ht="30" customHeight="1" x14ac:dyDescent="0.2">
      <c r="B149" s="1282" t="s">
        <v>205</v>
      </c>
      <c r="C149" s="1283"/>
      <c r="D149" s="1283"/>
      <c r="E149" s="1284"/>
      <c r="F149" s="168"/>
      <c r="G149" s="992"/>
      <c r="H149" s="992"/>
      <c r="I149" s="992"/>
      <c r="J149" s="992"/>
      <c r="K149" s="992"/>
      <c r="L149" s="992"/>
      <c r="M149" s="992"/>
      <c r="N149" s="993"/>
      <c r="O149" s="993"/>
      <c r="P149" s="993"/>
      <c r="R149" s="992"/>
    </row>
    <row r="150" spans="2:18" ht="28.5" customHeight="1" x14ac:dyDescent="0.2">
      <c r="B150" s="1267" t="str">
        <f>"per 31/12/"&amp;$G$13</f>
        <v>per 31/12/2015</v>
      </c>
      <c r="C150" s="1268"/>
      <c r="D150" s="1268"/>
      <c r="E150" s="1269"/>
      <c r="F150" s="168"/>
      <c r="G150" s="565"/>
      <c r="H150" s="255"/>
      <c r="I150" s="255"/>
      <c r="J150" s="255"/>
      <c r="K150" s="255"/>
      <c r="L150" s="255"/>
      <c r="M150" s="255"/>
      <c r="N150" s="565"/>
      <c r="O150" s="565"/>
      <c r="P150" s="565"/>
      <c r="R150" s="994"/>
    </row>
    <row r="151" spans="2:18" ht="28.5" customHeight="1" x14ac:dyDescent="0.2">
      <c r="B151" s="1267" t="str">
        <f>"per 31/12/"&amp;$H$13</f>
        <v>per 31/12/2016</v>
      </c>
      <c r="C151" s="1268"/>
      <c r="D151" s="1268"/>
      <c r="E151" s="1269"/>
      <c r="F151" s="168"/>
      <c r="G151" s="565"/>
      <c r="H151" s="565"/>
      <c r="I151" s="255"/>
      <c r="J151" s="255"/>
      <c r="K151" s="255"/>
      <c r="L151" s="255"/>
      <c r="M151" s="255"/>
      <c r="N151" s="565"/>
      <c r="O151" s="565"/>
      <c r="P151" s="565"/>
      <c r="R151" s="994"/>
    </row>
    <row r="152" spans="2:18" ht="28.5" customHeight="1" x14ac:dyDescent="0.2">
      <c r="B152" s="1267" t="str">
        <f>"per 31/12/"&amp;$I$13</f>
        <v>per 31/12/2017</v>
      </c>
      <c r="C152" s="1268"/>
      <c r="D152" s="1268"/>
      <c r="E152" s="1269"/>
      <c r="F152" s="168"/>
      <c r="G152" s="565"/>
      <c r="H152" s="565"/>
      <c r="I152" s="565"/>
      <c r="J152" s="255"/>
      <c r="K152" s="255"/>
      <c r="L152" s="255"/>
      <c r="M152" s="255"/>
      <c r="N152" s="565"/>
      <c r="O152" s="565"/>
      <c r="P152" s="565"/>
      <c r="R152" s="994"/>
    </row>
    <row r="153" spans="2:18" ht="28.5" customHeight="1" x14ac:dyDescent="0.2">
      <c r="B153" s="1267" t="str">
        <f>"per 31/12/"&amp;$J$13</f>
        <v>per 31/12/2018</v>
      </c>
      <c r="C153" s="1268"/>
      <c r="D153" s="1268"/>
      <c r="E153" s="1269"/>
      <c r="F153" s="168"/>
      <c r="G153" s="565"/>
      <c r="H153" s="565"/>
      <c r="I153" s="565"/>
      <c r="J153" s="565"/>
      <c r="K153" s="255"/>
      <c r="L153" s="255"/>
      <c r="M153" s="255"/>
      <c r="N153" s="565"/>
      <c r="O153" s="565"/>
      <c r="P153" s="565"/>
      <c r="R153" s="994"/>
    </row>
    <row r="154" spans="2:18" ht="28.5" customHeight="1" x14ac:dyDescent="0.2">
      <c r="B154" s="1267" t="str">
        <f>"per 31/12/"&amp;$K$13</f>
        <v>per 31/12/2019</v>
      </c>
      <c r="C154" s="1268"/>
      <c r="D154" s="1268"/>
      <c r="E154" s="1269"/>
      <c r="F154" s="168"/>
      <c r="G154" s="565"/>
      <c r="H154" s="565"/>
      <c r="I154" s="565"/>
      <c r="J154" s="565"/>
      <c r="K154" s="565"/>
      <c r="L154" s="255"/>
      <c r="M154" s="255"/>
      <c r="N154" s="565"/>
      <c r="O154" s="565"/>
      <c r="P154" s="565"/>
      <c r="R154" s="994"/>
    </row>
    <row r="155" spans="2:18" ht="28.5" customHeight="1" x14ac:dyDescent="0.2">
      <c r="B155" s="1267" t="str">
        <f>"per 31/12/"&amp;$L$13</f>
        <v>per 31/12/2020</v>
      </c>
      <c r="C155" s="1268"/>
      <c r="D155" s="1268"/>
      <c r="E155" s="1269"/>
      <c r="F155" s="168"/>
      <c r="G155" s="565"/>
      <c r="H155" s="565"/>
      <c r="I155" s="565"/>
      <c r="J155" s="565"/>
      <c r="K155" s="565"/>
      <c r="L155" s="565"/>
      <c r="M155" s="255"/>
      <c r="N155" s="565"/>
      <c r="O155" s="565"/>
      <c r="P155" s="565"/>
      <c r="R155" s="994"/>
    </row>
    <row r="156" spans="2:18" ht="28.5" customHeight="1" x14ac:dyDescent="0.2">
      <c r="B156" s="1267" t="str">
        <f>"per 31/12/"&amp;$M$13</f>
        <v>per 31/12/2021</v>
      </c>
      <c r="C156" s="1268"/>
      <c r="D156" s="1268"/>
      <c r="E156" s="1269"/>
      <c r="F156" s="168"/>
      <c r="G156" s="565"/>
      <c r="H156" s="565"/>
      <c r="I156" s="565"/>
      <c r="J156" s="565"/>
      <c r="K156" s="565"/>
      <c r="L156" s="565"/>
      <c r="M156" s="565"/>
      <c r="N156" s="565"/>
      <c r="O156" s="565"/>
      <c r="P156" s="565"/>
      <c r="R156" s="991">
        <f t="shared" si="11"/>
        <v>0</v>
      </c>
    </row>
    <row r="157" spans="2:18" ht="28.5" customHeight="1" x14ac:dyDescent="0.2">
      <c r="B157" s="1270" t="str">
        <f>"per 31/12/"&amp;$N$13</f>
        <v>per 31/12/2022</v>
      </c>
      <c r="C157" s="1271"/>
      <c r="D157" s="1271"/>
      <c r="E157" s="1272"/>
      <c r="F157" s="314"/>
      <c r="G157" s="565"/>
      <c r="H157" s="565"/>
      <c r="I157" s="565"/>
      <c r="J157" s="565"/>
      <c r="K157" s="565"/>
      <c r="L157" s="565"/>
      <c r="M157" s="565"/>
      <c r="N157" s="565"/>
      <c r="O157" s="565"/>
      <c r="P157" s="565"/>
      <c r="Q157" s="845"/>
      <c r="R157" s="994">
        <f t="shared" si="11"/>
        <v>0</v>
      </c>
    </row>
    <row r="158" spans="2:18" ht="28.5" customHeight="1" x14ac:dyDescent="0.2">
      <c r="B158" s="1270" t="str">
        <f>"per 31/12/"&amp;$O$13</f>
        <v>per 31/12/2023</v>
      </c>
      <c r="C158" s="1271"/>
      <c r="D158" s="1271"/>
      <c r="E158" s="1272"/>
      <c r="F158" s="314"/>
      <c r="G158" s="565"/>
      <c r="H158" s="565"/>
      <c r="I158" s="565"/>
      <c r="J158" s="565"/>
      <c r="K158" s="565"/>
      <c r="L158" s="565"/>
      <c r="M158" s="565"/>
      <c r="N158" s="565"/>
      <c r="O158" s="565"/>
      <c r="P158" s="565"/>
      <c r="Q158" s="845"/>
      <c r="R158" s="994">
        <f t="shared" si="11"/>
        <v>0</v>
      </c>
    </row>
    <row r="159" spans="2:18" ht="28.5" customHeight="1" x14ac:dyDescent="0.2">
      <c r="B159" s="1270" t="str">
        <f>"per 31/12/"&amp;$P$13</f>
        <v>per 31/12/2024</v>
      </c>
      <c r="C159" s="1271"/>
      <c r="D159" s="1271"/>
      <c r="E159" s="1272"/>
      <c r="F159" s="314"/>
      <c r="G159" s="565"/>
      <c r="H159" s="565"/>
      <c r="I159" s="565"/>
      <c r="J159" s="565"/>
      <c r="K159" s="565"/>
      <c r="L159" s="565"/>
      <c r="M159" s="565"/>
      <c r="N159" s="565"/>
      <c r="O159" s="565"/>
      <c r="P159" s="565"/>
      <c r="Q159" s="845"/>
      <c r="R159" s="994"/>
    </row>
    <row r="160" spans="2:18" ht="30" customHeight="1" x14ac:dyDescent="0.2">
      <c r="B160" s="1282" t="s">
        <v>67</v>
      </c>
      <c r="C160" s="1283"/>
      <c r="D160" s="1283"/>
      <c r="E160" s="1284"/>
      <c r="F160" s="168"/>
      <c r="G160" s="992"/>
      <c r="H160" s="992"/>
      <c r="I160" s="992"/>
      <c r="J160" s="992"/>
      <c r="K160" s="992"/>
      <c r="L160" s="992"/>
      <c r="M160" s="992"/>
      <c r="N160" s="993"/>
      <c r="O160" s="993"/>
      <c r="P160" s="993"/>
      <c r="R160" s="992"/>
    </row>
    <row r="161" spans="2:18" ht="28.5" customHeight="1" x14ac:dyDescent="0.2">
      <c r="B161" s="1267" t="str">
        <f>"per 31/12/"&amp;$G$13</f>
        <v>per 31/12/2015</v>
      </c>
      <c r="C161" s="1268"/>
      <c r="D161" s="1268"/>
      <c r="E161" s="1269"/>
      <c r="F161" s="168"/>
      <c r="G161" s="255">
        <f>+G$18+G64</f>
        <v>0</v>
      </c>
      <c r="H161" s="255"/>
      <c r="I161" s="255"/>
      <c r="J161" s="255"/>
      <c r="K161" s="255"/>
      <c r="L161" s="255"/>
      <c r="M161" s="255"/>
      <c r="N161" s="565"/>
      <c r="O161" s="565"/>
      <c r="P161" s="565"/>
      <c r="R161" s="991">
        <f t="shared" si="11"/>
        <v>0</v>
      </c>
    </row>
    <row r="162" spans="2:18" ht="28.5" customHeight="1" x14ac:dyDescent="0.2">
      <c r="B162" s="1267" t="str">
        <f>"per 31/12/"&amp;$H$13</f>
        <v>per 31/12/2016</v>
      </c>
      <c r="C162" s="1268"/>
      <c r="D162" s="1268"/>
      <c r="E162" s="1269"/>
      <c r="F162" s="168"/>
      <c r="G162" s="255">
        <f t="shared" ref="G162:G168" si="16">+G161+G65</f>
        <v>0</v>
      </c>
      <c r="H162" s="255">
        <f>+H$18+H65</f>
        <v>0</v>
      </c>
      <c r="I162" s="255"/>
      <c r="J162" s="255"/>
      <c r="K162" s="255"/>
      <c r="L162" s="255"/>
      <c r="M162" s="255"/>
      <c r="N162" s="565"/>
      <c r="O162" s="565"/>
      <c r="P162" s="565"/>
      <c r="R162" s="991">
        <f t="shared" si="11"/>
        <v>0</v>
      </c>
    </row>
    <row r="163" spans="2:18" ht="28.5" customHeight="1" x14ac:dyDescent="0.2">
      <c r="B163" s="1267" t="str">
        <f>"per 31/12/"&amp;$I$13</f>
        <v>per 31/12/2017</v>
      </c>
      <c r="C163" s="1268"/>
      <c r="D163" s="1268"/>
      <c r="E163" s="1269"/>
      <c r="F163" s="168"/>
      <c r="G163" s="255">
        <f t="shared" si="16"/>
        <v>0</v>
      </c>
      <c r="H163" s="255">
        <f t="shared" ref="H163:H168" si="17">+H162+H66</f>
        <v>0</v>
      </c>
      <c r="I163" s="255">
        <f>+I$18+I66</f>
        <v>0</v>
      </c>
      <c r="J163" s="255"/>
      <c r="K163" s="255"/>
      <c r="L163" s="255"/>
      <c r="M163" s="255"/>
      <c r="N163" s="565"/>
      <c r="O163" s="565"/>
      <c r="P163" s="565"/>
      <c r="R163" s="991">
        <f t="shared" si="11"/>
        <v>0</v>
      </c>
    </row>
    <row r="164" spans="2:18" ht="28.5" customHeight="1" x14ac:dyDescent="0.2">
      <c r="B164" s="1267" t="str">
        <f>"per 31/12/"&amp;$J$13</f>
        <v>per 31/12/2018</v>
      </c>
      <c r="C164" s="1268"/>
      <c r="D164" s="1268"/>
      <c r="E164" s="1269"/>
      <c r="F164" s="168"/>
      <c r="G164" s="255">
        <f t="shared" si="16"/>
        <v>0</v>
      </c>
      <c r="H164" s="255">
        <f t="shared" si="17"/>
        <v>0</v>
      </c>
      <c r="I164" s="255">
        <f>+I163+I67</f>
        <v>0</v>
      </c>
      <c r="J164" s="255">
        <f>+J$18+J67</f>
        <v>0</v>
      </c>
      <c r="K164" s="255"/>
      <c r="L164" s="255"/>
      <c r="M164" s="255"/>
      <c r="N164" s="565"/>
      <c r="O164" s="565"/>
      <c r="P164" s="565"/>
      <c r="R164" s="991">
        <f t="shared" si="11"/>
        <v>0</v>
      </c>
    </row>
    <row r="165" spans="2:18" ht="28.5" customHeight="1" x14ac:dyDescent="0.2">
      <c r="B165" s="1267" t="str">
        <f>"per 31/12/"&amp;$K$13</f>
        <v>per 31/12/2019</v>
      </c>
      <c r="C165" s="1268"/>
      <c r="D165" s="1268"/>
      <c r="E165" s="1269"/>
      <c r="F165" s="168"/>
      <c r="G165" s="255">
        <f t="shared" si="16"/>
        <v>0</v>
      </c>
      <c r="H165" s="255">
        <f t="shared" si="17"/>
        <v>0</v>
      </c>
      <c r="I165" s="255">
        <f>+I164+I68</f>
        <v>0</v>
      </c>
      <c r="J165" s="255">
        <f>+J164+J68</f>
        <v>0</v>
      </c>
      <c r="K165" s="255">
        <f>+K$18+K68</f>
        <v>0</v>
      </c>
      <c r="L165" s="255"/>
      <c r="M165" s="255"/>
      <c r="N165" s="565"/>
      <c r="O165" s="565"/>
      <c r="P165" s="565"/>
      <c r="R165" s="991">
        <f t="shared" si="11"/>
        <v>0</v>
      </c>
    </row>
    <row r="166" spans="2:18" ht="28.5" customHeight="1" x14ac:dyDescent="0.2">
      <c r="B166" s="1267" t="str">
        <f>"per 31/12/"&amp;$L$13</f>
        <v>per 31/12/2020</v>
      </c>
      <c r="C166" s="1268"/>
      <c r="D166" s="1268"/>
      <c r="E166" s="1269"/>
      <c r="F166" s="168"/>
      <c r="G166" s="255">
        <f t="shared" si="16"/>
        <v>0</v>
      </c>
      <c r="H166" s="255">
        <f t="shared" si="17"/>
        <v>0</v>
      </c>
      <c r="I166" s="255">
        <f>+I165+I69</f>
        <v>0</v>
      </c>
      <c r="J166" s="255">
        <f>+J165+J69</f>
        <v>0</v>
      </c>
      <c r="K166" s="255">
        <f>+K165+K69</f>
        <v>0</v>
      </c>
      <c r="L166" s="255">
        <f>+L$18+L69</f>
        <v>0</v>
      </c>
      <c r="M166" s="255"/>
      <c r="N166" s="565"/>
      <c r="O166" s="565"/>
      <c r="P166" s="565"/>
      <c r="R166" s="991">
        <f t="shared" si="11"/>
        <v>0</v>
      </c>
    </row>
    <row r="167" spans="2:18" ht="28.5" customHeight="1" x14ac:dyDescent="0.2">
      <c r="B167" s="1267" t="str">
        <f>"per 31/12/"&amp;$M$13</f>
        <v>per 31/12/2021</v>
      </c>
      <c r="C167" s="1268"/>
      <c r="D167" s="1268"/>
      <c r="E167" s="1269"/>
      <c r="F167" s="168"/>
      <c r="G167" s="255">
        <f t="shared" si="16"/>
        <v>0</v>
      </c>
      <c r="H167" s="255">
        <f t="shared" si="17"/>
        <v>0</v>
      </c>
      <c r="I167" s="255">
        <f>+I166+I70</f>
        <v>0</v>
      </c>
      <c r="J167" s="255">
        <f>+J166+J70</f>
        <v>0</v>
      </c>
      <c r="K167" s="255">
        <f>+K166+K70</f>
        <v>0</v>
      </c>
      <c r="L167" s="255">
        <f>+L166+L70</f>
        <v>0</v>
      </c>
      <c r="M167" s="255">
        <f>+M$18+M70</f>
        <v>0</v>
      </c>
      <c r="N167" s="565"/>
      <c r="O167" s="565"/>
      <c r="P167" s="565"/>
      <c r="R167" s="991">
        <f t="shared" si="11"/>
        <v>0</v>
      </c>
    </row>
    <row r="168" spans="2:18" ht="28.5" customHeight="1" x14ac:dyDescent="0.2">
      <c r="B168" s="1270" t="str">
        <f>"per 31/12/"&amp;$N$13</f>
        <v>per 31/12/2022</v>
      </c>
      <c r="C168" s="1271"/>
      <c r="D168" s="1271"/>
      <c r="E168" s="1272"/>
      <c r="F168" s="314"/>
      <c r="G168" s="565">
        <f t="shared" si="16"/>
        <v>0</v>
      </c>
      <c r="H168" s="565">
        <f t="shared" si="17"/>
        <v>0</v>
      </c>
      <c r="I168" s="565">
        <f>+I167+I71</f>
        <v>0</v>
      </c>
      <c r="J168" s="565">
        <f>+J167+J71</f>
        <v>0</v>
      </c>
      <c r="K168" s="565">
        <f>+K167+K71</f>
        <v>0</v>
      </c>
      <c r="L168" s="565">
        <f>+L167+L71</f>
        <v>0</v>
      </c>
      <c r="M168" s="565">
        <f>+M167+M71</f>
        <v>0</v>
      </c>
      <c r="N168" s="565">
        <f>+N$18+N71</f>
        <v>0</v>
      </c>
      <c r="O168" s="565"/>
      <c r="P168" s="565"/>
      <c r="Q168" s="845"/>
      <c r="R168" s="994">
        <f t="shared" si="11"/>
        <v>0</v>
      </c>
    </row>
    <row r="169" spans="2:18" ht="28.5" customHeight="1" x14ac:dyDescent="0.2">
      <c r="B169" s="1270" t="str">
        <f>"per 31/12/"&amp;$O$13</f>
        <v>per 31/12/2023</v>
      </c>
      <c r="C169" s="1271"/>
      <c r="D169" s="1271"/>
      <c r="E169" s="1272"/>
      <c r="F169" s="314"/>
      <c r="G169" s="565"/>
      <c r="H169" s="565"/>
      <c r="I169" s="565"/>
      <c r="J169" s="565"/>
      <c r="K169" s="565"/>
      <c r="L169" s="565">
        <f>+L168+L72</f>
        <v>0</v>
      </c>
      <c r="M169" s="565">
        <f>+M168+M72</f>
        <v>0</v>
      </c>
      <c r="N169" s="565">
        <f>+N168+N72</f>
        <v>0</v>
      </c>
      <c r="O169" s="565">
        <f>+O$18+O72</f>
        <v>0</v>
      </c>
      <c r="P169" s="565"/>
      <c r="Q169" s="845"/>
      <c r="R169" s="994">
        <f t="shared" si="11"/>
        <v>0</v>
      </c>
    </row>
    <row r="170" spans="2:18" ht="28.5" customHeight="1" x14ac:dyDescent="0.2">
      <c r="B170" s="1270" t="str">
        <f>"per 31/12/"&amp;$P$13</f>
        <v>per 31/12/2024</v>
      </c>
      <c r="C170" s="1271"/>
      <c r="D170" s="1271"/>
      <c r="E170" s="1272"/>
      <c r="F170" s="314"/>
      <c r="G170" s="565"/>
      <c r="H170" s="565"/>
      <c r="I170" s="565"/>
      <c r="J170" s="565"/>
      <c r="K170" s="565"/>
      <c r="L170" s="565"/>
      <c r="M170" s="565">
        <f>+M169+M73</f>
        <v>0</v>
      </c>
      <c r="N170" s="565">
        <f>+N169+N73</f>
        <v>0</v>
      </c>
      <c r="O170" s="565">
        <f>+O169+O73</f>
        <v>0</v>
      </c>
      <c r="P170" s="565">
        <f>+P$18+P73</f>
        <v>0</v>
      </c>
      <c r="Q170" s="845"/>
      <c r="R170" s="994">
        <f t="shared" si="11"/>
        <v>0</v>
      </c>
    </row>
    <row r="171" spans="2:18" ht="27" customHeight="1" x14ac:dyDescent="0.2">
      <c r="B171" s="1285" t="s">
        <v>119</v>
      </c>
      <c r="C171" s="1285"/>
      <c r="D171" s="1285"/>
      <c r="E171" s="1285"/>
      <c r="F171" s="168"/>
      <c r="G171" s="992"/>
      <c r="H171" s="992"/>
      <c r="I171" s="992"/>
      <c r="J171" s="992"/>
      <c r="K171" s="992"/>
      <c r="L171" s="992"/>
      <c r="M171" s="992"/>
      <c r="N171" s="993"/>
      <c r="O171" s="993"/>
      <c r="P171" s="993"/>
      <c r="R171" s="992"/>
    </row>
    <row r="172" spans="2:18" ht="28.5" customHeight="1" x14ac:dyDescent="0.2">
      <c r="B172" s="1267" t="str">
        <f>"per 31/12/"&amp;$G$13</f>
        <v>per 31/12/2015</v>
      </c>
      <c r="C172" s="1268"/>
      <c r="D172" s="1268"/>
      <c r="E172" s="1269"/>
      <c r="F172" s="168"/>
      <c r="G172" s="255">
        <f>+G$19+G75</f>
        <v>0</v>
      </c>
      <c r="H172" s="255"/>
      <c r="I172" s="255"/>
      <c r="J172" s="255"/>
      <c r="K172" s="255"/>
      <c r="L172" s="255"/>
      <c r="M172" s="255"/>
      <c r="N172" s="565"/>
      <c r="O172" s="565"/>
      <c r="P172" s="565"/>
      <c r="R172" s="991">
        <f t="shared" si="11"/>
        <v>0</v>
      </c>
    </row>
    <row r="173" spans="2:18" ht="28.5" customHeight="1" x14ac:dyDescent="0.2">
      <c r="B173" s="1267" t="str">
        <f>"per 31/12/"&amp;$H$13</f>
        <v>per 31/12/2016</v>
      </c>
      <c r="C173" s="1268"/>
      <c r="D173" s="1268"/>
      <c r="E173" s="1269"/>
      <c r="F173" s="168"/>
      <c r="G173" s="255">
        <f t="shared" ref="G173:G179" si="18">+G172+G76</f>
        <v>0</v>
      </c>
      <c r="H173" s="255">
        <f>+H$19+H76</f>
        <v>0</v>
      </c>
      <c r="I173" s="255"/>
      <c r="J173" s="255"/>
      <c r="K173" s="255"/>
      <c r="L173" s="255"/>
      <c r="M173" s="255"/>
      <c r="N173" s="565"/>
      <c r="O173" s="565"/>
      <c r="P173" s="565"/>
      <c r="R173" s="991">
        <f t="shared" si="11"/>
        <v>0</v>
      </c>
    </row>
    <row r="174" spans="2:18" ht="28.5" customHeight="1" x14ac:dyDescent="0.2">
      <c r="B174" s="1267" t="str">
        <f>"per 31/12/"&amp;$I$13</f>
        <v>per 31/12/2017</v>
      </c>
      <c r="C174" s="1268"/>
      <c r="D174" s="1268"/>
      <c r="E174" s="1269"/>
      <c r="F174" s="168"/>
      <c r="G174" s="255">
        <f t="shared" si="18"/>
        <v>0</v>
      </c>
      <c r="H174" s="255">
        <f t="shared" ref="H174:H179" si="19">+H173+H77</f>
        <v>0</v>
      </c>
      <c r="I174" s="255">
        <f>+I$19+I77</f>
        <v>0</v>
      </c>
      <c r="J174" s="255"/>
      <c r="K174" s="255"/>
      <c r="L174" s="255"/>
      <c r="M174" s="255"/>
      <c r="N174" s="565"/>
      <c r="O174" s="565"/>
      <c r="P174" s="565"/>
      <c r="R174" s="991">
        <f t="shared" si="11"/>
        <v>0</v>
      </c>
    </row>
    <row r="175" spans="2:18" ht="28.5" customHeight="1" x14ac:dyDescent="0.2">
      <c r="B175" s="1267" t="str">
        <f>"per 31/12/"&amp;$J$13</f>
        <v>per 31/12/2018</v>
      </c>
      <c r="C175" s="1268"/>
      <c r="D175" s="1268"/>
      <c r="E175" s="1269"/>
      <c r="F175" s="168"/>
      <c r="G175" s="255">
        <f t="shared" si="18"/>
        <v>0</v>
      </c>
      <c r="H175" s="255">
        <f t="shared" si="19"/>
        <v>0</v>
      </c>
      <c r="I175" s="255">
        <f>+I174+I78</f>
        <v>0</v>
      </c>
      <c r="J175" s="255">
        <f>+J$19+J78</f>
        <v>0</v>
      </c>
      <c r="K175" s="255"/>
      <c r="L175" s="255"/>
      <c r="M175" s="255"/>
      <c r="N175" s="565"/>
      <c r="O175" s="565"/>
      <c r="P175" s="565"/>
      <c r="R175" s="991">
        <f t="shared" si="11"/>
        <v>0</v>
      </c>
    </row>
    <row r="176" spans="2:18" ht="28.5" customHeight="1" x14ac:dyDescent="0.2">
      <c r="B176" s="1267" t="str">
        <f>"per 31/12/"&amp;$K$13</f>
        <v>per 31/12/2019</v>
      </c>
      <c r="C176" s="1268"/>
      <c r="D176" s="1268"/>
      <c r="E176" s="1269"/>
      <c r="F176" s="168"/>
      <c r="G176" s="255">
        <f t="shared" si="18"/>
        <v>0</v>
      </c>
      <c r="H176" s="255">
        <f t="shared" si="19"/>
        <v>0</v>
      </c>
      <c r="I176" s="255">
        <f>+I175+I79</f>
        <v>0</v>
      </c>
      <c r="J176" s="255">
        <f>+J175+J79</f>
        <v>0</v>
      </c>
      <c r="K176" s="255">
        <f>+K$19+K79</f>
        <v>0</v>
      </c>
      <c r="L176" s="255"/>
      <c r="M176" s="255"/>
      <c r="N176" s="565"/>
      <c r="O176" s="565"/>
      <c r="P176" s="565"/>
      <c r="R176" s="991">
        <f t="shared" si="11"/>
        <v>0</v>
      </c>
    </row>
    <row r="177" spans="2:18" ht="28.5" customHeight="1" x14ac:dyDescent="0.2">
      <c r="B177" s="1267" t="str">
        <f>"per 31/12/"&amp;$L$13</f>
        <v>per 31/12/2020</v>
      </c>
      <c r="C177" s="1268"/>
      <c r="D177" s="1268"/>
      <c r="E177" s="1269"/>
      <c r="F177" s="168"/>
      <c r="G177" s="255">
        <f t="shared" si="18"/>
        <v>0</v>
      </c>
      <c r="H177" s="255">
        <f t="shared" si="19"/>
        <v>0</v>
      </c>
      <c r="I177" s="255">
        <f>+I176+I80</f>
        <v>0</v>
      </c>
      <c r="J177" s="255">
        <f>+J176+J80</f>
        <v>0</v>
      </c>
      <c r="K177" s="255">
        <f>+K176+K80</f>
        <v>0</v>
      </c>
      <c r="L177" s="255">
        <f>+L$19+L80</f>
        <v>0</v>
      </c>
      <c r="M177" s="255"/>
      <c r="N177" s="565"/>
      <c r="O177" s="565"/>
      <c r="P177" s="565"/>
      <c r="R177" s="991">
        <f t="shared" si="11"/>
        <v>0</v>
      </c>
    </row>
    <row r="178" spans="2:18" ht="28.5" customHeight="1" x14ac:dyDescent="0.2">
      <c r="B178" s="1267" t="str">
        <f>"per 31/12/"&amp;$M$13</f>
        <v>per 31/12/2021</v>
      </c>
      <c r="C178" s="1268"/>
      <c r="D178" s="1268"/>
      <c r="E178" s="1269"/>
      <c r="F178" s="168"/>
      <c r="G178" s="255">
        <f t="shared" si="18"/>
        <v>0</v>
      </c>
      <c r="H178" s="255">
        <f t="shared" si="19"/>
        <v>0</v>
      </c>
      <c r="I178" s="255">
        <f>+I177+I81</f>
        <v>0</v>
      </c>
      <c r="J178" s="255">
        <f>+J177+J81</f>
        <v>0</v>
      </c>
      <c r="K178" s="255">
        <f>+K177+K81</f>
        <v>0</v>
      </c>
      <c r="L178" s="255">
        <f>+L177+L81</f>
        <v>0</v>
      </c>
      <c r="M178" s="565"/>
      <c r="N178" s="565"/>
      <c r="O178" s="565"/>
      <c r="P178" s="565"/>
      <c r="R178" s="991">
        <f t="shared" si="11"/>
        <v>0</v>
      </c>
    </row>
    <row r="179" spans="2:18" ht="28.5" customHeight="1" x14ac:dyDescent="0.2">
      <c r="B179" s="1270" t="str">
        <f>"per 31/12/"&amp;$N$13</f>
        <v>per 31/12/2022</v>
      </c>
      <c r="C179" s="1271"/>
      <c r="D179" s="1271"/>
      <c r="E179" s="1272"/>
      <c r="F179" s="314"/>
      <c r="G179" s="565">
        <f t="shared" si="18"/>
        <v>0</v>
      </c>
      <c r="H179" s="565">
        <f t="shared" si="19"/>
        <v>0</v>
      </c>
      <c r="I179" s="565">
        <f>+I178+I82</f>
        <v>0</v>
      </c>
      <c r="J179" s="565">
        <f>+J178+J82</f>
        <v>0</v>
      </c>
      <c r="K179" s="565">
        <f>+K178+K82</f>
        <v>0</v>
      </c>
      <c r="L179" s="565">
        <f>+L178+L82</f>
        <v>0</v>
      </c>
      <c r="M179" s="565"/>
      <c r="N179" s="565"/>
      <c r="O179" s="565"/>
      <c r="P179" s="565"/>
      <c r="Q179" s="845"/>
      <c r="R179" s="994">
        <f>SUM(G179:P179)</f>
        <v>0</v>
      </c>
    </row>
    <row r="180" spans="2:18" ht="28.5" customHeight="1" x14ac:dyDescent="0.2">
      <c r="B180" s="1270" t="str">
        <f>"per 31/12/"&amp;$O$13</f>
        <v>per 31/12/2023</v>
      </c>
      <c r="C180" s="1271"/>
      <c r="D180" s="1271"/>
      <c r="E180" s="1272"/>
      <c r="F180" s="314"/>
      <c r="G180" s="565"/>
      <c r="H180" s="565"/>
      <c r="I180" s="565"/>
      <c r="J180" s="565"/>
      <c r="K180" s="565"/>
      <c r="L180" s="565">
        <f>+L179+L83</f>
        <v>0</v>
      </c>
      <c r="M180" s="565"/>
      <c r="N180" s="565"/>
      <c r="O180" s="565"/>
      <c r="P180" s="565"/>
      <c r="Q180" s="845"/>
      <c r="R180" s="994">
        <f>SUM(G180:P180)</f>
        <v>0</v>
      </c>
    </row>
    <row r="181" spans="2:18" ht="28.5" customHeight="1" x14ac:dyDescent="0.2">
      <c r="B181" s="1270" t="str">
        <f>"per 31/12/"&amp;$P$13</f>
        <v>per 31/12/2024</v>
      </c>
      <c r="C181" s="1271"/>
      <c r="D181" s="1271"/>
      <c r="E181" s="1272"/>
      <c r="F181" s="314"/>
      <c r="G181" s="565"/>
      <c r="H181" s="565"/>
      <c r="I181" s="565"/>
      <c r="J181" s="565"/>
      <c r="K181" s="565"/>
      <c r="L181" s="565"/>
      <c r="M181" s="565"/>
      <c r="N181" s="565"/>
      <c r="O181" s="565"/>
      <c r="P181" s="565"/>
      <c r="Q181" s="845"/>
      <c r="R181" s="994"/>
    </row>
    <row r="182" spans="2:18" ht="26.25" customHeight="1" x14ac:dyDescent="0.2">
      <c r="B182" s="1282" t="s">
        <v>118</v>
      </c>
      <c r="C182" s="1283"/>
      <c r="D182" s="1283"/>
      <c r="E182" s="1284"/>
      <c r="F182" s="168"/>
      <c r="G182" s="992"/>
      <c r="H182" s="992"/>
      <c r="I182" s="992"/>
      <c r="J182" s="992"/>
      <c r="K182" s="992"/>
      <c r="L182" s="992"/>
      <c r="M182" s="992"/>
      <c r="N182" s="993"/>
      <c r="O182" s="993"/>
      <c r="P182" s="993"/>
      <c r="R182" s="992"/>
    </row>
    <row r="183" spans="2:18" ht="28.5" customHeight="1" x14ac:dyDescent="0.2">
      <c r="B183" s="1267" t="str">
        <f>"per 31/12/"&amp;$G$13</f>
        <v>per 31/12/2015</v>
      </c>
      <c r="C183" s="1268"/>
      <c r="D183" s="1268"/>
      <c r="E183" s="1269"/>
      <c r="F183" s="168"/>
      <c r="G183" s="255">
        <f>+G$20+G86</f>
        <v>0</v>
      </c>
      <c r="H183" s="255"/>
      <c r="I183" s="255"/>
      <c r="J183" s="255"/>
      <c r="K183" s="255"/>
      <c r="L183" s="255"/>
      <c r="M183" s="255"/>
      <c r="N183" s="565"/>
      <c r="O183" s="565"/>
      <c r="P183" s="565"/>
      <c r="R183" s="991">
        <f t="shared" si="11"/>
        <v>0</v>
      </c>
    </row>
    <row r="184" spans="2:18" ht="28.5" customHeight="1" x14ac:dyDescent="0.2">
      <c r="B184" s="1267" t="str">
        <f>"per 31/12/"&amp;$H$13</f>
        <v>per 31/12/2016</v>
      </c>
      <c r="C184" s="1268"/>
      <c r="D184" s="1268"/>
      <c r="E184" s="1269"/>
      <c r="F184" s="168"/>
      <c r="G184" s="255">
        <f t="shared" ref="G184:G190" si="20">G183+G87</f>
        <v>0</v>
      </c>
      <c r="H184" s="255">
        <f>+H$20+H87</f>
        <v>0</v>
      </c>
      <c r="I184" s="255"/>
      <c r="J184" s="255"/>
      <c r="K184" s="255"/>
      <c r="L184" s="255"/>
      <c r="M184" s="255"/>
      <c r="N184" s="565"/>
      <c r="O184" s="565"/>
      <c r="P184" s="565"/>
      <c r="R184" s="991">
        <f t="shared" si="11"/>
        <v>0</v>
      </c>
    </row>
    <row r="185" spans="2:18" ht="28.5" customHeight="1" x14ac:dyDescent="0.2">
      <c r="B185" s="1267" t="str">
        <f>"per 31/12/"&amp;$I$13</f>
        <v>per 31/12/2017</v>
      </c>
      <c r="C185" s="1268"/>
      <c r="D185" s="1268"/>
      <c r="E185" s="1269"/>
      <c r="F185" s="168"/>
      <c r="G185" s="255">
        <f t="shared" si="20"/>
        <v>0</v>
      </c>
      <c r="H185" s="255">
        <f t="shared" ref="H185:H190" si="21">H184+H88</f>
        <v>0</v>
      </c>
      <c r="I185" s="255">
        <f>+I$20+I88</f>
        <v>0</v>
      </c>
      <c r="J185" s="255"/>
      <c r="K185" s="255"/>
      <c r="L185" s="255"/>
      <c r="M185" s="255"/>
      <c r="N185" s="565"/>
      <c r="O185" s="565"/>
      <c r="P185" s="565"/>
      <c r="R185" s="991">
        <f t="shared" si="11"/>
        <v>0</v>
      </c>
    </row>
    <row r="186" spans="2:18" ht="28.5" customHeight="1" x14ac:dyDescent="0.2">
      <c r="B186" s="1267" t="str">
        <f>"per 31/12/"&amp;$J$13</f>
        <v>per 31/12/2018</v>
      </c>
      <c r="C186" s="1268"/>
      <c r="D186" s="1268"/>
      <c r="E186" s="1269"/>
      <c r="F186" s="168"/>
      <c r="G186" s="255">
        <f t="shared" si="20"/>
        <v>0</v>
      </c>
      <c r="H186" s="255">
        <f t="shared" si="21"/>
        <v>0</v>
      </c>
      <c r="I186" s="255">
        <f>I185+I89</f>
        <v>0</v>
      </c>
      <c r="J186" s="255">
        <f>+J$20+J89</f>
        <v>0</v>
      </c>
      <c r="K186" s="255"/>
      <c r="L186" s="255"/>
      <c r="M186" s="255"/>
      <c r="N186" s="565"/>
      <c r="O186" s="565"/>
      <c r="P186" s="565"/>
      <c r="R186" s="991">
        <f t="shared" si="11"/>
        <v>0</v>
      </c>
    </row>
    <row r="187" spans="2:18" ht="28.5" customHeight="1" x14ac:dyDescent="0.2">
      <c r="B187" s="1267" t="str">
        <f>"per 31/12/"&amp;$K$13</f>
        <v>per 31/12/2019</v>
      </c>
      <c r="C187" s="1268"/>
      <c r="D187" s="1268"/>
      <c r="E187" s="1269"/>
      <c r="F187" s="168"/>
      <c r="G187" s="255">
        <f t="shared" si="20"/>
        <v>0</v>
      </c>
      <c r="H187" s="255">
        <f t="shared" si="21"/>
        <v>0</v>
      </c>
      <c r="I187" s="255">
        <f>I186+I90</f>
        <v>0</v>
      </c>
      <c r="J187" s="255">
        <f>J186+J90</f>
        <v>0</v>
      </c>
      <c r="K187" s="255">
        <f>+K$20+K90</f>
        <v>0</v>
      </c>
      <c r="L187" s="255"/>
      <c r="M187" s="255"/>
      <c r="N187" s="565"/>
      <c r="O187" s="565"/>
      <c r="P187" s="565"/>
      <c r="R187" s="991">
        <f t="shared" si="11"/>
        <v>0</v>
      </c>
    </row>
    <row r="188" spans="2:18" ht="28.5" customHeight="1" x14ac:dyDescent="0.2">
      <c r="B188" s="1267" t="str">
        <f>"per 31/12/"&amp;$L$13</f>
        <v>per 31/12/2020</v>
      </c>
      <c r="C188" s="1268"/>
      <c r="D188" s="1268"/>
      <c r="E188" s="1269"/>
      <c r="F188" s="168"/>
      <c r="G188" s="255">
        <f t="shared" si="20"/>
        <v>0</v>
      </c>
      <c r="H188" s="255">
        <f t="shared" si="21"/>
        <v>0</v>
      </c>
      <c r="I188" s="255">
        <f>I187+I91</f>
        <v>0</v>
      </c>
      <c r="J188" s="255">
        <f>J187+J91</f>
        <v>0</v>
      </c>
      <c r="K188" s="255">
        <f>K187+K91</f>
        <v>0</v>
      </c>
      <c r="L188" s="255">
        <f>+L$20+L91</f>
        <v>0</v>
      </c>
      <c r="M188" s="255"/>
      <c r="N188" s="565"/>
      <c r="O188" s="565"/>
      <c r="P188" s="565"/>
      <c r="R188" s="991">
        <f t="shared" si="11"/>
        <v>0</v>
      </c>
    </row>
    <row r="189" spans="2:18" ht="28.5" customHeight="1" x14ac:dyDescent="0.2">
      <c r="B189" s="1267" t="str">
        <f>"per 31/12/"&amp;$M$13</f>
        <v>per 31/12/2021</v>
      </c>
      <c r="C189" s="1268"/>
      <c r="D189" s="1268"/>
      <c r="E189" s="1269"/>
      <c r="F189" s="168"/>
      <c r="G189" s="255">
        <f t="shared" si="20"/>
        <v>0</v>
      </c>
      <c r="H189" s="255">
        <f t="shared" si="21"/>
        <v>0</v>
      </c>
      <c r="I189" s="255">
        <f>I188+I92</f>
        <v>0</v>
      </c>
      <c r="J189" s="255">
        <f>J188+J92</f>
        <v>0</v>
      </c>
      <c r="K189" s="255">
        <f>K188+K92</f>
        <v>0</v>
      </c>
      <c r="L189" s="255">
        <f>L188+L92</f>
        <v>0</v>
      </c>
      <c r="M189" s="255">
        <f>+M$20+M92</f>
        <v>0</v>
      </c>
      <c r="N189" s="565"/>
      <c r="O189" s="565"/>
      <c r="P189" s="565"/>
      <c r="R189" s="991">
        <f t="shared" si="11"/>
        <v>0</v>
      </c>
    </row>
    <row r="190" spans="2:18" ht="28.5" customHeight="1" x14ac:dyDescent="0.2">
      <c r="B190" s="1270" t="str">
        <f>"per 31/12/"&amp;$N$13</f>
        <v>per 31/12/2022</v>
      </c>
      <c r="C190" s="1271"/>
      <c r="D190" s="1271"/>
      <c r="E190" s="1272"/>
      <c r="F190" s="314"/>
      <c r="G190" s="565">
        <f t="shared" si="20"/>
        <v>0</v>
      </c>
      <c r="H190" s="565">
        <f t="shared" si="21"/>
        <v>0</v>
      </c>
      <c r="I190" s="565">
        <f>I189+I93</f>
        <v>0</v>
      </c>
      <c r="J190" s="565">
        <f>J189+J93</f>
        <v>0</v>
      </c>
      <c r="K190" s="565">
        <f>K189+K93</f>
        <v>0</v>
      </c>
      <c r="L190" s="565">
        <f>L189+L93</f>
        <v>0</v>
      </c>
      <c r="M190" s="565">
        <f>M189+M93</f>
        <v>0</v>
      </c>
      <c r="N190" s="565">
        <f>+N$20+N93</f>
        <v>0</v>
      </c>
      <c r="O190" s="565"/>
      <c r="P190" s="565"/>
      <c r="Q190" s="845"/>
      <c r="R190" s="994">
        <f t="shared" si="11"/>
        <v>0</v>
      </c>
    </row>
    <row r="191" spans="2:18" ht="28.5" customHeight="1" x14ac:dyDescent="0.2">
      <c r="B191" s="1270" t="str">
        <f>"per 31/12/"&amp;$O$13</f>
        <v>per 31/12/2023</v>
      </c>
      <c r="C191" s="1271"/>
      <c r="D191" s="1271"/>
      <c r="E191" s="1272"/>
      <c r="F191" s="314"/>
      <c r="G191" s="565"/>
      <c r="H191" s="565"/>
      <c r="I191" s="565"/>
      <c r="J191" s="565"/>
      <c r="K191" s="565"/>
      <c r="L191" s="565">
        <f>L190+L94</f>
        <v>0</v>
      </c>
      <c r="M191" s="565">
        <f>M190+M94</f>
        <v>0</v>
      </c>
      <c r="N191" s="565">
        <f>N190+N94</f>
        <v>0</v>
      </c>
      <c r="O191" s="565">
        <f>+O$20+O94</f>
        <v>0</v>
      </c>
      <c r="P191" s="565"/>
      <c r="Q191" s="845"/>
      <c r="R191" s="994">
        <f t="shared" si="11"/>
        <v>0</v>
      </c>
    </row>
    <row r="192" spans="2:18" ht="28.5" customHeight="1" x14ac:dyDescent="0.2">
      <c r="B192" s="1270" t="str">
        <f>"per 31/12/"&amp;$P$13</f>
        <v>per 31/12/2024</v>
      </c>
      <c r="C192" s="1271"/>
      <c r="D192" s="1271"/>
      <c r="E192" s="1272"/>
      <c r="F192" s="314"/>
      <c r="G192" s="565"/>
      <c r="H192" s="565"/>
      <c r="I192" s="565"/>
      <c r="J192" s="565"/>
      <c r="K192" s="565"/>
      <c r="L192" s="565"/>
      <c r="M192" s="565">
        <f>M191+M95</f>
        <v>0</v>
      </c>
      <c r="N192" s="565">
        <f>N191+N95</f>
        <v>0</v>
      </c>
      <c r="O192" s="565">
        <f>O191+O95</f>
        <v>0</v>
      </c>
      <c r="P192" s="565">
        <f>+P$20+P95</f>
        <v>0</v>
      </c>
      <c r="Q192" s="845"/>
      <c r="R192" s="994">
        <f t="shared" ref="R192" si="22">SUM(G192:P192)</f>
        <v>0</v>
      </c>
    </row>
    <row r="193" spans="1:18" ht="33" customHeight="1" x14ac:dyDescent="0.2">
      <c r="B193" s="1282" t="s">
        <v>68</v>
      </c>
      <c r="C193" s="1283"/>
      <c r="D193" s="1283"/>
      <c r="E193" s="1284"/>
      <c r="F193" s="168"/>
      <c r="G193" s="992"/>
      <c r="H193" s="992"/>
      <c r="I193" s="992"/>
      <c r="J193" s="992"/>
      <c r="K193" s="992"/>
      <c r="L193" s="992"/>
      <c r="M193" s="992"/>
      <c r="N193" s="993"/>
      <c r="O193" s="993"/>
      <c r="P193" s="993"/>
      <c r="R193" s="992"/>
    </row>
    <row r="194" spans="1:18" ht="28.5" customHeight="1" x14ac:dyDescent="0.2">
      <c r="B194" s="1267" t="str">
        <f>"per 31/12/"&amp;$G$13</f>
        <v>per 31/12/2015</v>
      </c>
      <c r="C194" s="1268"/>
      <c r="D194" s="1268"/>
      <c r="E194" s="1269"/>
      <c r="F194" s="168"/>
      <c r="G194" s="999">
        <f>+G$21+G97</f>
        <v>0</v>
      </c>
      <c r="H194" s="255"/>
      <c r="I194" s="255"/>
      <c r="J194" s="255"/>
      <c r="K194" s="255"/>
      <c r="L194" s="255"/>
      <c r="M194" s="255"/>
      <c r="N194" s="565"/>
      <c r="O194" s="565"/>
      <c r="P194" s="565"/>
      <c r="R194" s="991">
        <f t="shared" ref="R194:R203" si="23">SUM(G194:P194)</f>
        <v>0</v>
      </c>
    </row>
    <row r="195" spans="1:18" ht="28.5" customHeight="1" x14ac:dyDescent="0.2">
      <c r="B195" s="1267" t="str">
        <f>"per 31/12/"&amp;$H$13</f>
        <v>per 31/12/2016</v>
      </c>
      <c r="C195" s="1268"/>
      <c r="D195" s="1268"/>
      <c r="E195" s="1269"/>
      <c r="F195" s="168"/>
      <c r="G195" s="255">
        <f t="shared" ref="G195:G201" si="24">+G194+G98</f>
        <v>0</v>
      </c>
      <c r="H195" s="255">
        <f>+H$21+H98</f>
        <v>0</v>
      </c>
      <c r="I195" s="255"/>
      <c r="J195" s="255"/>
      <c r="K195" s="255"/>
      <c r="L195" s="255"/>
      <c r="M195" s="255"/>
      <c r="N195" s="565"/>
      <c r="O195" s="565"/>
      <c r="P195" s="565"/>
      <c r="R195" s="991">
        <f t="shared" si="23"/>
        <v>0</v>
      </c>
    </row>
    <row r="196" spans="1:18" ht="28.5" customHeight="1" x14ac:dyDescent="0.2">
      <c r="B196" s="1267" t="str">
        <f>"per 31/12/"&amp;$I$13</f>
        <v>per 31/12/2017</v>
      </c>
      <c r="C196" s="1268"/>
      <c r="D196" s="1268"/>
      <c r="E196" s="1269"/>
      <c r="F196" s="168"/>
      <c r="G196" s="255">
        <f t="shared" si="24"/>
        <v>0</v>
      </c>
      <c r="H196" s="255">
        <f t="shared" ref="H196:H201" si="25">+H195+H99</f>
        <v>0</v>
      </c>
      <c r="I196" s="255">
        <f>+I$21+I99</f>
        <v>0</v>
      </c>
      <c r="J196" s="255"/>
      <c r="K196" s="255"/>
      <c r="L196" s="255"/>
      <c r="M196" s="255"/>
      <c r="N196" s="565"/>
      <c r="O196" s="565"/>
      <c r="P196" s="565"/>
      <c r="R196" s="991">
        <f t="shared" si="23"/>
        <v>0</v>
      </c>
    </row>
    <row r="197" spans="1:18" ht="28.5" customHeight="1" x14ac:dyDescent="0.2">
      <c r="B197" s="1267" t="str">
        <f>"per 31/12/"&amp;$J$13</f>
        <v>per 31/12/2018</v>
      </c>
      <c r="C197" s="1268"/>
      <c r="D197" s="1268"/>
      <c r="E197" s="1269"/>
      <c r="F197" s="168"/>
      <c r="G197" s="255">
        <f t="shared" si="24"/>
        <v>0</v>
      </c>
      <c r="H197" s="255">
        <f t="shared" si="25"/>
        <v>0</v>
      </c>
      <c r="I197" s="255">
        <f>+I196+I100</f>
        <v>0</v>
      </c>
      <c r="J197" s="255">
        <f>+J$21+J100</f>
        <v>0</v>
      </c>
      <c r="K197" s="255"/>
      <c r="L197" s="255"/>
      <c r="M197" s="255"/>
      <c r="N197" s="565"/>
      <c r="O197" s="565"/>
      <c r="P197" s="565"/>
      <c r="R197" s="991">
        <f t="shared" si="23"/>
        <v>0</v>
      </c>
    </row>
    <row r="198" spans="1:18" ht="28.5" customHeight="1" x14ac:dyDescent="0.2">
      <c r="B198" s="1267" t="str">
        <f>"per 31/12/"&amp;$K$13</f>
        <v>per 31/12/2019</v>
      </c>
      <c r="C198" s="1268"/>
      <c r="D198" s="1268"/>
      <c r="E198" s="1269"/>
      <c r="F198" s="168"/>
      <c r="G198" s="255">
        <f t="shared" si="24"/>
        <v>0</v>
      </c>
      <c r="H198" s="255">
        <f t="shared" si="25"/>
        <v>0</v>
      </c>
      <c r="I198" s="255">
        <f>+I197+I101</f>
        <v>0</v>
      </c>
      <c r="J198" s="255">
        <f>+J197+J101</f>
        <v>0</v>
      </c>
      <c r="K198" s="255">
        <f>+K$21+K101</f>
        <v>0</v>
      </c>
      <c r="L198" s="255"/>
      <c r="M198" s="255"/>
      <c r="N198" s="565"/>
      <c r="O198" s="565"/>
      <c r="P198" s="565"/>
      <c r="R198" s="991">
        <f t="shared" si="23"/>
        <v>0</v>
      </c>
    </row>
    <row r="199" spans="1:18" ht="28.5" customHeight="1" x14ac:dyDescent="0.2">
      <c r="B199" s="1267" t="str">
        <f>"per 31/12/"&amp;$L$13</f>
        <v>per 31/12/2020</v>
      </c>
      <c r="C199" s="1268"/>
      <c r="D199" s="1268"/>
      <c r="E199" s="1269"/>
      <c r="F199" s="168"/>
      <c r="G199" s="255">
        <f t="shared" si="24"/>
        <v>0</v>
      </c>
      <c r="H199" s="255">
        <f t="shared" si="25"/>
        <v>0</v>
      </c>
      <c r="I199" s="255">
        <f>+I198+I102</f>
        <v>0</v>
      </c>
      <c r="J199" s="255">
        <f>+J198+J102</f>
        <v>0</v>
      </c>
      <c r="K199" s="255">
        <f>+K198+K102</f>
        <v>0</v>
      </c>
      <c r="L199" s="255">
        <f>+L$21+L102</f>
        <v>0</v>
      </c>
      <c r="M199" s="255"/>
      <c r="N199" s="565"/>
      <c r="O199" s="565"/>
      <c r="P199" s="565"/>
      <c r="R199" s="991">
        <f t="shared" si="23"/>
        <v>0</v>
      </c>
    </row>
    <row r="200" spans="1:18" ht="28.5" customHeight="1" x14ac:dyDescent="0.2">
      <c r="B200" s="1267" t="str">
        <f>"per 31/12/"&amp;$M$13</f>
        <v>per 31/12/2021</v>
      </c>
      <c r="C200" s="1268"/>
      <c r="D200" s="1268"/>
      <c r="E200" s="1269"/>
      <c r="F200" s="168"/>
      <c r="G200" s="255">
        <f t="shared" si="24"/>
        <v>0</v>
      </c>
      <c r="H200" s="255">
        <f t="shared" si="25"/>
        <v>0</v>
      </c>
      <c r="I200" s="255">
        <f>+I199+I103</f>
        <v>0</v>
      </c>
      <c r="J200" s="255">
        <f>+J199+J103</f>
        <v>0</v>
      </c>
      <c r="K200" s="255">
        <f>+K199+K103</f>
        <v>0</v>
      </c>
      <c r="L200" s="255">
        <f>+L199+L103</f>
        <v>0</v>
      </c>
      <c r="M200" s="255">
        <f>+M$21+M103</f>
        <v>0</v>
      </c>
      <c r="N200" s="565"/>
      <c r="O200" s="565"/>
      <c r="P200" s="565"/>
      <c r="R200" s="991">
        <f t="shared" si="23"/>
        <v>0</v>
      </c>
    </row>
    <row r="201" spans="1:18" ht="28.5" customHeight="1" x14ac:dyDescent="0.2">
      <c r="B201" s="1270" t="str">
        <f>"per 31/12/"&amp;$N$13</f>
        <v>per 31/12/2022</v>
      </c>
      <c r="C201" s="1271"/>
      <c r="D201" s="1271"/>
      <c r="E201" s="1272"/>
      <c r="F201" s="314"/>
      <c r="G201" s="565">
        <f t="shared" si="24"/>
        <v>0</v>
      </c>
      <c r="H201" s="565">
        <f t="shared" si="25"/>
        <v>0</v>
      </c>
      <c r="I201" s="565">
        <f>+I200+I104</f>
        <v>0</v>
      </c>
      <c r="J201" s="565">
        <f>+J200+J104</f>
        <v>0</v>
      </c>
      <c r="K201" s="565">
        <f>+K200+K104</f>
        <v>0</v>
      </c>
      <c r="L201" s="565">
        <f>+L200+L104</f>
        <v>0</v>
      </c>
      <c r="M201" s="565">
        <f>+M200+M104</f>
        <v>0</v>
      </c>
      <c r="N201" s="565">
        <f>+N$21+N104</f>
        <v>0</v>
      </c>
      <c r="O201" s="565"/>
      <c r="P201" s="565"/>
      <c r="Q201" s="845"/>
      <c r="R201" s="994">
        <f t="shared" si="23"/>
        <v>0</v>
      </c>
    </row>
    <row r="202" spans="1:18" ht="28.5" customHeight="1" x14ac:dyDescent="0.2">
      <c r="B202" s="1270" t="str">
        <f>"per 31/12/"&amp;$O$13</f>
        <v>per 31/12/2023</v>
      </c>
      <c r="C202" s="1271"/>
      <c r="D202" s="1271"/>
      <c r="E202" s="1272"/>
      <c r="F202" s="314"/>
      <c r="G202" s="565"/>
      <c r="H202" s="565"/>
      <c r="I202" s="565"/>
      <c r="J202" s="565"/>
      <c r="K202" s="565"/>
      <c r="L202" s="565">
        <f>+L201+L105</f>
        <v>0</v>
      </c>
      <c r="M202" s="565">
        <f>+M201+M105</f>
        <v>0</v>
      </c>
      <c r="N202" s="565">
        <f>+N201+N105</f>
        <v>0</v>
      </c>
      <c r="O202" s="565">
        <f>+O$21+O105</f>
        <v>0</v>
      </c>
      <c r="P202" s="565"/>
      <c r="Q202" s="845"/>
      <c r="R202" s="994">
        <f t="shared" si="23"/>
        <v>0</v>
      </c>
    </row>
    <row r="203" spans="1:18" ht="28.5" customHeight="1" x14ac:dyDescent="0.2">
      <c r="B203" s="1270" t="str">
        <f>"per 31/12/"&amp;$P$13</f>
        <v>per 31/12/2024</v>
      </c>
      <c r="C203" s="1271"/>
      <c r="D203" s="1271"/>
      <c r="E203" s="1272"/>
      <c r="F203" s="314"/>
      <c r="G203" s="565"/>
      <c r="H203" s="565"/>
      <c r="I203" s="565"/>
      <c r="J203" s="565"/>
      <c r="K203" s="565"/>
      <c r="L203" s="565"/>
      <c r="M203" s="565">
        <f>+M202+M106</f>
        <v>0</v>
      </c>
      <c r="N203" s="565">
        <f>+N202+N106</f>
        <v>0</v>
      </c>
      <c r="O203" s="565">
        <f>+O202+O106</f>
        <v>0</v>
      </c>
      <c r="P203" s="565">
        <f>+P$21+P106</f>
        <v>0</v>
      </c>
      <c r="Q203" s="845"/>
      <c r="R203" s="994">
        <f t="shared" si="23"/>
        <v>0</v>
      </c>
    </row>
    <row r="204" spans="1:18" x14ac:dyDescent="0.2">
      <c r="G204" s="306"/>
      <c r="H204" s="306"/>
      <c r="I204" s="306"/>
      <c r="J204" s="306"/>
      <c r="K204" s="306"/>
      <c r="L204" s="306"/>
      <c r="M204" s="306"/>
      <c r="N204" s="839"/>
      <c r="O204" s="839"/>
      <c r="P204" s="839"/>
      <c r="R204" s="307"/>
    </row>
    <row r="205" spans="1:18" s="224" customFormat="1" x14ac:dyDescent="0.2">
      <c r="B205" s="315"/>
      <c r="C205" s="316"/>
      <c r="D205" s="316"/>
      <c r="E205" s="317"/>
      <c r="F205" s="283"/>
      <c r="G205" s="975">
        <v>2015</v>
      </c>
      <c r="H205" s="166">
        <f>+G205+1</f>
        <v>2016</v>
      </c>
      <c r="I205" s="166">
        <f>+H205+1</f>
        <v>2017</v>
      </c>
      <c r="J205" s="166">
        <f>+I205+1</f>
        <v>2018</v>
      </c>
      <c r="K205" s="166">
        <f>+J205+1</f>
        <v>2019</v>
      </c>
      <c r="L205" s="166">
        <f t="shared" ref="L205:P205" si="26">+K205+1</f>
        <v>2020</v>
      </c>
      <c r="M205" s="166">
        <f t="shared" si="26"/>
        <v>2021</v>
      </c>
      <c r="N205" s="837">
        <f t="shared" si="26"/>
        <v>2022</v>
      </c>
      <c r="O205" s="837">
        <f t="shared" si="26"/>
        <v>2023</v>
      </c>
      <c r="P205" s="837">
        <f t="shared" si="26"/>
        <v>2024</v>
      </c>
      <c r="Q205" s="209"/>
      <c r="R205" s="166" t="s">
        <v>20</v>
      </c>
    </row>
    <row r="206" spans="1:18" ht="20.25" customHeight="1" x14ac:dyDescent="0.2">
      <c r="B206" s="1286" t="s">
        <v>158</v>
      </c>
      <c r="C206" s="1287"/>
      <c r="D206" s="1287"/>
      <c r="E206" s="1288"/>
      <c r="F206" s="170"/>
      <c r="G206" s="171"/>
      <c r="H206" s="171"/>
      <c r="I206" s="171"/>
      <c r="J206" s="171"/>
      <c r="K206" s="171"/>
      <c r="L206" s="171"/>
      <c r="M206" s="171"/>
      <c r="N206" s="843"/>
      <c r="O206" s="843"/>
      <c r="P206" s="843"/>
      <c r="R206" s="171"/>
    </row>
    <row r="207" spans="1:18" ht="28.5" customHeight="1" x14ac:dyDescent="0.2">
      <c r="A207" s="209">
        <v>2015</v>
      </c>
      <c r="B207" s="1273" t="str">
        <f>"per 31/12/"&amp;$G$13</f>
        <v>per 31/12/2015</v>
      </c>
      <c r="C207" s="1274"/>
      <c r="D207" s="1274"/>
      <c r="E207" s="1275"/>
      <c r="F207" s="318"/>
      <c r="G207" s="995">
        <f t="shared" ref="G207:G214" si="27">SUMIFS(G$128:G$203,$B$128:$B$203,$B207)</f>
        <v>0</v>
      </c>
      <c r="H207" s="995"/>
      <c r="I207" s="995"/>
      <c r="J207" s="995"/>
      <c r="K207" s="995"/>
      <c r="L207" s="995"/>
      <c r="M207" s="995"/>
      <c r="N207" s="996"/>
      <c r="O207" s="996"/>
      <c r="P207" s="996"/>
      <c r="R207" s="997">
        <f t="shared" ref="R207:R216" si="28">SUMIFS(R$128:R$203,$B$128:$B$203,$B207)</f>
        <v>0</v>
      </c>
    </row>
    <row r="208" spans="1:18" ht="28.5" customHeight="1" x14ac:dyDescent="0.2">
      <c r="A208" s="209">
        <v>2016</v>
      </c>
      <c r="B208" s="1273" t="str">
        <f>"per 31/12/"&amp;$H$13</f>
        <v>per 31/12/2016</v>
      </c>
      <c r="C208" s="1274"/>
      <c r="D208" s="1274"/>
      <c r="E208" s="1275"/>
      <c r="F208" s="318"/>
      <c r="G208" s="995">
        <f t="shared" si="27"/>
        <v>0</v>
      </c>
      <c r="H208" s="995">
        <f t="shared" ref="H208:H214" si="29">SUMIFS(H$128:H$203,$B$128:$B$203,$B208)</f>
        <v>0</v>
      </c>
      <c r="I208" s="995"/>
      <c r="J208" s="995"/>
      <c r="K208" s="995"/>
      <c r="L208" s="995"/>
      <c r="M208" s="995"/>
      <c r="N208" s="996"/>
      <c r="O208" s="996"/>
      <c r="P208" s="996"/>
      <c r="R208" s="997">
        <f t="shared" si="28"/>
        <v>0</v>
      </c>
    </row>
    <row r="209" spans="1:18" ht="28.5" customHeight="1" x14ac:dyDescent="0.2">
      <c r="A209" s="209">
        <v>2017</v>
      </c>
      <c r="B209" s="1273" t="str">
        <f>"per 31/12/"&amp;$I$13</f>
        <v>per 31/12/2017</v>
      </c>
      <c r="C209" s="1274"/>
      <c r="D209" s="1274"/>
      <c r="E209" s="1275"/>
      <c r="F209" s="318"/>
      <c r="G209" s="995">
        <f t="shared" si="27"/>
        <v>0</v>
      </c>
      <c r="H209" s="995">
        <f t="shared" si="29"/>
        <v>0</v>
      </c>
      <c r="I209" s="995">
        <f t="shared" ref="I209:I214" si="30">SUMIFS(I$128:I$203,$B$128:$B$203,$B209)</f>
        <v>0</v>
      </c>
      <c r="J209" s="995"/>
      <c r="K209" s="995"/>
      <c r="L209" s="995"/>
      <c r="M209" s="995"/>
      <c r="N209" s="996"/>
      <c r="O209" s="996"/>
      <c r="P209" s="996"/>
      <c r="R209" s="997">
        <f t="shared" si="28"/>
        <v>0</v>
      </c>
    </row>
    <row r="210" spans="1:18" ht="28.5" customHeight="1" x14ac:dyDescent="0.2">
      <c r="A210" s="209">
        <v>2018</v>
      </c>
      <c r="B210" s="1273" t="str">
        <f>"per 31/12/"&amp;$J$13</f>
        <v>per 31/12/2018</v>
      </c>
      <c r="C210" s="1274"/>
      <c r="D210" s="1274"/>
      <c r="E210" s="1275"/>
      <c r="F210" s="318"/>
      <c r="G210" s="995">
        <f t="shared" si="27"/>
        <v>0</v>
      </c>
      <c r="H210" s="995">
        <f t="shared" si="29"/>
        <v>0</v>
      </c>
      <c r="I210" s="995">
        <f t="shared" si="30"/>
        <v>0</v>
      </c>
      <c r="J210" s="995">
        <f>SUMIFS(J$128:J$203,$B$128:$B$203,$B210)</f>
        <v>0</v>
      </c>
      <c r="K210" s="995"/>
      <c r="L210" s="995"/>
      <c r="M210" s="995"/>
      <c r="N210" s="996"/>
      <c r="O210" s="996"/>
      <c r="P210" s="996"/>
      <c r="R210" s="997">
        <f t="shared" si="28"/>
        <v>0</v>
      </c>
    </row>
    <row r="211" spans="1:18" ht="28.5" customHeight="1" x14ac:dyDescent="0.2">
      <c r="A211" s="209">
        <v>2019</v>
      </c>
      <c r="B211" s="1273" t="str">
        <f>"per 31/12/"&amp;$K$13</f>
        <v>per 31/12/2019</v>
      </c>
      <c r="C211" s="1274"/>
      <c r="D211" s="1274"/>
      <c r="E211" s="1275"/>
      <c r="F211" s="318"/>
      <c r="G211" s="995">
        <f t="shared" si="27"/>
        <v>0</v>
      </c>
      <c r="H211" s="995">
        <f t="shared" si="29"/>
        <v>0</v>
      </c>
      <c r="I211" s="995">
        <f t="shared" si="30"/>
        <v>0</v>
      </c>
      <c r="J211" s="995">
        <f>SUMIFS(J$128:J$203,$B$128:$B$203,$B211)</f>
        <v>0</v>
      </c>
      <c r="K211" s="995">
        <f>SUMIFS(K$128:K$203,$B$128:$B$203,$B211)</f>
        <v>0</v>
      </c>
      <c r="L211" s="995"/>
      <c r="M211" s="995"/>
      <c r="N211" s="996"/>
      <c r="O211" s="996"/>
      <c r="P211" s="996"/>
      <c r="R211" s="997">
        <f t="shared" si="28"/>
        <v>0</v>
      </c>
    </row>
    <row r="212" spans="1:18" ht="28.5" customHeight="1" x14ac:dyDescent="0.2">
      <c r="A212" s="209">
        <v>2020</v>
      </c>
      <c r="B212" s="1273" t="str">
        <f>"per 31/12/"&amp;$L$13</f>
        <v>per 31/12/2020</v>
      </c>
      <c r="C212" s="1274"/>
      <c r="D212" s="1274"/>
      <c r="E212" s="1275"/>
      <c r="F212" s="318"/>
      <c r="G212" s="995">
        <f t="shared" si="27"/>
        <v>0</v>
      </c>
      <c r="H212" s="995">
        <f t="shared" si="29"/>
        <v>0</v>
      </c>
      <c r="I212" s="995">
        <f t="shared" si="30"/>
        <v>0</v>
      </c>
      <c r="J212" s="995">
        <f>SUMIFS(J$128:J$203,$B$128:$B$203,$B212)</f>
        <v>0</v>
      </c>
      <c r="K212" s="995">
        <f>SUMIFS(K$128:K$203,$B$128:$B$203,$B212)</f>
        <v>0</v>
      </c>
      <c r="L212" s="995">
        <f>SUMIFS(L$128:L$203,$B$128:$B$203,$B212)</f>
        <v>0</v>
      </c>
      <c r="M212" s="995"/>
      <c r="N212" s="996"/>
      <c r="O212" s="996"/>
      <c r="P212" s="996"/>
      <c r="R212" s="997">
        <f t="shared" si="28"/>
        <v>0</v>
      </c>
    </row>
    <row r="213" spans="1:18" ht="28.5" customHeight="1" x14ac:dyDescent="0.2">
      <c r="A213" s="209">
        <v>2021</v>
      </c>
      <c r="B213" s="1273" t="str">
        <f>"per 31/12/"&amp;$M$13</f>
        <v>per 31/12/2021</v>
      </c>
      <c r="C213" s="1274"/>
      <c r="D213" s="1274"/>
      <c r="E213" s="1275"/>
      <c r="F213" s="318"/>
      <c r="G213" s="995">
        <f t="shared" si="27"/>
        <v>0</v>
      </c>
      <c r="H213" s="995">
        <f t="shared" si="29"/>
        <v>0</v>
      </c>
      <c r="I213" s="995">
        <f t="shared" si="30"/>
        <v>0</v>
      </c>
      <c r="J213" s="995">
        <f>SUMIFS(J$128:J$203,$B$128:$B$203,$B213)</f>
        <v>0</v>
      </c>
      <c r="K213" s="995">
        <f>SUMIFS(K$128:K$203,$B$128:$B$203,$B213)</f>
        <v>0</v>
      </c>
      <c r="L213" s="995">
        <f>SUMIFS(L$128:L$203,$B$128:$B$203,$B213)</f>
        <v>0</v>
      </c>
      <c r="M213" s="995">
        <f>SUMIFS(M$128:M$203,$B$128:$B$203,$B213)</f>
        <v>0</v>
      </c>
      <c r="N213" s="996"/>
      <c r="O213" s="996"/>
      <c r="P213" s="996"/>
      <c r="R213" s="997">
        <f t="shared" si="28"/>
        <v>0</v>
      </c>
    </row>
    <row r="214" spans="1:18" ht="28.5" customHeight="1" x14ac:dyDescent="0.2">
      <c r="A214" s="209">
        <v>2022</v>
      </c>
      <c r="B214" s="1276" t="str">
        <f>"per 31/12/"&amp;$N$13</f>
        <v>per 31/12/2022</v>
      </c>
      <c r="C214" s="1277"/>
      <c r="D214" s="1277"/>
      <c r="E214" s="1278"/>
      <c r="F214" s="846"/>
      <c r="G214" s="996">
        <f t="shared" si="27"/>
        <v>0</v>
      </c>
      <c r="H214" s="996">
        <f t="shared" si="29"/>
        <v>0</v>
      </c>
      <c r="I214" s="996">
        <f t="shared" si="30"/>
        <v>0</v>
      </c>
      <c r="J214" s="996">
        <f>SUMIFS(J$128:J$203,$B$128:$B$203,$B214)</f>
        <v>0</v>
      </c>
      <c r="K214" s="996">
        <f>SUMIFS(K$128:K$203,$B$128:$B$203,$B214)</f>
        <v>0</v>
      </c>
      <c r="L214" s="996">
        <f>SUMIFS(L$128:L$203,$B$128:$B$203,$B214)</f>
        <v>0</v>
      </c>
      <c r="M214" s="996">
        <f>SUMIFS(M$128:M$203,$B$128:$B$203,$B214)</f>
        <v>0</v>
      </c>
      <c r="N214" s="996">
        <f>SUMIFS(N$128:N$203,$B$128:$B$203,$B214)</f>
        <v>0</v>
      </c>
      <c r="O214" s="996"/>
      <c r="P214" s="996"/>
      <c r="Q214" s="845"/>
      <c r="R214" s="998">
        <f t="shared" si="28"/>
        <v>0</v>
      </c>
    </row>
    <row r="215" spans="1:18" ht="28.5" customHeight="1" x14ac:dyDescent="0.2">
      <c r="A215" s="209">
        <v>2023</v>
      </c>
      <c r="B215" s="1276" t="str">
        <f>"per 31/12/"&amp;$O$13</f>
        <v>per 31/12/2023</v>
      </c>
      <c r="C215" s="1277"/>
      <c r="D215" s="1277"/>
      <c r="E215" s="1278"/>
      <c r="F215" s="846"/>
      <c r="G215" s="996"/>
      <c r="H215" s="996"/>
      <c r="I215" s="996"/>
      <c r="J215" s="996"/>
      <c r="K215" s="996"/>
      <c r="L215" s="996">
        <f>SUMIFS(L$128:L$203,$B$128:$B$203,$B215)</f>
        <v>0</v>
      </c>
      <c r="M215" s="996">
        <f>SUMIFS(M$128:M$203,$B$128:$B$203,$B215)</f>
        <v>0</v>
      </c>
      <c r="N215" s="996">
        <f>SUMIFS(N$128:N$203,$B$128:$B$203,$B215)</f>
        <v>0</v>
      </c>
      <c r="O215" s="996">
        <f>SUMIFS(O$128:O$203,$B$128:$B$203,$B215)</f>
        <v>0</v>
      </c>
      <c r="P215" s="996"/>
      <c r="Q215" s="845"/>
      <c r="R215" s="998">
        <f t="shared" si="28"/>
        <v>0</v>
      </c>
    </row>
    <row r="216" spans="1:18" ht="28.5" customHeight="1" x14ac:dyDescent="0.2">
      <c r="A216" s="209">
        <v>2024</v>
      </c>
      <c r="B216" s="1276" t="str">
        <f>"per 31/12/"&amp;$P$13</f>
        <v>per 31/12/2024</v>
      </c>
      <c r="C216" s="1277"/>
      <c r="D216" s="1277"/>
      <c r="E216" s="1278"/>
      <c r="F216" s="846"/>
      <c r="G216" s="996"/>
      <c r="H216" s="996"/>
      <c r="I216" s="996"/>
      <c r="J216" s="996"/>
      <c r="K216" s="996"/>
      <c r="L216" s="996"/>
      <c r="M216" s="996">
        <f>SUMIFS(M$128:M$203,$B$128:$B$203,$B216)</f>
        <v>0</v>
      </c>
      <c r="N216" s="996">
        <f>SUMIFS(N$128:N$203,$B$128:$B$203,$B216)</f>
        <v>0</v>
      </c>
      <c r="O216" s="996">
        <f>SUMIFS(O$128:O$203,$B$128:$B$203,$B216)</f>
        <v>0</v>
      </c>
      <c r="P216" s="996">
        <f>SUMIFS(P$128:P$203,$B$128:$B$203,$B216)</f>
        <v>0</v>
      </c>
      <c r="Q216" s="845"/>
      <c r="R216" s="998">
        <f t="shared" si="28"/>
        <v>0</v>
      </c>
    </row>
    <row r="217" spans="1:18" s="224" customFormat="1" x14ac:dyDescent="0.2">
      <c r="B217" s="1292" t="s">
        <v>123</v>
      </c>
      <c r="C217" s="1292"/>
      <c r="D217" s="1292"/>
      <c r="E217" s="1292"/>
      <c r="G217" s="309">
        <f>IF($E$2="ex-ante",(INDEX(G$207:G$216,MATCH($D$2,$A$207:$A$216,0),1))-T5A!C64,IF($E$2="ex-post",(INDEX(G$207:G$216,MATCH($D$2,$A$207:$A$216,0),1))-T5A!C64+SUMIFS(T5A!C$70:C$79,T5A!$B$70:$B$79,$D$2+1),"FOUT"))</f>
        <v>0</v>
      </c>
      <c r="H217" s="309">
        <f>IF($E$2="ex-ante",(INDEX(H$207:H$216,MATCH($D$2,$A$207:$A$216,0),1))-T5A!D64,IF($E$2="ex-post",(INDEX(H$207:H$216,MATCH($D$2,$A$207:$A$216,0),1))-T5A!D64+SUMIFS(T5A!D$70:D$79,T5A!$B$70:$B$79,$D$2+1),"FOUT"))</f>
        <v>0</v>
      </c>
      <c r="I217" s="309">
        <f>IF($E$2="ex-ante",(INDEX(I$207:I$216,MATCH($D$2,$A$207:$A$216,0),1))-T5A!E64,IF($E$2="ex-post",(INDEX(I$207:I$216,MATCH($D$2,$A$207:$A$216,0),1))-T5A!E64+SUMIFS(T5A!E$70:E$79,T5A!$B$70:$B$79,$D$2+1),"FOUT"))</f>
        <v>0</v>
      </c>
      <c r="J217" s="309">
        <f>IF($E$2="ex-ante",(INDEX(J$207:J$216,MATCH($D$2,$A$207:$A$216,0),1))-T5A!F64,IF($E$2="ex-post",(INDEX(J$207:J$216,MATCH($D$2,$A$207:$A$216,0),1))-T5A!F64+SUMIFS(T5A!F$70:F$79,T5A!$B$70:$B$79,$D$2+1),"FOUT"))</f>
        <v>0</v>
      </c>
      <c r="K217" s="309">
        <f>IF($E$2="ex-ante",(INDEX(K$207:K$216,MATCH($D$2,$A$207:$A$216,0),1))-T5A!G64,IF($E$2="ex-post",(INDEX(K$207:K$216,MATCH($D$2,$A$207:$A$216,0),1))-T5A!G64+SUMIFS(T5A!G$70:G$79,T5A!$B$70:$B$79,$D$2+1),"FOUT"))</f>
        <v>0</v>
      </c>
      <c r="L217" s="309">
        <f>IF($E$2="ex-ante",(INDEX(L$207:L$216,MATCH($D$2,$A$207:$A$216,0),1))-T5A!H64,IF($E$2="ex-post",(INDEX(L$207:L$216,MATCH($D$2,$A$207:$A$216,0),1))-T5A!H64+SUMIFS(T5A!H$70:H$79,T5A!$B$70:$B$79,$D$2+1),"FOUT"))</f>
        <v>0</v>
      </c>
      <c r="M217" s="309">
        <f>IF($E$2="ex-ante",(INDEX(M$207:M$216,MATCH($D$2,$A$207:$A$216,0),1))-T5A!I64,IF($E$2="ex-post",(INDEX(M$207:M$216,MATCH($D$2,$A$207:$A$216,0),1))-T5A!I64+SUMIFS(T5A!I$70:I$79,T5A!$B$70:$B$79,$D$2+1),"FOUT"))</f>
        <v>0</v>
      </c>
      <c r="N217" s="841">
        <f>IF($E$2="ex-ante",(INDEX(N$207:N$216,MATCH($D$2,$A$207:$A$216,0),1))-T5A!J64,IF($E$2="ex-post",(INDEX(N$207:N$216,MATCH($D$2,$A$207:$A$216,0),1))-T5A!J64+SUMIFS(T5A!J$70:J$79,T5A!$B$70:$B$79,$D$2+1),"FOUT"))</f>
        <v>0</v>
      </c>
      <c r="O217" s="841">
        <f>IF($E$2="ex-ante",(INDEX(O$207:O$216,MATCH($D$2,$A$207:$A$216,0),1))-T5A!K64,IF($E$2="ex-post",(INDEX(O$207:O$216,MATCH($D$2,$A$207:$A$216,0),1))-T5A!K64+SUMIFS(T5A!K$70:K$79,T5A!$B$70:$B$79,$D$2+1),"FOUT"))</f>
        <v>0</v>
      </c>
      <c r="P217" s="841">
        <f>IF($E$2="ex-ante",(INDEX(P$207:P$216,MATCH($D$2,$A$207:$A$216,0),1))-T5A!L64,IF($E$2="ex-post",(INDEX(P$207:P$216,MATCH($D$2,$A$207:$A$216,0),1))-T5A!L64+SUMIFS(T5A!L$70:L$79,T5A!$B$70:$B$79,$D$2+1),"FOUT"))</f>
        <v>0</v>
      </c>
      <c r="Q217" s="211"/>
      <c r="R217" s="309">
        <f>IF($E$2="ex-ante",(INDEX(R$207:R$216,MATCH($D$2,$A$207:$A$216,0),1))-T5A!N64,IF($E$2="ex-post",(INDEX(R$207:R$216,MATCH($D$2,$A$207:$A$216,0),1))-T5A!N64+SUMIFS(T5A!N$70:N$79,T5A!$B$70:$B$79,$D$2+1),"FOUT"))</f>
        <v>0</v>
      </c>
    </row>
    <row r="218" spans="1:18" x14ac:dyDescent="0.2">
      <c r="B218" s="310"/>
      <c r="C218" s="310"/>
      <c r="D218" s="310"/>
      <c r="E218" s="310"/>
      <c r="F218" s="311"/>
      <c r="G218" s="312"/>
      <c r="H218" s="312"/>
      <c r="I218" s="312"/>
      <c r="J218" s="312"/>
      <c r="K218" s="312"/>
      <c r="L218" s="312"/>
      <c r="M218" s="312"/>
      <c r="N218" s="312"/>
      <c r="O218" s="312"/>
      <c r="P218" s="312"/>
      <c r="R218" s="312"/>
    </row>
    <row r="219" spans="1:18" x14ac:dyDescent="0.2">
      <c r="B219" s="310"/>
      <c r="C219" s="310"/>
      <c r="D219" s="310"/>
      <c r="E219" s="310"/>
      <c r="F219" s="311"/>
      <c r="G219" s="312"/>
      <c r="H219" s="312"/>
      <c r="I219" s="312"/>
      <c r="J219" s="312"/>
      <c r="K219" s="312"/>
      <c r="L219" s="312"/>
      <c r="M219" s="312"/>
      <c r="N219" s="312"/>
      <c r="O219" s="312"/>
      <c r="P219" s="312"/>
      <c r="R219" s="312"/>
    </row>
    <row r="220" spans="1:18" x14ac:dyDescent="0.2">
      <c r="B220" s="310"/>
      <c r="C220" s="310"/>
      <c r="D220" s="310"/>
      <c r="E220" s="310"/>
      <c r="F220" s="311"/>
      <c r="G220" s="313" t="s">
        <v>32</v>
      </c>
      <c r="H220" s="312"/>
      <c r="I220" s="312"/>
      <c r="J220" s="312"/>
      <c r="K220" s="312"/>
      <c r="L220" s="312"/>
      <c r="M220" s="312"/>
      <c r="N220" s="312"/>
      <c r="O220" s="312"/>
      <c r="P220" s="312"/>
      <c r="R220" s="312"/>
    </row>
    <row r="221" spans="1:18" x14ac:dyDescent="0.2">
      <c r="G221" s="313" t="s">
        <v>33</v>
      </c>
      <c r="H221" s="312"/>
      <c r="I221" s="312"/>
      <c r="J221" s="312"/>
    </row>
    <row r="222" spans="1:18" ht="76.5" x14ac:dyDescent="0.2">
      <c r="B222" s="1264" t="s">
        <v>65</v>
      </c>
      <c r="C222" s="1265"/>
      <c r="D222" s="1265"/>
      <c r="E222" s="1266"/>
      <c r="F222" s="168"/>
      <c r="G222" s="166" t="str">
        <f>"Afbouw van het regulatoir saldo inzake volumeverschillen op te nemen in het toegelaten inkomen voor boekjaar "&amp;D2</f>
        <v>Afbouw van het regulatoir saldo inzake volumeverschillen op te nemen in het toegelaten inkomen voor boekjaar 2021</v>
      </c>
      <c r="H222" s="312"/>
      <c r="I222" s="312"/>
      <c r="J222" s="312"/>
    </row>
    <row r="223" spans="1:18" x14ac:dyDescent="0.2">
      <c r="B223" s="325"/>
      <c r="C223" s="302"/>
      <c r="D223" s="302"/>
      <c r="E223" s="302"/>
      <c r="F223" s="303"/>
      <c r="G223" s="981"/>
      <c r="H223" s="312"/>
      <c r="I223" s="312"/>
      <c r="J223" s="312"/>
    </row>
    <row r="224" spans="1:18" ht="30" customHeight="1" x14ac:dyDescent="0.2">
      <c r="B224" s="1263" t="s">
        <v>240</v>
      </c>
      <c r="C224" s="1263"/>
      <c r="D224" s="1263"/>
      <c r="E224" s="1263"/>
      <c r="F224" s="168"/>
      <c r="G224" s="255">
        <f>VLOOKUP($D$2,B301:C304,2,FALSE)+VLOOKUP($D$2,B387:C390,2,FALSE)+VLOOKUP($D$2,B528:C531,2,FALSE)</f>
        <v>0</v>
      </c>
      <c r="H224" s="312"/>
      <c r="I224" s="312"/>
      <c r="J224" s="312"/>
    </row>
    <row r="225" spans="2:18" ht="30" customHeight="1" x14ac:dyDescent="0.2">
      <c r="B225" s="1263" t="s">
        <v>66</v>
      </c>
      <c r="C225" s="1263"/>
      <c r="D225" s="1263"/>
      <c r="E225" s="1263"/>
      <c r="F225" s="168"/>
      <c r="G225" s="255">
        <f>VLOOKUP($D$2,B376:C379,2,FALSE)</f>
        <v>0</v>
      </c>
      <c r="H225" s="312"/>
      <c r="I225" s="312"/>
      <c r="J225" s="312"/>
    </row>
    <row r="226" spans="2:18" ht="30" customHeight="1" x14ac:dyDescent="0.2">
      <c r="B226" s="1263" t="s">
        <v>67</v>
      </c>
      <c r="C226" s="1263"/>
      <c r="D226" s="1263"/>
      <c r="E226" s="1263"/>
      <c r="F226" s="168"/>
      <c r="G226" s="255">
        <f>VLOOKUP($D$2,B462:C465,2,FALSE)</f>
        <v>0</v>
      </c>
      <c r="H226" s="312"/>
      <c r="I226" s="312"/>
      <c r="J226" s="312"/>
    </row>
    <row r="227" spans="2:18" ht="30" customHeight="1" x14ac:dyDescent="0.2">
      <c r="B227" s="1263" t="s">
        <v>118</v>
      </c>
      <c r="C227" s="1263"/>
      <c r="D227" s="1263"/>
      <c r="E227" s="1263"/>
      <c r="F227" s="168"/>
      <c r="G227" s="255">
        <f>VLOOKUP($D$2,B603:C606,2,FALSE)</f>
        <v>0</v>
      </c>
      <c r="H227" s="312"/>
      <c r="I227" s="312"/>
      <c r="J227" s="312"/>
    </row>
    <row r="228" spans="2:18" ht="30" customHeight="1" x14ac:dyDescent="0.2">
      <c r="B228" s="1263" t="s">
        <v>68</v>
      </c>
      <c r="C228" s="1263"/>
      <c r="D228" s="1263"/>
      <c r="E228" s="1263"/>
      <c r="F228" s="168"/>
      <c r="G228" s="255">
        <f>VLOOKUP($D$2,B678:C681,2,FALSE)</f>
        <v>0</v>
      </c>
      <c r="H228" s="312"/>
      <c r="I228" s="312"/>
      <c r="J228" s="312"/>
    </row>
    <row r="229" spans="2:18" x14ac:dyDescent="0.2">
      <c r="H229" s="312"/>
      <c r="I229" s="312"/>
      <c r="J229" s="312"/>
    </row>
    <row r="230" spans="2:18" ht="29.1" customHeight="1" x14ac:dyDescent="0.2">
      <c r="B230" s="1279" t="s">
        <v>22</v>
      </c>
      <c r="C230" s="1280"/>
      <c r="D230" s="1280"/>
      <c r="E230" s="1281"/>
      <c r="F230" s="182"/>
      <c r="G230" s="169">
        <f>SUM(G224:G228)</f>
        <v>0</v>
      </c>
      <c r="H230" s="312"/>
      <c r="I230" s="312"/>
      <c r="J230" s="312"/>
    </row>
    <row r="231" spans="2:18" x14ac:dyDescent="0.2">
      <c r="Q231" s="212"/>
    </row>
    <row r="232" spans="2:18" x14ac:dyDescent="0.2">
      <c r="Q232" s="212"/>
    </row>
    <row r="233" spans="2:18" x14ac:dyDescent="0.2">
      <c r="B233" s="326" t="s">
        <v>240</v>
      </c>
      <c r="C233" s="327"/>
      <c r="D233" s="327"/>
      <c r="E233" s="327"/>
      <c r="F233" s="328"/>
      <c r="G233" s="328"/>
      <c r="H233" s="328"/>
      <c r="I233" s="328"/>
      <c r="J233" s="328"/>
      <c r="K233" s="328"/>
      <c r="L233" s="328"/>
      <c r="M233" s="328"/>
      <c r="N233" s="328"/>
      <c r="O233" s="328"/>
      <c r="P233" s="328"/>
      <c r="Q233" s="329"/>
      <c r="R233" s="328"/>
    </row>
    <row r="234" spans="2:18" x14ac:dyDescent="0.2">
      <c r="Q234" s="212"/>
    </row>
    <row r="235" spans="2:18" x14ac:dyDescent="0.2">
      <c r="B235" s="281" t="s">
        <v>172</v>
      </c>
      <c r="F235" s="1000">
        <v>2017</v>
      </c>
      <c r="Q235" s="212"/>
    </row>
    <row r="236" spans="2:18" x14ac:dyDescent="0.2">
      <c r="P236" s="212"/>
      <c r="Q236" s="167"/>
    </row>
    <row r="237" spans="2:18" ht="104.1" customHeight="1" x14ac:dyDescent="0.2">
      <c r="B237" s="1257" t="s">
        <v>173</v>
      </c>
      <c r="C237" s="1258"/>
      <c r="D237" s="1258"/>
      <c r="E237" s="1259"/>
      <c r="F237" s="282"/>
      <c r="G237" s="166" t="str">
        <f>"Nog af te bouwen regulatoir saldo einde "&amp;F235-1</f>
        <v>Nog af te bouwen regulatoir saldo einde 2016</v>
      </c>
      <c r="H237" s="166" t="str">
        <f>"Afbouw oudste openstaande regulatoir saldo vanaf boekjaar "&amp;F235-3&amp;" en vroeger, door aanwending van compensatie met regulatoir saldo ontstaan over boekjaar "&amp;F235-2</f>
        <v>Afbouw oudste openstaande regulatoir saldo vanaf boekjaar 2014 en vroeger, door aanwending van compensatie met regulatoir saldo ontstaan over boekjaar 2015</v>
      </c>
      <c r="I237" s="166" t="str">
        <f>"Nog af te bouwen regulatoir saldo na compensatie einde "&amp;F235-1</f>
        <v>Nog af te bouwen regulatoir saldo na compensatie einde 2016</v>
      </c>
      <c r="J237" s="166" t="str">
        <f>"Aanwending van "&amp;IF($B$7="elektriciteit","75%",IF($B$7="gas","40%","FALSE"))&amp;" van het geaccumuleerd regulatoir saldo door te rekenen volgens de tariefmethodologie in het boekjaar "&amp;F235</f>
        <v>Aanwending van 40% van het geaccumuleerd regulatoir saldo door te rekenen volgens de tariefmethodologie in het boekjaar 2017</v>
      </c>
      <c r="K237" s="166" t="str">
        <f>"Nog af te bouwen regulatoir saldo einde "&amp;F235</f>
        <v>Nog af te bouwen regulatoir saldo einde 2017</v>
      </c>
      <c r="L237" s="228"/>
      <c r="M237" s="228"/>
      <c r="N237" s="228"/>
      <c r="O237" s="228"/>
      <c r="P237" s="212"/>
      <c r="Q237" s="167"/>
    </row>
    <row r="238" spans="2:18" x14ac:dyDescent="0.2">
      <c r="B238" s="1260">
        <v>2015</v>
      </c>
      <c r="C238" s="1261"/>
      <c r="D238" s="1261"/>
      <c r="E238" s="1262"/>
      <c r="F238" s="283"/>
      <c r="G238" s="177">
        <f>G129</f>
        <v>0</v>
      </c>
      <c r="H238" s="566">
        <v>0</v>
      </c>
      <c r="I238" s="177">
        <f>+G238+H238</f>
        <v>0</v>
      </c>
      <c r="J238" s="1008">
        <f>-I238*IF($B$7="elektriciteit",0.75,IF($B$7="gas",0.4,"FALSE"))</f>
        <v>0</v>
      </c>
      <c r="K238" s="1001">
        <f>+J238+G238</f>
        <v>0</v>
      </c>
      <c r="L238" s="1002"/>
      <c r="M238" s="1002"/>
      <c r="N238" s="1002"/>
      <c r="O238" s="1002"/>
      <c r="P238" s="212"/>
      <c r="Q238" s="167"/>
    </row>
    <row r="239" spans="2:18" x14ac:dyDescent="0.2">
      <c r="H239" s="221"/>
      <c r="P239" s="212"/>
      <c r="Q239" s="167"/>
    </row>
    <row r="240" spans="2:18" x14ac:dyDescent="0.2">
      <c r="B240" s="281" t="s">
        <v>172</v>
      </c>
      <c r="F240" s="1000">
        <v>2018</v>
      </c>
      <c r="H240" s="221"/>
      <c r="Q240" s="212"/>
    </row>
    <row r="241" spans="2:17" x14ac:dyDescent="0.2">
      <c r="H241" s="221"/>
      <c r="Q241" s="212"/>
    </row>
    <row r="242" spans="2:17" ht="104.1" customHeight="1" x14ac:dyDescent="0.2">
      <c r="B242" s="1257" t="s">
        <v>173</v>
      </c>
      <c r="C242" s="1258"/>
      <c r="D242" s="1258"/>
      <c r="E242" s="1259"/>
      <c r="F242" s="282"/>
      <c r="G242" s="166" t="str">
        <f>"Nog af te bouwen regulatoir saldo einde "&amp;F240-1</f>
        <v>Nog af te bouwen regulatoir saldo einde 2017</v>
      </c>
      <c r="H242" s="166" t="str">
        <f>"Afbouw oudste openstaande regulatoir saldo vanaf boekjaar "&amp;F240-3&amp;" en vroeger, door aanwending van compensatie met regulatoir saldo ontstaan over boekjaar "&amp;F240-2</f>
        <v>Afbouw oudste openstaande regulatoir saldo vanaf boekjaar 2015 en vroeger, door aanwending van compensatie met regulatoir saldo ontstaan over boekjaar 2016</v>
      </c>
      <c r="I242" s="166" t="str">
        <f>"Nog af te bouwen regulatoir saldo na compensatie einde "&amp;F240-1</f>
        <v>Nog af te bouwen regulatoir saldo na compensatie einde 2017</v>
      </c>
      <c r="J242" s="166" t="str">
        <f>"Aanwending van "&amp;IF($B$7="elektriciteit","75%",IF($B$7="gas","40%","FALSE"))&amp;" van het geaccumuleerd regulatoir saldo door te rekenen volgens de tariefmethodologie in het boekjaar "&amp;F240</f>
        <v>Aanwending van 40% van het geaccumuleerd regulatoir saldo door te rekenen volgens de tariefmethodologie in het boekjaar 2018</v>
      </c>
      <c r="K242" s="166" t="str">
        <f>"Aanwending van "&amp;IF($B$7="elektriciteit","75%",IF($B$7="gas","40%","FALSE"))&amp;" van het geaccumuleerd regulatoir saldo door te rekenen volgens de tariefmethodologie in het boekjaar "&amp;F240</f>
        <v>Aanwending van 40% van het geaccumuleerd regulatoir saldo door te rekenen volgens de tariefmethodologie in het boekjaar 2018</v>
      </c>
      <c r="L242" s="166" t="str">
        <f>"Totale afbouw over "&amp;F240</f>
        <v>Totale afbouw over 2018</v>
      </c>
      <c r="M242" s="166" t="str">
        <f>"Nog af te bouwen regulatoir saldo einde "&amp;F240</f>
        <v>Nog af te bouwen regulatoir saldo einde 2018</v>
      </c>
      <c r="N242" s="212"/>
      <c r="Q242" s="167"/>
    </row>
    <row r="243" spans="2:17" x14ac:dyDescent="0.2">
      <c r="B243" s="1260">
        <v>2015</v>
      </c>
      <c r="C243" s="1261"/>
      <c r="D243" s="1261"/>
      <c r="E243" s="1262"/>
      <c r="F243" s="283"/>
      <c r="G243" s="177">
        <f>K238</f>
        <v>0</v>
      </c>
      <c r="H243" s="566">
        <f>IF(SIGN(G244*K238)&lt;0,IF(G243&lt;&gt;0,-SIGN(G243)*MIN(ABS(G244),ABS(G243)),0),0)</f>
        <v>0</v>
      </c>
      <c r="I243" s="177">
        <f>+G243+H243</f>
        <v>0</v>
      </c>
      <c r="J243" s="1009"/>
      <c r="K243" s="1010">
        <f>-MIN(ABS(I243),ABS(J245))*SIGN(I243)</f>
        <v>0</v>
      </c>
      <c r="L243" s="1003">
        <f>+K243+H243</f>
        <v>0</v>
      </c>
      <c r="M243" s="177">
        <f>+I243+K243</f>
        <v>0</v>
      </c>
      <c r="N243" s="212"/>
      <c r="Q243" s="167"/>
    </row>
    <row r="244" spans="2:17" x14ac:dyDescent="0.2">
      <c r="B244" s="1260">
        <v>2016</v>
      </c>
      <c r="C244" s="1261"/>
      <c r="D244" s="1261"/>
      <c r="E244" s="1262"/>
      <c r="F244" s="283"/>
      <c r="G244" s="177">
        <f>H130</f>
        <v>0</v>
      </c>
      <c r="H244" s="1003">
        <f>IF(SIGN(G244*K238)&lt;0,-H243,0)</f>
        <v>0</v>
      </c>
      <c r="I244" s="177">
        <f>+G244+H244</f>
        <v>0</v>
      </c>
      <c r="J244" s="1009"/>
      <c r="K244" s="1010">
        <f>-MIN(ABS(I244),ABS(J245-K243))*SIGN(I244)</f>
        <v>0</v>
      </c>
      <c r="L244" s="1003">
        <f>+K244+H244</f>
        <v>0</v>
      </c>
      <c r="M244" s="177">
        <f>+I244+K244</f>
        <v>0</v>
      </c>
      <c r="N244" s="212"/>
      <c r="Q244" s="167"/>
    </row>
    <row r="245" spans="2:17" s="281" customFormat="1" x14ac:dyDescent="0.2">
      <c r="G245" s="284">
        <f>SUM(G243:G244)</f>
        <v>0</v>
      </c>
      <c r="H245" s="169">
        <f>SUM(H243:H244)</f>
        <v>0</v>
      </c>
      <c r="I245" s="284">
        <f>SUM(I243:I244)</f>
        <v>0</v>
      </c>
      <c r="J245" s="214">
        <f>-I245*IF($B$7="elektriciteit",0.75,IF($B$7="gas",0.4,"FALSE"))</f>
        <v>0</v>
      </c>
      <c r="K245" s="291">
        <f>SUM(K243:K244)</f>
        <v>0</v>
      </c>
      <c r="L245" s="570"/>
      <c r="M245" s="284">
        <f>SUM(M243:M244)</f>
        <v>0</v>
      </c>
    </row>
    <row r="246" spans="2:17" x14ac:dyDescent="0.2">
      <c r="H246" s="221"/>
      <c r="J246" s="12"/>
      <c r="K246" s="12"/>
      <c r="Q246" s="167"/>
    </row>
    <row r="247" spans="2:17" x14ac:dyDescent="0.2">
      <c r="B247" s="281" t="s">
        <v>172</v>
      </c>
      <c r="F247" s="1000">
        <v>2019</v>
      </c>
      <c r="H247" s="221"/>
      <c r="J247" s="12"/>
      <c r="K247" s="12"/>
      <c r="Q247" s="167"/>
    </row>
    <row r="248" spans="2:17" x14ac:dyDescent="0.2">
      <c r="H248" s="221"/>
      <c r="J248" s="12"/>
      <c r="K248" s="12"/>
      <c r="Q248" s="167"/>
    </row>
    <row r="249" spans="2:17" ht="104.1" customHeight="1" x14ac:dyDescent="0.2">
      <c r="B249" s="1257" t="s">
        <v>173</v>
      </c>
      <c r="C249" s="1258"/>
      <c r="D249" s="1258"/>
      <c r="E249" s="1259"/>
      <c r="F249" s="282"/>
      <c r="G249" s="166" t="str">
        <f>"Nog af te bouwen regulatoir saldo einde "&amp;F247-1</f>
        <v>Nog af te bouwen regulatoir saldo einde 2018</v>
      </c>
      <c r="H249" s="166" t="str">
        <f>"Afbouw oudste openstaande regulatoir saldo vanaf boekjaar "&amp;F247-3&amp;" en vroeger, door aanwending van compensatie met regulatoir saldo ontstaan over boekjaar "&amp;F247-2</f>
        <v>Afbouw oudste openstaande regulatoir saldo vanaf boekjaar 2016 en vroeger, door aanwending van compensatie met regulatoir saldo ontstaan over boekjaar 2017</v>
      </c>
      <c r="I249" s="166" t="str">
        <f>"Nog af te bouwen regulatoir saldo na compensatie einde "&amp;F247-1</f>
        <v>Nog af te bouwen regulatoir saldo na compensatie einde 2018</v>
      </c>
      <c r="J249" s="166" t="str">
        <f>"Aanwending van "&amp;IF($B$7="elektriciteit","75%",IF($B$7="gas","40%","FALSE"))&amp;" van het geaccumuleerd regulatoir saldo door te rekenen volgens de tariefmethodologie in het boekjaar "&amp;F247</f>
        <v>Aanwending van 40% van het geaccumuleerd regulatoir saldo door te rekenen volgens de tariefmethodologie in het boekjaar 2019</v>
      </c>
      <c r="K249" s="166" t="str">
        <f>"Aanwending van "&amp;IF($B$7="elektriciteit","75%",IF($B$7="gas","40%","FALSE"))&amp;" van het geaccumuleerd regulatoir saldo door te rekenen volgens de tariefmethodologie in het boekjaar "&amp;F247</f>
        <v>Aanwending van 40% van het geaccumuleerd regulatoir saldo door te rekenen volgens de tariefmethodologie in het boekjaar 2019</v>
      </c>
      <c r="L249" s="166" t="str">
        <f>"Totale afbouw over "&amp;F247</f>
        <v>Totale afbouw over 2019</v>
      </c>
      <c r="M249" s="166" t="str">
        <f>"Nog af te bouwen regulatoir saldo einde "&amp;F247</f>
        <v>Nog af te bouwen regulatoir saldo einde 2019</v>
      </c>
      <c r="N249" s="212"/>
      <c r="Q249" s="167"/>
    </row>
    <row r="250" spans="2:17" x14ac:dyDescent="0.2">
      <c r="B250" s="1260">
        <v>2015</v>
      </c>
      <c r="C250" s="1261"/>
      <c r="D250" s="1261"/>
      <c r="E250" s="1262"/>
      <c r="F250" s="283"/>
      <c r="G250" s="177">
        <f>+M243</f>
        <v>0</v>
      </c>
      <c r="H250" s="1003">
        <f>IF(SIGN(G252*M245)&lt;0,IF(G250&lt;&gt;0,-SIGN(G250)*MIN(ABS(G252),ABS(G250)),0),0)</f>
        <v>0</v>
      </c>
      <c r="I250" s="177">
        <f>+G250+H250</f>
        <v>0</v>
      </c>
      <c r="J250" s="1009"/>
      <c r="K250" s="1010">
        <f>-MIN(ABS(I250),ABS(J253))*SIGN(I250)</f>
        <v>0</v>
      </c>
      <c r="L250" s="1003">
        <f>+K250+H250</f>
        <v>0</v>
      </c>
      <c r="M250" s="177">
        <f>+I250+K250</f>
        <v>0</v>
      </c>
      <c r="N250" s="212"/>
      <c r="Q250" s="167"/>
    </row>
    <row r="251" spans="2:17" x14ac:dyDescent="0.2">
      <c r="B251" s="1260">
        <v>2016</v>
      </c>
      <c r="C251" s="1261"/>
      <c r="D251" s="1261">
        <v>2016</v>
      </c>
      <c r="E251" s="1262"/>
      <c r="F251" s="283"/>
      <c r="G251" s="177">
        <f>+M244</f>
        <v>0</v>
      </c>
      <c r="H251" s="1003">
        <f>IF(SIGN(G252*M245)&lt;0,IF(G251&lt;&gt;0,-SIGN(G251)*MIN(ABS(G252-H250),ABS(G251)),0),0)</f>
        <v>0</v>
      </c>
      <c r="I251" s="177">
        <f>+G251+H251</f>
        <v>0</v>
      </c>
      <c r="J251" s="1009"/>
      <c r="K251" s="1010">
        <f>-MIN(ABS(I251),ABS(J253-K250))*SIGN(I251)</f>
        <v>0</v>
      </c>
      <c r="L251" s="1003">
        <f>+K251+H251</f>
        <v>0</v>
      </c>
      <c r="M251" s="177">
        <f>+I251+K251</f>
        <v>0</v>
      </c>
      <c r="N251" s="212"/>
      <c r="Q251" s="167"/>
    </row>
    <row r="252" spans="2:17" x14ac:dyDescent="0.2">
      <c r="B252" s="1260">
        <v>2017</v>
      </c>
      <c r="C252" s="1261"/>
      <c r="D252" s="1261"/>
      <c r="E252" s="1262"/>
      <c r="F252" s="283"/>
      <c r="G252" s="177">
        <f>I131</f>
        <v>0</v>
      </c>
      <c r="H252" s="1003">
        <f>IF(SIGN(G252*M245)&lt;0,-SUM(H250:H251),0)</f>
        <v>0</v>
      </c>
      <c r="I252" s="177">
        <f>+G252+H252</f>
        <v>0</v>
      </c>
      <c r="J252" s="1009"/>
      <c r="K252" s="1010">
        <f>-MIN(ABS(I252),ABS(J253-K250-K251))*SIGN(I252)</f>
        <v>0</v>
      </c>
      <c r="L252" s="1003">
        <f>+K252+H252</f>
        <v>0</v>
      </c>
      <c r="M252" s="177">
        <f>+I252+K252</f>
        <v>0</v>
      </c>
      <c r="N252" s="212"/>
      <c r="Q252" s="167"/>
    </row>
    <row r="253" spans="2:17" s="281" customFormat="1" x14ac:dyDescent="0.2">
      <c r="G253" s="284">
        <f>SUM(G250:G252)</f>
        <v>0</v>
      </c>
      <c r="H253" s="169">
        <f>SUM(H250:H252)</f>
        <v>0</v>
      </c>
      <c r="I253" s="284">
        <f>SUM(I250:I252)</f>
        <v>0</v>
      </c>
      <c r="J253" s="214">
        <f>-I253*IF($B$7="elektriciteit",0.75,IF($B$7="gas",0.4,"FALSE"))</f>
        <v>0</v>
      </c>
      <c r="K253" s="291">
        <f>SUM(K250:K252)</f>
        <v>0</v>
      </c>
      <c r="L253" s="570"/>
      <c r="M253" s="284">
        <f>SUM(M250:M252)</f>
        <v>0</v>
      </c>
    </row>
    <row r="254" spans="2:17" x14ac:dyDescent="0.2">
      <c r="H254" s="221"/>
      <c r="J254" s="12"/>
      <c r="K254" s="12"/>
      <c r="Q254" s="167"/>
    </row>
    <row r="255" spans="2:17" x14ac:dyDescent="0.2">
      <c r="B255" s="281" t="s">
        <v>172</v>
      </c>
      <c r="F255" s="1000">
        <v>2020</v>
      </c>
      <c r="H255" s="221"/>
      <c r="J255" s="12"/>
      <c r="K255" s="12"/>
      <c r="Q255" s="167"/>
    </row>
    <row r="256" spans="2:17" x14ac:dyDescent="0.2">
      <c r="H256" s="221"/>
      <c r="J256" s="12"/>
      <c r="K256" s="12"/>
      <c r="Q256" s="167"/>
    </row>
    <row r="257" spans="2:17" ht="104.1" customHeight="1" x14ac:dyDescent="0.2">
      <c r="B257" s="1257" t="s">
        <v>173</v>
      </c>
      <c r="C257" s="1258"/>
      <c r="D257" s="1258"/>
      <c r="E257" s="1259"/>
      <c r="F257" s="282"/>
      <c r="G257" s="166" t="str">
        <f>"Nog af te bouwen regulatoir saldo einde "&amp;F255-1</f>
        <v>Nog af te bouwen regulatoir saldo einde 2019</v>
      </c>
      <c r="H257" s="166" t="str">
        <f>"Afbouw oudste openstaande regulatoir saldo vanaf boekjaar "&amp;F255-3&amp;" en vroeger, door aanwending van compensatie met regulatoir saldo ontstaan over boekjaar "&amp;F255-2</f>
        <v>Afbouw oudste openstaande regulatoir saldo vanaf boekjaar 2017 en vroeger, door aanwending van compensatie met regulatoir saldo ontstaan over boekjaar 2018</v>
      </c>
      <c r="I257" s="166" t="str">
        <f>"Nog af te bouwen regulatoir saldo na compensatie einde "&amp;F255-1</f>
        <v>Nog af te bouwen regulatoir saldo na compensatie einde 2019</v>
      </c>
      <c r="J257" s="166" t="str">
        <f>"Aanwending van "&amp;IF($B$7="elektriciteit","75%",IF($B$7="gas","40%","FALSE"))&amp;" van het geaccumuleerd regulatoir saldo door te rekenen volgens de tariefmethodologie in het boekjaar "&amp;F255</f>
        <v>Aanwending van 40% van het geaccumuleerd regulatoir saldo door te rekenen volgens de tariefmethodologie in het boekjaar 2020</v>
      </c>
      <c r="K257" s="166" t="str">
        <f>"Aanwending van "&amp;IF($B$7="elektriciteit","75%",IF($B$7="gas","40%","FALSE"))&amp;" van het geaccumuleerd regulatoir saldo door te rekenen volgens de tariefmethodologie in het boekjaar "&amp;F255</f>
        <v>Aanwending van 40% van het geaccumuleerd regulatoir saldo door te rekenen volgens de tariefmethodologie in het boekjaar 2020</v>
      </c>
      <c r="L257" s="166" t="str">
        <f>"Totale afbouw over "&amp;F255</f>
        <v>Totale afbouw over 2020</v>
      </c>
      <c r="M257" s="166" t="str">
        <f>"Nog af te bouwen regulatoir saldo einde "&amp;F255</f>
        <v>Nog af te bouwen regulatoir saldo einde 2020</v>
      </c>
      <c r="N257" s="212"/>
      <c r="Q257" s="167"/>
    </row>
    <row r="258" spans="2:17" x14ac:dyDescent="0.2">
      <c r="B258" s="1260">
        <v>2015</v>
      </c>
      <c r="C258" s="1261"/>
      <c r="D258" s="1261"/>
      <c r="E258" s="1262"/>
      <c r="F258" s="283"/>
      <c r="G258" s="177">
        <f>+M250</f>
        <v>0</v>
      </c>
      <c r="H258" s="1003">
        <f>IF(SIGN(G261*M253)&lt;0,IF(G258&lt;&gt;0,-SIGN(G258)*MIN(ABS(G261),ABS(G258)),0),0)</f>
        <v>0</v>
      </c>
      <c r="I258" s="177">
        <f>+G258+H258</f>
        <v>0</v>
      </c>
      <c r="J258" s="1009"/>
      <c r="K258" s="1010">
        <f>-MIN(ABS(I258),ABS(J262))*SIGN(I258)</f>
        <v>0</v>
      </c>
      <c r="L258" s="1003">
        <f>+K258+H258</f>
        <v>0</v>
      </c>
      <c r="M258" s="177">
        <f>+I258+K258</f>
        <v>0</v>
      </c>
      <c r="N258" s="212"/>
      <c r="Q258" s="167"/>
    </row>
    <row r="259" spans="2:17" x14ac:dyDescent="0.2">
      <c r="B259" s="1260">
        <v>2016</v>
      </c>
      <c r="C259" s="1261"/>
      <c r="D259" s="1261"/>
      <c r="E259" s="1262"/>
      <c r="F259" s="283"/>
      <c r="G259" s="177">
        <f>+M251</f>
        <v>0</v>
      </c>
      <c r="H259" s="1003">
        <f>IF(SIGN(G261*M253)&lt;0,IF(G259&lt;&gt;0,-SIGN(G259)*MIN(ABS(G261-H258),ABS(G259)),0),0)</f>
        <v>0</v>
      </c>
      <c r="I259" s="177">
        <f>+G259+H259</f>
        <v>0</v>
      </c>
      <c r="J259" s="1009"/>
      <c r="K259" s="1010">
        <f>-MIN(ABS(I259),ABS(J262-K258))*SIGN(I259)</f>
        <v>0</v>
      </c>
      <c r="L259" s="1003">
        <f>+K259+H259</f>
        <v>0</v>
      </c>
      <c r="M259" s="177">
        <f>+I259+K259</f>
        <v>0</v>
      </c>
      <c r="N259" s="212"/>
      <c r="Q259" s="167"/>
    </row>
    <row r="260" spans="2:17" x14ac:dyDescent="0.2">
      <c r="B260" s="1260">
        <v>2017</v>
      </c>
      <c r="C260" s="1261"/>
      <c r="D260" s="1261">
        <v>2016</v>
      </c>
      <c r="E260" s="1262"/>
      <c r="F260" s="283"/>
      <c r="G260" s="177">
        <f>+M252</f>
        <v>0</v>
      </c>
      <c r="H260" s="1003">
        <f>IF(SIGN(G261*M253)&lt;0,IF(G260&lt;&gt;0,-SIGN(G260)*MIN(ABS(G261-H258-H259),ABS(G260)),0),0)</f>
        <v>0</v>
      </c>
      <c r="I260" s="177">
        <f>+G260+H260</f>
        <v>0</v>
      </c>
      <c r="J260" s="1009"/>
      <c r="K260" s="1010">
        <f>-MIN(ABS(I260),ABS(J262-K258-K259))*SIGN(I260)</f>
        <v>0</v>
      </c>
      <c r="L260" s="1003">
        <f>+K260+H260</f>
        <v>0</v>
      </c>
      <c r="M260" s="177">
        <f>+I260+K260</f>
        <v>0</v>
      </c>
      <c r="N260" s="212"/>
      <c r="Q260" s="167"/>
    </row>
    <row r="261" spans="2:17" x14ac:dyDescent="0.2">
      <c r="B261" s="1260">
        <v>2018</v>
      </c>
      <c r="C261" s="1261"/>
      <c r="D261" s="1261"/>
      <c r="E261" s="1262"/>
      <c r="F261" s="283"/>
      <c r="G261" s="177">
        <f>J132</f>
        <v>0</v>
      </c>
      <c r="H261" s="1003">
        <f>IF(SIGN(G261*M253)&lt;0,-SUM(H258:H260),0)</f>
        <v>0</v>
      </c>
      <c r="I261" s="177">
        <f>+G261+H261</f>
        <v>0</v>
      </c>
      <c r="J261" s="1009"/>
      <c r="K261" s="1010">
        <f>-MIN(ABS(I261),ABS(J262-K258-K259-K260))*SIGN(I261)</f>
        <v>0</v>
      </c>
      <c r="L261" s="1003">
        <f>+K261+H261</f>
        <v>0</v>
      </c>
      <c r="M261" s="177">
        <f>+I261+K261</f>
        <v>0</v>
      </c>
      <c r="N261" s="212"/>
      <c r="Q261" s="167"/>
    </row>
    <row r="262" spans="2:17" s="281" customFormat="1" x14ac:dyDescent="0.2">
      <c r="G262" s="284">
        <f>SUM(G258:G261)</f>
        <v>0</v>
      </c>
      <c r="H262" s="169">
        <f>SUM(H258:H261)</f>
        <v>0</v>
      </c>
      <c r="I262" s="284">
        <f>SUM(I258:I261)</f>
        <v>0</v>
      </c>
      <c r="J262" s="214">
        <f>-I262*IF($B$7="elektriciteit",0.75,IF($B$7="gas",0.4,"FALSE"))</f>
        <v>0</v>
      </c>
      <c r="K262" s="291">
        <f>SUM(K258:K261)</f>
        <v>0</v>
      </c>
      <c r="L262" s="169"/>
      <c r="M262" s="284">
        <f>SUM(M258:M261)</f>
        <v>0</v>
      </c>
    </row>
    <row r="263" spans="2:17" x14ac:dyDescent="0.2">
      <c r="H263" s="221"/>
      <c r="Q263" s="167"/>
    </row>
    <row r="264" spans="2:17" x14ac:dyDescent="0.2">
      <c r="B264" s="281" t="s">
        <v>172</v>
      </c>
      <c r="F264" s="1000">
        <v>2021</v>
      </c>
      <c r="H264" s="221"/>
      <c r="Q264" s="167"/>
    </row>
    <row r="265" spans="2:17" x14ac:dyDescent="0.2">
      <c r="H265" s="221"/>
      <c r="Q265" s="167"/>
    </row>
    <row r="266" spans="2:17" ht="78" customHeight="1" x14ac:dyDescent="0.2">
      <c r="B266" s="1257" t="s">
        <v>173</v>
      </c>
      <c r="C266" s="1258"/>
      <c r="D266" s="1258"/>
      <c r="E266" s="1259"/>
      <c r="F266" s="282"/>
      <c r="G266" s="166" t="str">
        <f>"Nog af te bouwen regulatoir saldo einde "&amp;F264-1</f>
        <v>Nog af te bouwen regulatoir saldo einde 2020</v>
      </c>
      <c r="H266" s="166" t="str">
        <f>"50% van oorspronkelijk saldo door te rekenen volgens de tariefmethodologie in het boekjaar "&amp;F264</f>
        <v>50% van oorspronkelijk saldo door te rekenen volgens de tariefmethodologie in het boekjaar 2021</v>
      </c>
      <c r="I266" s="166" t="str">
        <f>"Nog af te bouwen regulatoir saldo einde "&amp;F264</f>
        <v>Nog af te bouwen regulatoir saldo einde 2021</v>
      </c>
      <c r="J266" s="212"/>
      <c r="Q266" s="167"/>
    </row>
    <row r="267" spans="2:17" x14ac:dyDescent="0.2">
      <c r="B267" s="1260">
        <v>2015</v>
      </c>
      <c r="C267" s="1261"/>
      <c r="D267" s="1261"/>
      <c r="E267" s="1262"/>
      <c r="F267" s="283"/>
      <c r="G267" s="177">
        <f>M258</f>
        <v>0</v>
      </c>
      <c r="H267" s="566">
        <f>-G267*0.5</f>
        <v>0</v>
      </c>
      <c r="I267" s="177">
        <f>+G267+H267</f>
        <v>0</v>
      </c>
      <c r="J267" s="212"/>
      <c r="Q267" s="167"/>
    </row>
    <row r="268" spans="2:17" x14ac:dyDescent="0.2">
      <c r="B268" s="1260">
        <v>2016</v>
      </c>
      <c r="C268" s="1261"/>
      <c r="D268" s="1261"/>
      <c r="E268" s="1262"/>
      <c r="F268" s="283"/>
      <c r="G268" s="177">
        <f t="shared" ref="G268:G270" si="31">M259</f>
        <v>0</v>
      </c>
      <c r="H268" s="566">
        <f t="shared" ref="H268:H271" si="32">-G268*0.5</f>
        <v>0</v>
      </c>
      <c r="I268" s="177">
        <f t="shared" ref="I268:I271" si="33">+G268+H268</f>
        <v>0</v>
      </c>
      <c r="J268" s="212"/>
      <c r="Q268" s="167"/>
    </row>
    <row r="269" spans="2:17" x14ac:dyDescent="0.2">
      <c r="B269" s="1260">
        <v>2017</v>
      </c>
      <c r="C269" s="1261"/>
      <c r="D269" s="1261">
        <v>2016</v>
      </c>
      <c r="E269" s="1262"/>
      <c r="F269" s="283"/>
      <c r="G269" s="177">
        <f t="shared" si="31"/>
        <v>0</v>
      </c>
      <c r="H269" s="566">
        <f t="shared" si="32"/>
        <v>0</v>
      </c>
      <c r="I269" s="177">
        <f t="shared" si="33"/>
        <v>0</v>
      </c>
      <c r="J269" s="212"/>
      <c r="Q269" s="167"/>
    </row>
    <row r="270" spans="2:17" x14ac:dyDescent="0.2">
      <c r="B270" s="1260">
        <v>2018</v>
      </c>
      <c r="C270" s="1261"/>
      <c r="D270" s="1261"/>
      <c r="E270" s="1262"/>
      <c r="F270" s="283"/>
      <c r="G270" s="177">
        <f t="shared" si="31"/>
        <v>0</v>
      </c>
      <c r="H270" s="566">
        <f t="shared" si="32"/>
        <v>0</v>
      </c>
      <c r="I270" s="177">
        <f t="shared" si="33"/>
        <v>0</v>
      </c>
      <c r="J270" s="212"/>
      <c r="Q270" s="167"/>
    </row>
    <row r="271" spans="2:17" x14ac:dyDescent="0.2">
      <c r="B271" s="1260">
        <v>2019</v>
      </c>
      <c r="C271" s="1261"/>
      <c r="D271" s="1261"/>
      <c r="E271" s="1262"/>
      <c r="F271" s="283"/>
      <c r="G271" s="177">
        <f>K133</f>
        <v>0</v>
      </c>
      <c r="H271" s="566">
        <f t="shared" si="32"/>
        <v>0</v>
      </c>
      <c r="I271" s="177">
        <f t="shared" si="33"/>
        <v>0</v>
      </c>
      <c r="J271" s="212"/>
      <c r="Q271" s="167"/>
    </row>
    <row r="272" spans="2:17" s="281" customFormat="1" x14ac:dyDescent="0.2">
      <c r="G272" s="284">
        <f>SUM(G267:G271)</f>
        <v>0</v>
      </c>
      <c r="H272" s="169">
        <f>SUM(H267:H271)</f>
        <v>0</v>
      </c>
      <c r="I272" s="284">
        <f>SUM(I267:I271)</f>
        <v>0</v>
      </c>
    </row>
    <row r="273" spans="2:17" x14ac:dyDescent="0.2">
      <c r="H273" s="221"/>
      <c r="Q273" s="167"/>
    </row>
    <row r="274" spans="2:17" x14ac:dyDescent="0.2">
      <c r="B274" s="847" t="s">
        <v>172</v>
      </c>
      <c r="C274" s="842"/>
      <c r="D274" s="842"/>
      <c r="E274" s="842"/>
      <c r="F274" s="1004">
        <v>2022</v>
      </c>
      <c r="G274" s="842"/>
      <c r="H274" s="855"/>
      <c r="I274" s="842"/>
      <c r="Q274" s="167"/>
    </row>
    <row r="275" spans="2:17" x14ac:dyDescent="0.2">
      <c r="B275" s="842"/>
      <c r="C275" s="842"/>
      <c r="D275" s="842"/>
      <c r="E275" s="842"/>
      <c r="F275" s="842"/>
      <c r="G275" s="842"/>
      <c r="H275" s="855"/>
      <c r="I275" s="842"/>
      <c r="Q275" s="167"/>
    </row>
    <row r="276" spans="2:17" ht="78" customHeight="1" x14ac:dyDescent="0.2">
      <c r="B276" s="1254" t="s">
        <v>173</v>
      </c>
      <c r="C276" s="1255"/>
      <c r="D276" s="1255"/>
      <c r="E276" s="1256"/>
      <c r="F276" s="848"/>
      <c r="G276" s="837" t="str">
        <f>"Nog af te bouwen regulatoir saldo einde "&amp;F274-1</f>
        <v>Nog af te bouwen regulatoir saldo einde 2021</v>
      </c>
      <c r="H276" s="837" t="str">
        <f>"50% van oorspronkelijk saldo door te rekenen volgens de tariefmethodologie in het boekjaar "&amp;F274</f>
        <v>50% van oorspronkelijk saldo door te rekenen volgens de tariefmethodologie in het boekjaar 2022</v>
      </c>
      <c r="I276" s="837" t="str">
        <f>"Nog af te bouwen regulatoir saldo einde "&amp;F274</f>
        <v>Nog af te bouwen regulatoir saldo einde 2022</v>
      </c>
      <c r="J276" s="212"/>
      <c r="Q276" s="167"/>
    </row>
    <row r="277" spans="2:17" x14ac:dyDescent="0.2">
      <c r="B277" s="1251">
        <v>2015</v>
      </c>
      <c r="C277" s="1252"/>
      <c r="D277" s="1252"/>
      <c r="E277" s="1253"/>
      <c r="F277" s="341"/>
      <c r="G277" s="339">
        <f>+I267</f>
        <v>0</v>
      </c>
      <c r="H277" s="568">
        <f>-G267*0.5</f>
        <v>0</v>
      </c>
      <c r="I277" s="339">
        <f>+G277+H277</f>
        <v>0</v>
      </c>
      <c r="J277" s="212"/>
      <c r="Q277" s="167"/>
    </row>
    <row r="278" spans="2:17" x14ac:dyDescent="0.2">
      <c r="B278" s="1251">
        <v>2016</v>
      </c>
      <c r="C278" s="1252"/>
      <c r="D278" s="1252"/>
      <c r="E278" s="1253"/>
      <c r="F278" s="341"/>
      <c r="G278" s="339">
        <f t="shared" ref="G278:G281" si="34">+I268</f>
        <v>0</v>
      </c>
      <c r="H278" s="568">
        <f>-G268*0.5</f>
        <v>0</v>
      </c>
      <c r="I278" s="339">
        <f t="shared" ref="I278:I282" si="35">+G278+H278</f>
        <v>0</v>
      </c>
      <c r="J278" s="212"/>
      <c r="Q278" s="167"/>
    </row>
    <row r="279" spans="2:17" x14ac:dyDescent="0.2">
      <c r="B279" s="1251">
        <v>2017</v>
      </c>
      <c r="C279" s="1252"/>
      <c r="D279" s="1252">
        <v>2016</v>
      </c>
      <c r="E279" s="1253"/>
      <c r="F279" s="341"/>
      <c r="G279" s="339">
        <f t="shared" si="34"/>
        <v>0</v>
      </c>
      <c r="H279" s="568">
        <f t="shared" ref="H279:H281" si="36">-G269*0.5</f>
        <v>0</v>
      </c>
      <c r="I279" s="339">
        <f t="shared" si="35"/>
        <v>0</v>
      </c>
      <c r="J279" s="212"/>
      <c r="Q279" s="167"/>
    </row>
    <row r="280" spans="2:17" x14ac:dyDescent="0.2">
      <c r="B280" s="1251">
        <v>2018</v>
      </c>
      <c r="C280" s="1252"/>
      <c r="D280" s="1252"/>
      <c r="E280" s="1253"/>
      <c r="F280" s="341"/>
      <c r="G280" s="339">
        <f t="shared" si="34"/>
        <v>0</v>
      </c>
      <c r="H280" s="568">
        <f t="shared" si="36"/>
        <v>0</v>
      </c>
      <c r="I280" s="339">
        <f t="shared" si="35"/>
        <v>0</v>
      </c>
      <c r="J280" s="212"/>
      <c r="Q280" s="167"/>
    </row>
    <row r="281" spans="2:17" x14ac:dyDescent="0.2">
      <c r="B281" s="1251">
        <v>2019</v>
      </c>
      <c r="C281" s="1252"/>
      <c r="D281" s="1252"/>
      <c r="E281" s="1253"/>
      <c r="F281" s="341"/>
      <c r="G281" s="339">
        <f t="shared" si="34"/>
        <v>0</v>
      </c>
      <c r="H281" s="568">
        <f t="shared" si="36"/>
        <v>0</v>
      </c>
      <c r="I281" s="339">
        <f t="shared" si="35"/>
        <v>0</v>
      </c>
      <c r="J281" s="212"/>
      <c r="Q281" s="167"/>
    </row>
    <row r="282" spans="2:17" x14ac:dyDescent="0.2">
      <c r="B282" s="1251">
        <v>2020</v>
      </c>
      <c r="C282" s="1252"/>
      <c r="D282" s="1252"/>
      <c r="E282" s="1253"/>
      <c r="F282" s="341"/>
      <c r="G282" s="339">
        <f>L134</f>
        <v>0</v>
      </c>
      <c r="H282" s="568">
        <f t="shared" ref="H282" si="37">-G282*0.5</f>
        <v>0</v>
      </c>
      <c r="I282" s="339">
        <f t="shared" si="35"/>
        <v>0</v>
      </c>
      <c r="J282" s="212"/>
      <c r="Q282" s="167"/>
    </row>
    <row r="283" spans="2:17" s="281" customFormat="1" x14ac:dyDescent="0.2">
      <c r="B283" s="847"/>
      <c r="C283" s="847"/>
      <c r="D283" s="847"/>
      <c r="E283" s="847"/>
      <c r="F283" s="847"/>
      <c r="G283" s="849">
        <f>SUM(G277:G282)</f>
        <v>0</v>
      </c>
      <c r="H283" s="856">
        <f t="shared" ref="H283:I283" si="38">SUM(H277:H282)</f>
        <v>0</v>
      </c>
      <c r="I283" s="849">
        <f t="shared" si="38"/>
        <v>0</v>
      </c>
    </row>
    <row r="284" spans="2:17" x14ac:dyDescent="0.2">
      <c r="B284" s="842"/>
      <c r="C284" s="842"/>
      <c r="D284" s="842"/>
      <c r="E284" s="842"/>
      <c r="F284" s="842"/>
      <c r="G284" s="842"/>
      <c r="H284" s="855"/>
      <c r="I284" s="842"/>
      <c r="Q284" s="167"/>
    </row>
    <row r="285" spans="2:17" x14ac:dyDescent="0.2">
      <c r="B285" s="847" t="s">
        <v>172</v>
      </c>
      <c r="C285" s="842"/>
      <c r="D285" s="842"/>
      <c r="E285" s="842"/>
      <c r="F285" s="1004">
        <v>2023</v>
      </c>
      <c r="G285" s="842"/>
      <c r="H285" s="855"/>
      <c r="I285" s="842"/>
      <c r="Q285" s="167"/>
    </row>
    <row r="286" spans="2:17" x14ac:dyDescent="0.2">
      <c r="B286" s="842"/>
      <c r="C286" s="842"/>
      <c r="D286" s="842"/>
      <c r="E286" s="842"/>
      <c r="F286" s="842"/>
      <c r="G286" s="842"/>
      <c r="H286" s="855"/>
      <c r="I286" s="842"/>
      <c r="Q286" s="167"/>
    </row>
    <row r="287" spans="2:17" ht="78" customHeight="1" x14ac:dyDescent="0.2">
      <c r="B287" s="1254" t="s">
        <v>173</v>
      </c>
      <c r="C287" s="1255"/>
      <c r="D287" s="1255"/>
      <c r="E287" s="1256"/>
      <c r="F287" s="848"/>
      <c r="G287" s="837" t="str">
        <f>"Nog af te bouwen regulatoir saldo einde "&amp;F285-1</f>
        <v>Nog af te bouwen regulatoir saldo einde 2022</v>
      </c>
      <c r="H287" s="837" t="str">
        <f>"50% van oorspronkelijk saldo door te rekenen volgens de tariefmethodologie in het boekjaar "&amp;F285</f>
        <v>50% van oorspronkelijk saldo door te rekenen volgens de tariefmethodologie in het boekjaar 2023</v>
      </c>
      <c r="I287" s="837" t="str">
        <f>"Nog af te bouwen regulatoir saldo einde "&amp;F285</f>
        <v>Nog af te bouwen regulatoir saldo einde 2023</v>
      </c>
      <c r="J287" s="212"/>
      <c r="Q287" s="167"/>
    </row>
    <row r="288" spans="2:17" x14ac:dyDescent="0.2">
      <c r="B288" s="1251">
        <v>2020</v>
      </c>
      <c r="C288" s="1252"/>
      <c r="D288" s="1252"/>
      <c r="E288" s="1253"/>
      <c r="F288" s="341"/>
      <c r="G288" s="339">
        <f>+I282</f>
        <v>0</v>
      </c>
      <c r="H288" s="568">
        <f>-G282*0.5</f>
        <v>0</v>
      </c>
      <c r="I288" s="339">
        <f t="shared" ref="I288:I289" si="39">+G288+H288</f>
        <v>0</v>
      </c>
      <c r="J288" s="212"/>
      <c r="Q288" s="167"/>
    </row>
    <row r="289" spans="2:17" x14ac:dyDescent="0.2">
      <c r="B289" s="1251">
        <v>2021</v>
      </c>
      <c r="C289" s="1252"/>
      <c r="D289" s="1252"/>
      <c r="E289" s="1253"/>
      <c r="F289" s="341"/>
      <c r="G289" s="339">
        <f>M135</f>
        <v>0</v>
      </c>
      <c r="H289" s="568">
        <f t="shared" ref="H289" si="40">-G289*0.5</f>
        <v>0</v>
      </c>
      <c r="I289" s="339">
        <f t="shared" si="39"/>
        <v>0</v>
      </c>
      <c r="J289" s="212"/>
      <c r="Q289" s="167"/>
    </row>
    <row r="290" spans="2:17" s="281" customFormat="1" x14ac:dyDescent="0.2">
      <c r="B290" s="847"/>
      <c r="C290" s="847"/>
      <c r="D290" s="847"/>
      <c r="E290" s="847"/>
      <c r="F290" s="847"/>
      <c r="G290" s="849">
        <f>SUM(G288:G289)</f>
        <v>0</v>
      </c>
      <c r="H290" s="856">
        <f>SUM(H288:H289)</f>
        <v>0</v>
      </c>
      <c r="I290" s="849">
        <f>SUM(I288:I289)</f>
        <v>0</v>
      </c>
    </row>
    <row r="291" spans="2:17" x14ac:dyDescent="0.2">
      <c r="B291" s="842"/>
      <c r="C291" s="842"/>
      <c r="D291" s="842"/>
      <c r="E291" s="842"/>
      <c r="F291" s="842"/>
      <c r="G291" s="842"/>
      <c r="H291" s="855"/>
      <c r="I291" s="842"/>
      <c r="Q291" s="167"/>
    </row>
    <row r="292" spans="2:17" x14ac:dyDescent="0.2">
      <c r="B292" s="847" t="s">
        <v>172</v>
      </c>
      <c r="C292" s="842"/>
      <c r="D292" s="842"/>
      <c r="E292" s="842"/>
      <c r="F292" s="1004">
        <v>2024</v>
      </c>
      <c r="G292" s="842"/>
      <c r="H292" s="855"/>
      <c r="I292" s="842"/>
      <c r="Q292" s="167"/>
    </row>
    <row r="293" spans="2:17" x14ac:dyDescent="0.2">
      <c r="B293" s="842"/>
      <c r="C293" s="842"/>
      <c r="D293" s="842"/>
      <c r="E293" s="842"/>
      <c r="F293" s="842"/>
      <c r="G293" s="842"/>
      <c r="H293" s="855"/>
      <c r="I293" s="842"/>
      <c r="Q293" s="167"/>
    </row>
    <row r="294" spans="2:17" ht="78" customHeight="1" x14ac:dyDescent="0.2">
      <c r="B294" s="1254" t="s">
        <v>173</v>
      </c>
      <c r="C294" s="1255"/>
      <c r="D294" s="1255"/>
      <c r="E294" s="1256"/>
      <c r="F294" s="848"/>
      <c r="G294" s="837" t="str">
        <f>"Nog af te bouwen regulatoir saldo einde "&amp;F292-1</f>
        <v>Nog af te bouwen regulatoir saldo einde 2023</v>
      </c>
      <c r="H294" s="837" t="str">
        <f>"50% van oorspronkelijk saldo door te rekenen volgens de tariefmethodologie in het boekjaar "&amp;F292</f>
        <v>50% van oorspronkelijk saldo door te rekenen volgens de tariefmethodologie in het boekjaar 2024</v>
      </c>
      <c r="I294" s="837" t="str">
        <f>"Nog af te bouwen regulatoir saldo einde "&amp;F292</f>
        <v>Nog af te bouwen regulatoir saldo einde 2024</v>
      </c>
      <c r="J294" s="212"/>
      <c r="Q294" s="167"/>
    </row>
    <row r="295" spans="2:17" x14ac:dyDescent="0.2">
      <c r="B295" s="1251">
        <v>2021</v>
      </c>
      <c r="C295" s="1252"/>
      <c r="D295" s="1252"/>
      <c r="E295" s="1253"/>
      <c r="F295" s="341"/>
      <c r="G295" s="339">
        <f>+I289</f>
        <v>0</v>
      </c>
      <c r="H295" s="568">
        <f>-G289*0.5</f>
        <v>0</v>
      </c>
      <c r="I295" s="339">
        <f t="shared" ref="I295:I296" si="41">+G295+H295</f>
        <v>0</v>
      </c>
      <c r="J295" s="212"/>
      <c r="Q295" s="167"/>
    </row>
    <row r="296" spans="2:17" x14ac:dyDescent="0.2">
      <c r="B296" s="1251">
        <v>2022</v>
      </c>
      <c r="C296" s="1252"/>
      <c r="D296" s="1252"/>
      <c r="E296" s="1253"/>
      <c r="F296" s="341"/>
      <c r="G296" s="339">
        <f>N136</f>
        <v>0</v>
      </c>
      <c r="H296" s="568">
        <f t="shared" ref="H296" si="42">-G296*0.5</f>
        <v>0</v>
      </c>
      <c r="I296" s="339">
        <f t="shared" si="41"/>
        <v>0</v>
      </c>
      <c r="J296" s="212"/>
      <c r="Q296" s="167"/>
    </row>
    <row r="297" spans="2:17" s="281" customFormat="1" x14ac:dyDescent="0.2">
      <c r="B297" s="847"/>
      <c r="C297" s="847"/>
      <c r="D297" s="847"/>
      <c r="E297" s="847"/>
      <c r="F297" s="847"/>
      <c r="G297" s="849">
        <f>SUM(G295:G296)</f>
        <v>0</v>
      </c>
      <c r="H297" s="856">
        <f>SUM(H295:H296)</f>
        <v>0</v>
      </c>
      <c r="I297" s="849">
        <f>SUM(I295:I296)</f>
        <v>0</v>
      </c>
    </row>
    <row r="298" spans="2:17" x14ac:dyDescent="0.2">
      <c r="B298" s="281" t="s">
        <v>240</v>
      </c>
      <c r="H298" s="221"/>
      <c r="Q298" s="167"/>
    </row>
    <row r="299" spans="2:17" x14ac:dyDescent="0.2">
      <c r="B299" s="281" t="s">
        <v>174</v>
      </c>
      <c r="C299" s="224"/>
      <c r="D299" s="224"/>
      <c r="E299" s="224"/>
      <c r="H299" s="221"/>
      <c r="Q299" s="167"/>
    </row>
    <row r="300" spans="2:17" x14ac:dyDescent="0.2">
      <c r="B300" s="281"/>
      <c r="C300" s="224"/>
      <c r="D300" s="224"/>
      <c r="E300" s="224"/>
      <c r="H300" s="221"/>
      <c r="Q300" s="167"/>
    </row>
    <row r="301" spans="2:17" x14ac:dyDescent="0.2">
      <c r="B301" s="283">
        <f>F264</f>
        <v>2021</v>
      </c>
      <c r="C301" s="287">
        <f>+H272</f>
        <v>0</v>
      </c>
      <c r="D301" s="224"/>
      <c r="E301" s="224"/>
      <c r="H301" s="221"/>
      <c r="Q301" s="167"/>
    </row>
    <row r="302" spans="2:17" x14ac:dyDescent="0.2">
      <c r="B302" s="341">
        <v>2022</v>
      </c>
      <c r="C302" s="342">
        <f>+H283</f>
        <v>0</v>
      </c>
      <c r="D302" s="224"/>
      <c r="E302" s="224"/>
      <c r="H302" s="221"/>
      <c r="Q302" s="167"/>
    </row>
    <row r="303" spans="2:17" x14ac:dyDescent="0.2">
      <c r="B303" s="341">
        <v>2023</v>
      </c>
      <c r="C303" s="342">
        <f>+H290</f>
        <v>0</v>
      </c>
      <c r="D303" s="224"/>
      <c r="E303" s="224"/>
      <c r="H303" s="221"/>
      <c r="Q303" s="167"/>
    </row>
    <row r="304" spans="2:17" x14ac:dyDescent="0.2">
      <c r="B304" s="341">
        <v>2024</v>
      </c>
      <c r="C304" s="342">
        <f>+H297</f>
        <v>0</v>
      </c>
      <c r="D304" s="224"/>
      <c r="E304" s="224"/>
      <c r="H304" s="221"/>
      <c r="Q304" s="167"/>
    </row>
    <row r="305" spans="2:17" x14ac:dyDescent="0.2">
      <c r="H305" s="221"/>
      <c r="Q305" s="167"/>
    </row>
    <row r="306" spans="2:17" x14ac:dyDescent="0.2">
      <c r="H306" s="221"/>
      <c r="Q306" s="167"/>
    </row>
    <row r="307" spans="2:17" x14ac:dyDescent="0.2">
      <c r="B307" s="326" t="s">
        <v>66</v>
      </c>
      <c r="C307" s="327"/>
      <c r="D307" s="327"/>
      <c r="E307" s="327"/>
      <c r="F307" s="328"/>
      <c r="G307" s="328"/>
      <c r="H307" s="569"/>
      <c r="I307" s="328"/>
      <c r="J307" s="328"/>
      <c r="K307" s="328"/>
      <c r="L307" s="328"/>
      <c r="M307" s="328"/>
      <c r="Q307" s="167"/>
    </row>
    <row r="308" spans="2:17" x14ac:dyDescent="0.2">
      <c r="H308" s="221"/>
      <c r="Q308" s="167"/>
    </row>
    <row r="309" spans="2:17" x14ac:dyDescent="0.2">
      <c r="B309" s="281" t="s">
        <v>172</v>
      </c>
      <c r="F309" s="1000">
        <v>2017</v>
      </c>
      <c r="H309" s="221"/>
      <c r="Q309" s="167"/>
    </row>
    <row r="310" spans="2:17" x14ac:dyDescent="0.2">
      <c r="H310" s="221"/>
      <c r="L310" s="212"/>
      <c r="Q310" s="167"/>
    </row>
    <row r="311" spans="2:17" ht="104.1" customHeight="1" x14ac:dyDescent="0.2">
      <c r="B311" s="1257" t="s">
        <v>173</v>
      </c>
      <c r="C311" s="1258"/>
      <c r="D311" s="1258"/>
      <c r="E311" s="1259"/>
      <c r="F311" s="282"/>
      <c r="G311" s="166" t="str">
        <f>"Nog af te bouwen regulatoir saldo einde "&amp;F309-1</f>
        <v>Nog af te bouwen regulatoir saldo einde 2016</v>
      </c>
      <c r="H311" s="166" t="str">
        <f>"Afbouw oudste openstaande regulatoir saldo vanaf boekjaar "&amp;F309-3&amp;" en vroeger, door aanwending van compensatie met regulatoir saldo ontstaan over boekjaar "&amp;F309-2</f>
        <v>Afbouw oudste openstaande regulatoir saldo vanaf boekjaar 2014 en vroeger, door aanwending van compensatie met regulatoir saldo ontstaan over boekjaar 2015</v>
      </c>
      <c r="I311" s="166" t="str">
        <f>"Nog af te bouwen regulatoir saldo na compensatie einde "&amp;F309-1</f>
        <v>Nog af te bouwen regulatoir saldo na compensatie einde 2016</v>
      </c>
      <c r="J311" s="166" t="str">
        <f>"Aanwending van "&amp;IF($B$7="elektriciteit","75%",IF($B$7="gas","40%","FALSE"))&amp;" van het geaccumuleerd regulatoir saldo door te rekenen volgens de tariefmethodologie in het boekjaar "&amp;F309</f>
        <v>Aanwending van 40% van het geaccumuleerd regulatoir saldo door te rekenen volgens de tariefmethodologie in het boekjaar 2017</v>
      </c>
      <c r="K311" s="166" t="str">
        <f>"Nog af te bouwen regulatoir saldo einde "&amp;F309</f>
        <v>Nog af te bouwen regulatoir saldo einde 2017</v>
      </c>
      <c r="L311" s="212"/>
      <c r="Q311" s="167"/>
    </row>
    <row r="312" spans="2:17" x14ac:dyDescent="0.2">
      <c r="B312" s="1260">
        <v>2015</v>
      </c>
      <c r="C312" s="1261"/>
      <c r="D312" s="1261"/>
      <c r="E312" s="1262"/>
      <c r="F312" s="283"/>
      <c r="G312" s="177">
        <f>G140</f>
        <v>0</v>
      </c>
      <c r="H312" s="566">
        <v>0</v>
      </c>
      <c r="I312" s="177">
        <f>+G312+H312</f>
        <v>0</v>
      </c>
      <c r="J312" s="1008">
        <f>-I312*IF($B$7="elektriciteit",0.75,IF($B$7="gas",0.4,"FALSE"))</f>
        <v>0</v>
      </c>
      <c r="K312" s="1001">
        <f>+J312+G312</f>
        <v>0</v>
      </c>
      <c r="L312" s="212"/>
      <c r="Q312" s="167"/>
    </row>
    <row r="313" spans="2:17" x14ac:dyDescent="0.2">
      <c r="H313" s="221"/>
      <c r="L313" s="212"/>
      <c r="Q313" s="167"/>
    </row>
    <row r="314" spans="2:17" x14ac:dyDescent="0.2">
      <c r="B314" s="281" t="s">
        <v>172</v>
      </c>
      <c r="F314" s="1000">
        <v>2018</v>
      </c>
      <c r="H314" s="221"/>
      <c r="Q314" s="167"/>
    </row>
    <row r="315" spans="2:17" x14ac:dyDescent="0.2">
      <c r="H315" s="221"/>
      <c r="Q315" s="167"/>
    </row>
    <row r="316" spans="2:17" ht="104.1" customHeight="1" x14ac:dyDescent="0.2">
      <c r="B316" s="1257" t="s">
        <v>173</v>
      </c>
      <c r="C316" s="1258"/>
      <c r="D316" s="1258"/>
      <c r="E316" s="1259"/>
      <c r="F316" s="282"/>
      <c r="G316" s="166" t="str">
        <f>"Nog af te bouwen regulatoir saldo einde "&amp;F314-1</f>
        <v>Nog af te bouwen regulatoir saldo einde 2017</v>
      </c>
      <c r="H316" s="166" t="str">
        <f>"Afbouw oudste openstaande regulatoir saldo vanaf boekjaar "&amp;F314-3&amp;" en vroeger, door aanwending van compensatie met regulatoir saldo ontstaan over boekjaar "&amp;F314-2</f>
        <v>Afbouw oudste openstaande regulatoir saldo vanaf boekjaar 2015 en vroeger, door aanwending van compensatie met regulatoir saldo ontstaan over boekjaar 2016</v>
      </c>
      <c r="I316" s="166" t="str">
        <f>"Nog af te bouwen regulatoir saldo na compensatie einde "&amp;F314-1</f>
        <v>Nog af te bouwen regulatoir saldo na compensatie einde 2017</v>
      </c>
      <c r="J316" s="166" t="str">
        <f>"Aanwending van "&amp;IF($B$7="elektriciteit","75%",IF($B$7="gas","40%","FALSE"))&amp;" van het geaccumuleerd regulatoir saldo door te rekenen volgens de tariefmethodologie in het boekjaar "&amp;F314</f>
        <v>Aanwending van 40% van het geaccumuleerd regulatoir saldo door te rekenen volgens de tariefmethodologie in het boekjaar 2018</v>
      </c>
      <c r="K316" s="166" t="str">
        <f>"Aanwending van "&amp;IF($B$7="elektriciteit","75%",IF($B$7="gas","40%","FALSE"))&amp;" van het geaccumuleerd regulatoir saldo door te rekenen volgens de tariefmethodologie in het boekjaar "&amp;F314</f>
        <v>Aanwending van 40% van het geaccumuleerd regulatoir saldo door te rekenen volgens de tariefmethodologie in het boekjaar 2018</v>
      </c>
      <c r="L316" s="166" t="str">
        <f>"Totale afbouw over "&amp;F314</f>
        <v>Totale afbouw over 2018</v>
      </c>
      <c r="M316" s="166" t="str">
        <f>"Nog af te bouwen regulatoir saldo einde "&amp;F314</f>
        <v>Nog af te bouwen regulatoir saldo einde 2018</v>
      </c>
      <c r="N316" s="212"/>
      <c r="Q316" s="167"/>
    </row>
    <row r="317" spans="2:17" x14ac:dyDescent="0.2">
      <c r="B317" s="1260">
        <v>2015</v>
      </c>
      <c r="C317" s="1261"/>
      <c r="D317" s="1261"/>
      <c r="E317" s="1262"/>
      <c r="F317" s="283"/>
      <c r="G317" s="177">
        <f>K312</f>
        <v>0</v>
      </c>
      <c r="H317" s="566">
        <f>IF(SIGN(G318*K312)&lt;0,IF(G317&lt;&gt;0,-SIGN(G317)*MIN(ABS(G318),ABS(G317)),0),0)</f>
        <v>0</v>
      </c>
      <c r="I317" s="177">
        <f>+G317+H317</f>
        <v>0</v>
      </c>
      <c r="J317" s="1009"/>
      <c r="K317" s="1010">
        <f>-MIN(ABS(I317),ABS(J319))*SIGN(I317)</f>
        <v>0</v>
      </c>
      <c r="L317" s="1003">
        <f>+K317+H317</f>
        <v>0</v>
      </c>
      <c r="M317" s="177">
        <f>+I317+K317</f>
        <v>0</v>
      </c>
      <c r="N317" s="212"/>
      <c r="Q317" s="167"/>
    </row>
    <row r="318" spans="2:17" x14ac:dyDescent="0.2">
      <c r="B318" s="1260">
        <v>2016</v>
      </c>
      <c r="C318" s="1261"/>
      <c r="D318" s="1261"/>
      <c r="E318" s="1262"/>
      <c r="F318" s="283"/>
      <c r="G318" s="177">
        <f>H141</f>
        <v>0</v>
      </c>
      <c r="H318" s="1003">
        <f>IF(SIGN(G318*K312)&lt;0,-H317,0)</f>
        <v>0</v>
      </c>
      <c r="I318" s="177">
        <f>+G318+H318</f>
        <v>0</v>
      </c>
      <c r="J318" s="1009"/>
      <c r="K318" s="1010">
        <f>-MIN(ABS(I318),ABS(J319-K317))*SIGN(I318)</f>
        <v>0</v>
      </c>
      <c r="L318" s="1003">
        <f>+K318+H318</f>
        <v>0</v>
      </c>
      <c r="M318" s="177">
        <f>+I318+K318</f>
        <v>0</v>
      </c>
      <c r="N318" s="212"/>
      <c r="Q318" s="167"/>
    </row>
    <row r="319" spans="2:17" s="281" customFormat="1" x14ac:dyDescent="0.2">
      <c r="G319" s="284">
        <f>SUM(G317:G318)</f>
        <v>0</v>
      </c>
      <c r="H319" s="169">
        <f>SUM(H317:H318)</f>
        <v>0</v>
      </c>
      <c r="I319" s="284">
        <f>SUM(I317:I318)</f>
        <v>0</v>
      </c>
      <c r="J319" s="214">
        <f>-I319*IF($B$7="elektriciteit",0.75,IF($B$7="gas",0.4,"FALSE"))</f>
        <v>0</v>
      </c>
      <c r="K319" s="291">
        <f>SUM(K317:K318)</f>
        <v>0</v>
      </c>
      <c r="L319" s="286"/>
      <c r="M319" s="284">
        <f>SUM(M317:M318)</f>
        <v>0</v>
      </c>
    </row>
    <row r="320" spans="2:17" x14ac:dyDescent="0.2">
      <c r="H320" s="221"/>
      <c r="J320" s="12"/>
      <c r="K320" s="12"/>
      <c r="Q320" s="167"/>
    </row>
    <row r="321" spans="2:17" x14ac:dyDescent="0.2">
      <c r="B321" s="281" t="s">
        <v>172</v>
      </c>
      <c r="F321" s="1000">
        <v>2019</v>
      </c>
      <c r="H321" s="221"/>
      <c r="J321" s="12"/>
      <c r="K321" s="12"/>
      <c r="Q321" s="167"/>
    </row>
    <row r="322" spans="2:17" x14ac:dyDescent="0.2">
      <c r="H322" s="221"/>
      <c r="J322" s="12"/>
      <c r="K322" s="12"/>
      <c r="Q322" s="167"/>
    </row>
    <row r="323" spans="2:17" ht="104.1" customHeight="1" x14ac:dyDescent="0.2">
      <c r="B323" s="1257" t="s">
        <v>173</v>
      </c>
      <c r="C323" s="1258"/>
      <c r="D323" s="1258"/>
      <c r="E323" s="1259"/>
      <c r="F323" s="282"/>
      <c r="G323" s="166" t="str">
        <f>"Nog af te bouwen regulatoir saldo einde "&amp;F321-1</f>
        <v>Nog af te bouwen regulatoir saldo einde 2018</v>
      </c>
      <c r="H323" s="166" t="str">
        <f>"Afbouw oudste openstaande regulatoir saldo vanaf boekjaar "&amp;F321-3&amp;" en vroeger, door aanwending van compensatie met regulatoir saldo ontstaan over boekjaar "&amp;F321-2</f>
        <v>Afbouw oudste openstaande regulatoir saldo vanaf boekjaar 2016 en vroeger, door aanwending van compensatie met regulatoir saldo ontstaan over boekjaar 2017</v>
      </c>
      <c r="I323" s="166" t="str">
        <f>"Nog af te bouwen regulatoir saldo na compensatie einde "&amp;F321-1</f>
        <v>Nog af te bouwen regulatoir saldo na compensatie einde 2018</v>
      </c>
      <c r="J323" s="166" t="str">
        <f>"Aanwending van "&amp;IF($B$7="elektriciteit","75%",IF($B$7="gas","40%","FALSE"))&amp;" van het geaccumuleerd regulatoir saldo door te rekenen volgens de tariefmethodologie in het boekjaar "&amp;F321</f>
        <v>Aanwending van 40% van het geaccumuleerd regulatoir saldo door te rekenen volgens de tariefmethodologie in het boekjaar 2019</v>
      </c>
      <c r="K323" s="166" t="str">
        <f>"Aanwending van "&amp;IF($B$7="elektriciteit","75%",IF($B$7="gas","40%","FALSE"))&amp;" van het geaccumuleerd regulatoir saldo door te rekenen volgens de tariefmethodologie in het boekjaar "&amp;F321</f>
        <v>Aanwending van 40% van het geaccumuleerd regulatoir saldo door te rekenen volgens de tariefmethodologie in het boekjaar 2019</v>
      </c>
      <c r="L323" s="166" t="str">
        <f>"Totale afbouw over "&amp;F321</f>
        <v>Totale afbouw over 2019</v>
      </c>
      <c r="M323" s="166" t="str">
        <f>"Nog af te bouwen regulatoir saldo einde "&amp;F321</f>
        <v>Nog af te bouwen regulatoir saldo einde 2019</v>
      </c>
      <c r="N323" s="212"/>
      <c r="Q323" s="167"/>
    </row>
    <row r="324" spans="2:17" x14ac:dyDescent="0.2">
      <c r="B324" s="1260">
        <v>2015</v>
      </c>
      <c r="C324" s="1261"/>
      <c r="D324" s="1261"/>
      <c r="E324" s="1262"/>
      <c r="F324" s="283"/>
      <c r="G324" s="177">
        <f>+M317</f>
        <v>0</v>
      </c>
      <c r="H324" s="1003">
        <f>IF(SIGN(G326*M319)&lt;0,IF(G324&lt;&gt;0,-SIGN(G324)*MIN(ABS(G326),ABS(G324)),0),0)</f>
        <v>0</v>
      </c>
      <c r="I324" s="177">
        <f>+G324+H324</f>
        <v>0</v>
      </c>
      <c r="J324" s="1009"/>
      <c r="K324" s="1010">
        <f>-MIN(ABS(I324),ABS(J327))*SIGN(I324)</f>
        <v>0</v>
      </c>
      <c r="L324" s="1003">
        <f>+K324+H324</f>
        <v>0</v>
      </c>
      <c r="M324" s="177">
        <f>+I324+K324</f>
        <v>0</v>
      </c>
      <c r="N324" s="212"/>
      <c r="Q324" s="167"/>
    </row>
    <row r="325" spans="2:17" x14ac:dyDescent="0.2">
      <c r="B325" s="1260">
        <v>2016</v>
      </c>
      <c r="C325" s="1261"/>
      <c r="D325" s="1261">
        <v>2016</v>
      </c>
      <c r="E325" s="1262"/>
      <c r="F325" s="283"/>
      <c r="G325" s="177">
        <f>+M318</f>
        <v>0</v>
      </c>
      <c r="H325" s="1003">
        <f>IF(SIGN(G326*M319)&lt;0,IF(G325&lt;&gt;0,-SIGN(G325)*MIN(ABS(G326-H324),ABS(G325)),0),0)</f>
        <v>0</v>
      </c>
      <c r="I325" s="177">
        <f>+G325+H325</f>
        <v>0</v>
      </c>
      <c r="J325" s="1009"/>
      <c r="K325" s="1010">
        <f>-MIN(ABS(I325),ABS(J327-K324))*SIGN(I325)</f>
        <v>0</v>
      </c>
      <c r="L325" s="1003">
        <f>+K325+H325</f>
        <v>0</v>
      </c>
      <c r="M325" s="177">
        <f>+I325+K325</f>
        <v>0</v>
      </c>
      <c r="N325" s="212"/>
      <c r="Q325" s="167"/>
    </row>
    <row r="326" spans="2:17" x14ac:dyDescent="0.2">
      <c r="B326" s="1260">
        <v>2017</v>
      </c>
      <c r="C326" s="1261"/>
      <c r="D326" s="1261"/>
      <c r="E326" s="1262"/>
      <c r="F326" s="283"/>
      <c r="G326" s="177">
        <f>I142</f>
        <v>0</v>
      </c>
      <c r="H326" s="1003">
        <f>IF(SIGN(G326*M319)&lt;0,-SUM(H324:H325),0)</f>
        <v>0</v>
      </c>
      <c r="I326" s="177">
        <f>+G326+H326</f>
        <v>0</v>
      </c>
      <c r="J326" s="1009"/>
      <c r="K326" s="1010">
        <f>-MIN(ABS(I326),ABS(J327-K324-K325))*SIGN(I326)</f>
        <v>0</v>
      </c>
      <c r="L326" s="1003">
        <f>+K326+H326</f>
        <v>0</v>
      </c>
      <c r="M326" s="177">
        <f>+I326+K326</f>
        <v>0</v>
      </c>
      <c r="N326" s="212"/>
      <c r="Q326" s="167"/>
    </row>
    <row r="327" spans="2:17" s="281" customFormat="1" x14ac:dyDescent="0.2">
      <c r="G327" s="284">
        <f>SUM(G324:G326)</f>
        <v>0</v>
      </c>
      <c r="H327" s="169">
        <f>SUM(H324:H326)</f>
        <v>0</v>
      </c>
      <c r="I327" s="284">
        <f>SUM(I324:I326)</f>
        <v>0</v>
      </c>
      <c r="J327" s="214">
        <f>-I327*IF($B$7="elektriciteit",0.75,IF($B$7="gas",0.4,"FALSE"))</f>
        <v>0</v>
      </c>
      <c r="K327" s="291">
        <f>SUM(K324:K326)</f>
        <v>0</v>
      </c>
      <c r="L327" s="570"/>
      <c r="M327" s="284">
        <f>SUM(M324:M326)</f>
        <v>0</v>
      </c>
    </row>
    <row r="328" spans="2:17" x14ac:dyDescent="0.2">
      <c r="H328" s="221"/>
      <c r="J328" s="12"/>
      <c r="K328" s="12"/>
      <c r="Q328" s="167"/>
    </row>
    <row r="329" spans="2:17" x14ac:dyDescent="0.2">
      <c r="B329" s="281" t="s">
        <v>172</v>
      </c>
      <c r="F329" s="1000">
        <v>2020</v>
      </c>
      <c r="H329" s="221"/>
      <c r="J329" s="12"/>
      <c r="K329" s="12"/>
      <c r="Q329" s="167"/>
    </row>
    <row r="330" spans="2:17" x14ac:dyDescent="0.2">
      <c r="H330" s="221"/>
      <c r="J330" s="12"/>
      <c r="K330" s="12"/>
      <c r="Q330" s="167"/>
    </row>
    <row r="331" spans="2:17" ht="104.1" customHeight="1" x14ac:dyDescent="0.2">
      <c r="B331" s="1257" t="s">
        <v>173</v>
      </c>
      <c r="C331" s="1258"/>
      <c r="D331" s="1258"/>
      <c r="E331" s="1259"/>
      <c r="F331" s="282"/>
      <c r="G331" s="166" t="str">
        <f>"Nog af te bouwen regulatoir saldo einde "&amp;F329-1</f>
        <v>Nog af te bouwen regulatoir saldo einde 2019</v>
      </c>
      <c r="H331" s="166" t="str">
        <f>"Afbouw oudste openstaande regulatoir saldo vanaf boekjaar "&amp;F329-3&amp;" en vroeger, door aanwending van compensatie met regulatoir saldo ontstaan over boekjaar "&amp;F329-2</f>
        <v>Afbouw oudste openstaande regulatoir saldo vanaf boekjaar 2017 en vroeger, door aanwending van compensatie met regulatoir saldo ontstaan over boekjaar 2018</v>
      </c>
      <c r="I331" s="166" t="str">
        <f>"Nog af te bouwen regulatoir saldo na compensatie einde "&amp;F329-1</f>
        <v>Nog af te bouwen regulatoir saldo na compensatie einde 2019</v>
      </c>
      <c r="J331" s="166" t="str">
        <f>"Aanwending van "&amp;IF($B$7="elektriciteit","75%",IF($B$7="gas","40%","FALSE"))&amp;" van het geaccumuleerd regulatoir saldo door te rekenen volgens de tariefmethodologie in het boekjaar "&amp;F329</f>
        <v>Aanwending van 40% van het geaccumuleerd regulatoir saldo door te rekenen volgens de tariefmethodologie in het boekjaar 2020</v>
      </c>
      <c r="K331" s="166" t="str">
        <f>"Aanwending van "&amp;IF($B$7="elektriciteit","75%",IF($B$7="gas","40%","FALSE"))&amp;" van het geaccumuleerd regulatoir saldo door te rekenen volgens de tariefmethodologie in het boekjaar "&amp;F329</f>
        <v>Aanwending van 40% van het geaccumuleerd regulatoir saldo door te rekenen volgens de tariefmethodologie in het boekjaar 2020</v>
      </c>
      <c r="L331" s="166" t="str">
        <f>"Totale afbouw over "&amp;F329</f>
        <v>Totale afbouw over 2020</v>
      </c>
      <c r="M331" s="166" t="str">
        <f>"Nog af te bouwen regulatoir saldo einde "&amp;F329</f>
        <v>Nog af te bouwen regulatoir saldo einde 2020</v>
      </c>
      <c r="N331" s="212"/>
      <c r="Q331" s="167"/>
    </row>
    <row r="332" spans="2:17" x14ac:dyDescent="0.2">
      <c r="B332" s="1260">
        <v>2015</v>
      </c>
      <c r="C332" s="1261"/>
      <c r="D332" s="1261"/>
      <c r="E332" s="1262"/>
      <c r="F332" s="283"/>
      <c r="G332" s="177">
        <f>+M324</f>
        <v>0</v>
      </c>
      <c r="H332" s="1003">
        <f>IF(SIGN(G335*M327)&lt;0,IF(G332&lt;&gt;0,-SIGN(G332)*MIN(ABS(G335),ABS(G332)),0),0)</f>
        <v>0</v>
      </c>
      <c r="I332" s="177">
        <f>+G332+H332</f>
        <v>0</v>
      </c>
      <c r="J332" s="1009"/>
      <c r="K332" s="1010">
        <f>-MIN(ABS(I332),ABS(J336))*SIGN(I332)</f>
        <v>0</v>
      </c>
      <c r="L332" s="1003">
        <f>+K332+H332</f>
        <v>0</v>
      </c>
      <c r="M332" s="177">
        <f>+I332+K332</f>
        <v>0</v>
      </c>
      <c r="N332" s="212"/>
      <c r="Q332" s="167"/>
    </row>
    <row r="333" spans="2:17" x14ac:dyDescent="0.2">
      <c r="B333" s="1260">
        <v>2016</v>
      </c>
      <c r="C333" s="1261"/>
      <c r="D333" s="1261"/>
      <c r="E333" s="1262"/>
      <c r="F333" s="283"/>
      <c r="G333" s="177">
        <f>+M325</f>
        <v>0</v>
      </c>
      <c r="H333" s="1003">
        <f>IF(SIGN(G335*M327)&lt;0,IF(G333&lt;&gt;0,-SIGN(G333)*MIN(ABS(G335-H332),ABS(G333)),0),0)</f>
        <v>0</v>
      </c>
      <c r="I333" s="177">
        <f>+G333+H333</f>
        <v>0</v>
      </c>
      <c r="J333" s="1009"/>
      <c r="K333" s="1010">
        <f>-MIN(ABS(I333),ABS(J336-K332))*SIGN(I333)</f>
        <v>0</v>
      </c>
      <c r="L333" s="1003">
        <f>+K333+H333</f>
        <v>0</v>
      </c>
      <c r="M333" s="177">
        <f>+I333+K333</f>
        <v>0</v>
      </c>
      <c r="N333" s="212"/>
      <c r="Q333" s="167"/>
    </row>
    <row r="334" spans="2:17" x14ac:dyDescent="0.2">
      <c r="B334" s="1260">
        <v>2017</v>
      </c>
      <c r="C334" s="1261"/>
      <c r="D334" s="1261">
        <v>2016</v>
      </c>
      <c r="E334" s="1262"/>
      <c r="F334" s="283"/>
      <c r="G334" s="177">
        <f>+M326</f>
        <v>0</v>
      </c>
      <c r="H334" s="1003">
        <f>IF(SIGN(G335*M327)&lt;0,IF(G334&lt;&gt;0,-SIGN(G334)*MIN(ABS(G335-H332-H333),ABS(G334)),0),0)</f>
        <v>0</v>
      </c>
      <c r="I334" s="177">
        <f>+G334+H334</f>
        <v>0</v>
      </c>
      <c r="J334" s="1009"/>
      <c r="K334" s="1010">
        <f>-MIN(ABS(I334),ABS(J336-K332-K333))*SIGN(I334)</f>
        <v>0</v>
      </c>
      <c r="L334" s="1003">
        <f>+K334+H334</f>
        <v>0</v>
      </c>
      <c r="M334" s="177">
        <f>+I334+K334</f>
        <v>0</v>
      </c>
      <c r="N334" s="212"/>
      <c r="Q334" s="167"/>
    </row>
    <row r="335" spans="2:17" x14ac:dyDescent="0.2">
      <c r="B335" s="1260">
        <v>2018</v>
      </c>
      <c r="C335" s="1261"/>
      <c r="D335" s="1261"/>
      <c r="E335" s="1262"/>
      <c r="F335" s="283"/>
      <c r="G335" s="177">
        <f>J143</f>
        <v>0</v>
      </c>
      <c r="H335" s="1003">
        <f>IF(SIGN(G335*M327)&lt;0,-SUM(H332:H334),0)</f>
        <v>0</v>
      </c>
      <c r="I335" s="177">
        <f>+G335+H335</f>
        <v>0</v>
      </c>
      <c r="J335" s="1009"/>
      <c r="K335" s="1010">
        <f>-MIN(ABS(I335),ABS(J336-K332-K333-K334))*SIGN(I335)</f>
        <v>0</v>
      </c>
      <c r="L335" s="1003">
        <f>+K335+H335</f>
        <v>0</v>
      </c>
      <c r="M335" s="177">
        <f>+I335+K335</f>
        <v>0</v>
      </c>
      <c r="N335" s="212"/>
      <c r="Q335" s="167"/>
    </row>
    <row r="336" spans="2:17" s="281" customFormat="1" x14ac:dyDescent="0.2">
      <c r="G336" s="284">
        <f>SUM(G332:G335)</f>
        <v>0</v>
      </c>
      <c r="H336" s="169">
        <f>SUM(H332:H335)</f>
        <v>0</v>
      </c>
      <c r="I336" s="284">
        <f>SUM(I332:I335)</f>
        <v>0</v>
      </c>
      <c r="J336" s="214">
        <f>-I336*IF($B$7="elektriciteit",0.75,IF($B$7="gas",0.4,"FALSE"))</f>
        <v>0</v>
      </c>
      <c r="K336" s="291">
        <f>SUM(K332:K335)</f>
        <v>0</v>
      </c>
      <c r="L336" s="169"/>
      <c r="M336" s="284">
        <f>SUM(M332:M335)</f>
        <v>0</v>
      </c>
    </row>
    <row r="337" spans="2:17" x14ac:dyDescent="0.2">
      <c r="H337" s="221"/>
      <c r="Q337" s="167"/>
    </row>
    <row r="338" spans="2:17" x14ac:dyDescent="0.2">
      <c r="B338" s="281" t="s">
        <v>172</v>
      </c>
      <c r="F338" s="1000">
        <v>2021</v>
      </c>
      <c r="H338" s="221"/>
      <c r="Q338" s="167"/>
    </row>
    <row r="339" spans="2:17" x14ac:dyDescent="0.2">
      <c r="H339" s="221"/>
      <c r="Q339" s="167"/>
    </row>
    <row r="340" spans="2:17" ht="78" customHeight="1" x14ac:dyDescent="0.2">
      <c r="B340" s="1257" t="s">
        <v>173</v>
      </c>
      <c r="C340" s="1258"/>
      <c r="D340" s="1258"/>
      <c r="E340" s="1259"/>
      <c r="F340" s="282"/>
      <c r="G340" s="166" t="str">
        <f>"Nog af te bouwen regulatoir saldo einde "&amp;F338-1</f>
        <v>Nog af te bouwen regulatoir saldo einde 2020</v>
      </c>
      <c r="H340" s="166" t="str">
        <f>"50% van oorspronkelijk saldo door te rekenen volgens de tariefmethodologie in het boekjaar "&amp;F338</f>
        <v>50% van oorspronkelijk saldo door te rekenen volgens de tariefmethodologie in het boekjaar 2021</v>
      </c>
      <c r="I340" s="166" t="str">
        <f>"Nog af te bouwen regulatoir saldo einde "&amp;F338</f>
        <v>Nog af te bouwen regulatoir saldo einde 2021</v>
      </c>
      <c r="J340" s="212"/>
      <c r="Q340" s="167"/>
    </row>
    <row r="341" spans="2:17" x14ac:dyDescent="0.2">
      <c r="B341" s="1260">
        <v>2015</v>
      </c>
      <c r="C341" s="1261"/>
      <c r="D341" s="1261"/>
      <c r="E341" s="1262"/>
      <c r="F341" s="283"/>
      <c r="G341" s="177">
        <f>M332</f>
        <v>0</v>
      </c>
      <c r="H341" s="566">
        <f>-G341*0.5</f>
        <v>0</v>
      </c>
      <c r="I341" s="177">
        <f>+G341+H341</f>
        <v>0</v>
      </c>
      <c r="J341" s="212"/>
      <c r="Q341" s="167"/>
    </row>
    <row r="342" spans="2:17" x14ac:dyDescent="0.2">
      <c r="B342" s="1260">
        <v>2016</v>
      </c>
      <c r="C342" s="1261"/>
      <c r="D342" s="1261"/>
      <c r="E342" s="1262"/>
      <c r="F342" s="283"/>
      <c r="G342" s="177">
        <f t="shared" ref="G342:G344" si="43">M333</f>
        <v>0</v>
      </c>
      <c r="H342" s="566">
        <f t="shared" ref="H342:H345" si="44">-G342*0.5</f>
        <v>0</v>
      </c>
      <c r="I342" s="177">
        <f t="shared" ref="I342:I345" si="45">+G342+H342</f>
        <v>0</v>
      </c>
      <c r="J342" s="212"/>
      <c r="Q342" s="167"/>
    </row>
    <row r="343" spans="2:17" x14ac:dyDescent="0.2">
      <c r="B343" s="1260">
        <v>2017</v>
      </c>
      <c r="C343" s="1261"/>
      <c r="D343" s="1261">
        <v>2016</v>
      </c>
      <c r="E343" s="1262"/>
      <c r="F343" s="283"/>
      <c r="G343" s="177">
        <f t="shared" si="43"/>
        <v>0</v>
      </c>
      <c r="H343" s="566">
        <f t="shared" si="44"/>
        <v>0</v>
      </c>
      <c r="I343" s="177">
        <f t="shared" si="45"/>
        <v>0</v>
      </c>
      <c r="J343" s="212"/>
      <c r="Q343" s="167"/>
    </row>
    <row r="344" spans="2:17" x14ac:dyDescent="0.2">
      <c r="B344" s="1260">
        <v>2018</v>
      </c>
      <c r="C344" s="1261"/>
      <c r="D344" s="1261"/>
      <c r="E344" s="1262"/>
      <c r="F344" s="283"/>
      <c r="G344" s="177">
        <f t="shared" si="43"/>
        <v>0</v>
      </c>
      <c r="H344" s="566">
        <f t="shared" si="44"/>
        <v>0</v>
      </c>
      <c r="I344" s="177">
        <f t="shared" si="45"/>
        <v>0</v>
      </c>
      <c r="J344" s="212"/>
      <c r="Q344" s="167"/>
    </row>
    <row r="345" spans="2:17" x14ac:dyDescent="0.2">
      <c r="B345" s="1260">
        <v>2019</v>
      </c>
      <c r="C345" s="1261"/>
      <c r="D345" s="1261"/>
      <c r="E345" s="1262"/>
      <c r="F345" s="283"/>
      <c r="G345" s="177">
        <f>K144</f>
        <v>0</v>
      </c>
      <c r="H345" s="566">
        <f t="shared" si="44"/>
        <v>0</v>
      </c>
      <c r="I345" s="177">
        <f t="shared" si="45"/>
        <v>0</v>
      </c>
      <c r="J345" s="212"/>
      <c r="Q345" s="167"/>
    </row>
    <row r="346" spans="2:17" s="281" customFormat="1" x14ac:dyDescent="0.2">
      <c r="G346" s="284">
        <f>SUM(G341:G345)</f>
        <v>0</v>
      </c>
      <c r="H346" s="169">
        <f>SUM(H341:H345)</f>
        <v>0</v>
      </c>
      <c r="I346" s="284">
        <f>SUM(I341:I345)</f>
        <v>0</v>
      </c>
    </row>
    <row r="347" spans="2:17" x14ac:dyDescent="0.2">
      <c r="H347" s="221"/>
      <c r="Q347" s="167"/>
    </row>
    <row r="348" spans="2:17" x14ac:dyDescent="0.2">
      <c r="B348" s="847" t="s">
        <v>172</v>
      </c>
      <c r="C348" s="842"/>
      <c r="D348" s="842"/>
      <c r="E348" s="842"/>
      <c r="F348" s="1004">
        <v>2022</v>
      </c>
      <c r="G348" s="842"/>
      <c r="H348" s="855"/>
      <c r="I348" s="842"/>
      <c r="Q348" s="167"/>
    </row>
    <row r="349" spans="2:17" x14ac:dyDescent="0.2">
      <c r="B349" s="842"/>
      <c r="C349" s="842"/>
      <c r="D349" s="842"/>
      <c r="E349" s="842"/>
      <c r="F349" s="842"/>
      <c r="G349" s="842"/>
      <c r="H349" s="855"/>
      <c r="I349" s="842"/>
      <c r="Q349" s="167"/>
    </row>
    <row r="350" spans="2:17" ht="78" customHeight="1" x14ac:dyDescent="0.2">
      <c r="B350" s="1254" t="s">
        <v>173</v>
      </c>
      <c r="C350" s="1255"/>
      <c r="D350" s="1255"/>
      <c r="E350" s="1256"/>
      <c r="F350" s="848"/>
      <c r="G350" s="837" t="str">
        <f>"Nog af te bouwen regulatoir saldo einde "&amp;F348-1</f>
        <v>Nog af te bouwen regulatoir saldo einde 2021</v>
      </c>
      <c r="H350" s="837" t="str">
        <f>"50% van oorspronkelijk saldo door te rekenen volgens de tariefmethodologie in het boekjaar "&amp;F348</f>
        <v>50% van oorspronkelijk saldo door te rekenen volgens de tariefmethodologie in het boekjaar 2022</v>
      </c>
      <c r="I350" s="837" t="str">
        <f>"Nog af te bouwen regulatoir saldo einde "&amp;F348</f>
        <v>Nog af te bouwen regulatoir saldo einde 2022</v>
      </c>
      <c r="J350" s="212"/>
      <c r="Q350" s="167"/>
    </row>
    <row r="351" spans="2:17" x14ac:dyDescent="0.2">
      <c r="B351" s="1251">
        <v>2015</v>
      </c>
      <c r="C351" s="1252"/>
      <c r="D351" s="1252"/>
      <c r="E351" s="1253"/>
      <c r="F351" s="341"/>
      <c r="G351" s="339">
        <f>+I341</f>
        <v>0</v>
      </c>
      <c r="H351" s="568">
        <f>-G341*0.5</f>
        <v>0</v>
      </c>
      <c r="I351" s="339">
        <f>+G351+H351</f>
        <v>0</v>
      </c>
      <c r="J351" s="212"/>
      <c r="Q351" s="167"/>
    </row>
    <row r="352" spans="2:17" x14ac:dyDescent="0.2">
      <c r="B352" s="1251">
        <v>2016</v>
      </c>
      <c r="C352" s="1252"/>
      <c r="D352" s="1252"/>
      <c r="E352" s="1253"/>
      <c r="F352" s="341"/>
      <c r="G352" s="339">
        <f t="shared" ref="G352:G355" si="46">+I342</f>
        <v>0</v>
      </c>
      <c r="H352" s="568">
        <f t="shared" ref="H352:H355" si="47">-G342*0.5</f>
        <v>0</v>
      </c>
      <c r="I352" s="339">
        <f t="shared" ref="I352:I356" si="48">+G352+H352</f>
        <v>0</v>
      </c>
      <c r="J352" s="212"/>
      <c r="Q352" s="167"/>
    </row>
    <row r="353" spans="2:17" x14ac:dyDescent="0.2">
      <c r="B353" s="1251">
        <v>2017</v>
      </c>
      <c r="C353" s="1252"/>
      <c r="D353" s="1252">
        <v>2016</v>
      </c>
      <c r="E353" s="1253"/>
      <c r="F353" s="341"/>
      <c r="G353" s="339">
        <f t="shared" si="46"/>
        <v>0</v>
      </c>
      <c r="H353" s="568">
        <f t="shared" si="47"/>
        <v>0</v>
      </c>
      <c r="I353" s="339">
        <f t="shared" si="48"/>
        <v>0</v>
      </c>
      <c r="J353" s="212"/>
      <c r="Q353" s="167"/>
    </row>
    <row r="354" spans="2:17" x14ac:dyDescent="0.2">
      <c r="B354" s="1251">
        <v>2018</v>
      </c>
      <c r="C354" s="1252"/>
      <c r="D354" s="1252"/>
      <c r="E354" s="1253"/>
      <c r="F354" s="341"/>
      <c r="G354" s="339">
        <f t="shared" si="46"/>
        <v>0</v>
      </c>
      <c r="H354" s="568">
        <f t="shared" si="47"/>
        <v>0</v>
      </c>
      <c r="I354" s="339">
        <f t="shared" si="48"/>
        <v>0</v>
      </c>
      <c r="J354" s="212"/>
      <c r="Q354" s="167"/>
    </row>
    <row r="355" spans="2:17" x14ac:dyDescent="0.2">
      <c r="B355" s="1251">
        <v>2019</v>
      </c>
      <c r="C355" s="1252"/>
      <c r="D355" s="1252"/>
      <c r="E355" s="1253"/>
      <c r="F355" s="341"/>
      <c r="G355" s="339">
        <f t="shared" si="46"/>
        <v>0</v>
      </c>
      <c r="H355" s="568">
        <f t="shared" si="47"/>
        <v>0</v>
      </c>
      <c r="I355" s="339">
        <f t="shared" si="48"/>
        <v>0</v>
      </c>
      <c r="J355" s="212"/>
      <c r="Q355" s="167"/>
    </row>
    <row r="356" spans="2:17" x14ac:dyDescent="0.2">
      <c r="B356" s="1251">
        <v>2020</v>
      </c>
      <c r="C356" s="1252"/>
      <c r="D356" s="1252"/>
      <c r="E356" s="1253"/>
      <c r="F356" s="341"/>
      <c r="G356" s="339">
        <f>L145</f>
        <v>0</v>
      </c>
      <c r="H356" s="568">
        <f t="shared" ref="H356" si="49">-G356*0.5</f>
        <v>0</v>
      </c>
      <c r="I356" s="339">
        <f t="shared" si="48"/>
        <v>0</v>
      </c>
      <c r="J356" s="212"/>
      <c r="Q356" s="167"/>
    </row>
    <row r="357" spans="2:17" s="281" customFormat="1" x14ac:dyDescent="0.2">
      <c r="B357" s="847"/>
      <c r="C357" s="847"/>
      <c r="D357" s="847"/>
      <c r="E357" s="847"/>
      <c r="F357" s="847"/>
      <c r="G357" s="849">
        <f>SUM(G351:G356)</f>
        <v>0</v>
      </c>
      <c r="H357" s="856">
        <f t="shared" ref="H357:I357" si="50">SUM(H351:H356)</f>
        <v>0</v>
      </c>
      <c r="I357" s="849">
        <f t="shared" si="50"/>
        <v>0</v>
      </c>
    </row>
    <row r="358" spans="2:17" x14ac:dyDescent="0.2">
      <c r="B358" s="842"/>
      <c r="C358" s="842"/>
      <c r="D358" s="842"/>
      <c r="E358" s="842"/>
      <c r="F358" s="842"/>
      <c r="G358" s="842"/>
      <c r="H358" s="855"/>
      <c r="I358" s="842"/>
      <c r="Q358" s="167"/>
    </row>
    <row r="359" spans="2:17" x14ac:dyDescent="0.2">
      <c r="B359" s="847" t="s">
        <v>172</v>
      </c>
      <c r="C359" s="842"/>
      <c r="D359" s="842"/>
      <c r="E359" s="842"/>
      <c r="F359" s="1004">
        <v>2023</v>
      </c>
      <c r="G359" s="842"/>
      <c r="H359" s="855"/>
      <c r="I359" s="842"/>
      <c r="Q359" s="167"/>
    </row>
    <row r="360" spans="2:17" x14ac:dyDescent="0.2">
      <c r="B360" s="842"/>
      <c r="C360" s="842"/>
      <c r="D360" s="842"/>
      <c r="E360" s="842"/>
      <c r="F360" s="842"/>
      <c r="G360" s="842"/>
      <c r="H360" s="855"/>
      <c r="I360" s="842"/>
      <c r="Q360" s="167"/>
    </row>
    <row r="361" spans="2:17" ht="78" customHeight="1" x14ac:dyDescent="0.2">
      <c r="B361" s="1254" t="s">
        <v>173</v>
      </c>
      <c r="C361" s="1255"/>
      <c r="D361" s="1255"/>
      <c r="E361" s="1256"/>
      <c r="F361" s="848"/>
      <c r="G361" s="837" t="str">
        <f>"Nog af te bouwen regulatoir saldo einde "&amp;F359-1</f>
        <v>Nog af te bouwen regulatoir saldo einde 2022</v>
      </c>
      <c r="H361" s="837" t="str">
        <f>"50% van oorspronkelijk saldo door te rekenen volgens de tariefmethodologie in het boekjaar "&amp;F359</f>
        <v>50% van oorspronkelijk saldo door te rekenen volgens de tariefmethodologie in het boekjaar 2023</v>
      </c>
      <c r="I361" s="837" t="str">
        <f>"Nog af te bouwen regulatoir saldo einde "&amp;F359</f>
        <v>Nog af te bouwen regulatoir saldo einde 2023</v>
      </c>
      <c r="J361" s="212"/>
      <c r="Q361" s="167"/>
    </row>
    <row r="362" spans="2:17" x14ac:dyDescent="0.2">
      <c r="B362" s="1251">
        <v>2020</v>
      </c>
      <c r="C362" s="1252"/>
      <c r="D362" s="1252"/>
      <c r="E362" s="1253"/>
      <c r="F362" s="341"/>
      <c r="G362" s="339">
        <f>+I356</f>
        <v>0</v>
      </c>
      <c r="H362" s="568">
        <f>-G356*0.5</f>
        <v>0</v>
      </c>
      <c r="I362" s="339">
        <f t="shared" ref="I362:I363" si="51">+G362+H362</f>
        <v>0</v>
      </c>
      <c r="J362" s="212"/>
      <c r="Q362" s="167"/>
    </row>
    <row r="363" spans="2:17" x14ac:dyDescent="0.2">
      <c r="B363" s="1251">
        <v>2021</v>
      </c>
      <c r="C363" s="1252"/>
      <c r="D363" s="1252"/>
      <c r="E363" s="1253"/>
      <c r="F363" s="341"/>
      <c r="G363" s="339">
        <f>M146</f>
        <v>0</v>
      </c>
      <c r="H363" s="568">
        <f t="shared" ref="H363" si="52">-G363*0.5</f>
        <v>0</v>
      </c>
      <c r="I363" s="339">
        <f t="shared" si="51"/>
        <v>0</v>
      </c>
      <c r="J363" s="212"/>
      <c r="Q363" s="167"/>
    </row>
    <row r="364" spans="2:17" s="281" customFormat="1" x14ac:dyDescent="0.2">
      <c r="B364" s="847"/>
      <c r="C364" s="847"/>
      <c r="D364" s="847"/>
      <c r="E364" s="847"/>
      <c r="F364" s="847"/>
      <c r="G364" s="849">
        <f>SUM(G362:G363)</f>
        <v>0</v>
      </c>
      <c r="H364" s="856">
        <f>SUM(H362:H363)</f>
        <v>0</v>
      </c>
      <c r="I364" s="849">
        <f>SUM(I362:I363)</f>
        <v>0</v>
      </c>
    </row>
    <row r="365" spans="2:17" x14ac:dyDescent="0.2">
      <c r="B365" s="842"/>
      <c r="C365" s="842"/>
      <c r="D365" s="842"/>
      <c r="E365" s="842"/>
      <c r="F365" s="842"/>
      <c r="G365" s="842"/>
      <c r="H365" s="855"/>
      <c r="I365" s="842"/>
      <c r="Q365" s="167"/>
    </row>
    <row r="366" spans="2:17" x14ac:dyDescent="0.2">
      <c r="B366" s="847" t="s">
        <v>172</v>
      </c>
      <c r="C366" s="842"/>
      <c r="D366" s="842"/>
      <c r="E366" s="842"/>
      <c r="F366" s="1004">
        <v>2024</v>
      </c>
      <c r="G366" s="842"/>
      <c r="H366" s="855"/>
      <c r="I366" s="842"/>
      <c r="Q366" s="167"/>
    </row>
    <row r="367" spans="2:17" x14ac:dyDescent="0.2">
      <c r="B367" s="842"/>
      <c r="C367" s="842"/>
      <c r="D367" s="842"/>
      <c r="E367" s="842"/>
      <c r="F367" s="842"/>
      <c r="G367" s="842"/>
      <c r="H367" s="855"/>
      <c r="I367" s="842"/>
      <c r="Q367" s="167"/>
    </row>
    <row r="368" spans="2:17" ht="78" customHeight="1" x14ac:dyDescent="0.2">
      <c r="B368" s="1254" t="s">
        <v>173</v>
      </c>
      <c r="C368" s="1255"/>
      <c r="D368" s="1255"/>
      <c r="E368" s="1256"/>
      <c r="F368" s="848"/>
      <c r="G368" s="837" t="str">
        <f>"Nog af te bouwen regulatoir saldo einde "&amp;F366-1</f>
        <v>Nog af te bouwen regulatoir saldo einde 2023</v>
      </c>
      <c r="H368" s="837" t="str">
        <f>"50% van oorspronkelijk saldo door te rekenen volgens de tariefmethodologie in het boekjaar "&amp;F366</f>
        <v>50% van oorspronkelijk saldo door te rekenen volgens de tariefmethodologie in het boekjaar 2024</v>
      </c>
      <c r="I368" s="837" t="str">
        <f>"Nog af te bouwen regulatoir saldo einde "&amp;F366</f>
        <v>Nog af te bouwen regulatoir saldo einde 2024</v>
      </c>
      <c r="J368" s="212"/>
      <c r="Q368" s="167"/>
    </row>
    <row r="369" spans="2:17" x14ac:dyDescent="0.2">
      <c r="B369" s="1251">
        <v>2021</v>
      </c>
      <c r="C369" s="1252"/>
      <c r="D369" s="1252"/>
      <c r="E369" s="1253"/>
      <c r="F369" s="341"/>
      <c r="G369" s="339">
        <f>+I363</f>
        <v>0</v>
      </c>
      <c r="H369" s="568">
        <f>-G363*0.5</f>
        <v>0</v>
      </c>
      <c r="I369" s="339">
        <f t="shared" ref="I369:I370" si="53">+G369+H369</f>
        <v>0</v>
      </c>
      <c r="J369" s="212"/>
      <c r="Q369" s="167"/>
    </row>
    <row r="370" spans="2:17" x14ac:dyDescent="0.2">
      <c r="B370" s="1251">
        <v>2022</v>
      </c>
      <c r="C370" s="1252"/>
      <c r="D370" s="1252"/>
      <c r="E370" s="1253"/>
      <c r="F370" s="341"/>
      <c r="G370" s="339">
        <f>N147</f>
        <v>0</v>
      </c>
      <c r="H370" s="568">
        <f t="shared" ref="H370" si="54">-G370*0.5</f>
        <v>0</v>
      </c>
      <c r="I370" s="339">
        <f t="shared" si="53"/>
        <v>0</v>
      </c>
      <c r="J370" s="212"/>
      <c r="Q370" s="167"/>
    </row>
    <row r="371" spans="2:17" s="281" customFormat="1" x14ac:dyDescent="0.2">
      <c r="B371" s="847"/>
      <c r="C371" s="847"/>
      <c r="D371" s="847"/>
      <c r="E371" s="847"/>
      <c r="F371" s="847"/>
      <c r="G371" s="849">
        <f>SUM(G369:G370)</f>
        <v>0</v>
      </c>
      <c r="H371" s="856">
        <f>SUM(H369:H370)</f>
        <v>0</v>
      </c>
      <c r="I371" s="849">
        <f>SUM(I369:I370)</f>
        <v>0</v>
      </c>
    </row>
    <row r="372" spans="2:17" x14ac:dyDescent="0.2">
      <c r="H372" s="221"/>
      <c r="Q372" s="167"/>
    </row>
    <row r="373" spans="2:17" x14ac:dyDescent="0.2">
      <c r="B373" s="281" t="s">
        <v>66</v>
      </c>
      <c r="H373" s="221"/>
      <c r="Q373" s="167"/>
    </row>
    <row r="374" spans="2:17" x14ac:dyDescent="0.2">
      <c r="B374" s="281" t="s">
        <v>174</v>
      </c>
      <c r="C374" s="224"/>
      <c r="D374" s="224"/>
      <c r="E374" s="224"/>
      <c r="H374" s="221"/>
      <c r="Q374" s="167"/>
    </row>
    <row r="375" spans="2:17" x14ac:dyDescent="0.2">
      <c r="B375" s="281"/>
      <c r="C375" s="224"/>
      <c r="D375" s="224"/>
      <c r="E375" s="224"/>
      <c r="H375" s="221"/>
      <c r="Q375" s="167"/>
    </row>
    <row r="376" spans="2:17" x14ac:dyDescent="0.2">
      <c r="B376" s="283">
        <v>2021</v>
      </c>
      <c r="C376" s="287">
        <f>+H346</f>
        <v>0</v>
      </c>
      <c r="D376" s="224"/>
      <c r="E376" s="224"/>
      <c r="H376" s="221"/>
      <c r="Q376" s="167"/>
    </row>
    <row r="377" spans="2:17" x14ac:dyDescent="0.2">
      <c r="B377" s="341">
        <v>2022</v>
      </c>
      <c r="C377" s="342">
        <f>+H357</f>
        <v>0</v>
      </c>
      <c r="D377" s="224"/>
      <c r="E377" s="224"/>
      <c r="H377" s="221"/>
      <c r="Q377" s="167"/>
    </row>
    <row r="378" spans="2:17" x14ac:dyDescent="0.2">
      <c r="B378" s="341">
        <v>2023</v>
      </c>
      <c r="C378" s="342">
        <f>+H364</f>
        <v>0</v>
      </c>
      <c r="D378" s="224"/>
      <c r="E378" s="224"/>
      <c r="H378" s="221"/>
      <c r="Q378" s="167"/>
    </row>
    <row r="379" spans="2:17" x14ac:dyDescent="0.2">
      <c r="B379" s="341">
        <v>2024</v>
      </c>
      <c r="C379" s="342">
        <f>+H371</f>
        <v>0</v>
      </c>
      <c r="D379" s="224"/>
      <c r="E379" s="224"/>
      <c r="H379" s="221"/>
      <c r="Q379" s="167"/>
    </row>
    <row r="380" spans="2:17" x14ac:dyDescent="0.2">
      <c r="H380" s="221"/>
      <c r="Q380" s="167"/>
    </row>
    <row r="381" spans="2:17" x14ac:dyDescent="0.2">
      <c r="H381" s="221"/>
      <c r="Q381" s="167"/>
    </row>
    <row r="382" spans="2:17" x14ac:dyDescent="0.2">
      <c r="B382" s="326" t="s">
        <v>205</v>
      </c>
      <c r="C382" s="327"/>
      <c r="D382" s="327"/>
      <c r="E382" s="327"/>
      <c r="F382" s="328"/>
      <c r="G382" s="328"/>
      <c r="H382" s="569"/>
      <c r="I382" s="328"/>
      <c r="J382" s="328"/>
      <c r="K382" s="328"/>
      <c r="L382" s="328"/>
      <c r="M382" s="328"/>
      <c r="Q382" s="167"/>
    </row>
    <row r="383" spans="2:17" x14ac:dyDescent="0.2">
      <c r="H383" s="221"/>
      <c r="Q383" s="167"/>
    </row>
    <row r="384" spans="2:17" x14ac:dyDescent="0.2">
      <c r="B384" s="281" t="s">
        <v>205</v>
      </c>
      <c r="H384" s="221"/>
      <c r="Q384" s="167"/>
    </row>
    <row r="385" spans="2:17" x14ac:dyDescent="0.2">
      <c r="B385" s="281" t="s">
        <v>174</v>
      </c>
      <c r="C385" s="224"/>
      <c r="D385" s="224"/>
      <c r="E385" s="224"/>
      <c r="H385" s="221"/>
      <c r="Q385" s="167"/>
    </row>
    <row r="386" spans="2:17" x14ac:dyDescent="0.2">
      <c r="B386" s="281"/>
      <c r="C386" s="224"/>
      <c r="D386" s="224"/>
      <c r="E386" s="224"/>
      <c r="H386" s="221"/>
      <c r="Q386" s="167"/>
    </row>
    <row r="387" spans="2:17" x14ac:dyDescent="0.2">
      <c r="B387" s="341">
        <v>2021</v>
      </c>
      <c r="C387" s="342">
        <v>0</v>
      </c>
      <c r="D387" s="224"/>
      <c r="E387" s="224"/>
      <c r="H387" s="221"/>
      <c r="Q387" s="167"/>
    </row>
    <row r="388" spans="2:17" x14ac:dyDescent="0.2">
      <c r="B388" s="341">
        <v>2022</v>
      </c>
      <c r="C388" s="342">
        <v>0</v>
      </c>
      <c r="D388" s="224"/>
      <c r="E388" s="224"/>
      <c r="H388" s="221"/>
      <c r="Q388" s="167"/>
    </row>
    <row r="389" spans="2:17" x14ac:dyDescent="0.2">
      <c r="B389" s="341">
        <v>2023</v>
      </c>
      <c r="C389" s="342">
        <v>0</v>
      </c>
      <c r="D389" s="224"/>
      <c r="E389" s="224"/>
      <c r="H389" s="221"/>
      <c r="Q389" s="167"/>
    </row>
    <row r="390" spans="2:17" x14ac:dyDescent="0.2">
      <c r="B390" s="341">
        <v>2024</v>
      </c>
      <c r="C390" s="342">
        <v>0</v>
      </c>
      <c r="D390" s="224"/>
      <c r="E390" s="224"/>
      <c r="H390" s="221"/>
      <c r="Q390" s="167"/>
    </row>
    <row r="391" spans="2:17" x14ac:dyDescent="0.2">
      <c r="H391" s="221"/>
      <c r="Q391" s="167"/>
    </row>
    <row r="392" spans="2:17" x14ac:dyDescent="0.2">
      <c r="H392" s="221"/>
      <c r="Q392" s="167"/>
    </row>
    <row r="393" spans="2:17" x14ac:dyDescent="0.2">
      <c r="B393" s="326" t="s">
        <v>67</v>
      </c>
      <c r="C393" s="327"/>
      <c r="D393" s="327"/>
      <c r="E393" s="327"/>
      <c r="F393" s="328"/>
      <c r="G393" s="328"/>
      <c r="H393" s="569"/>
      <c r="I393" s="328"/>
      <c r="J393" s="328"/>
      <c r="K393" s="328"/>
      <c r="L393" s="328"/>
      <c r="M393" s="328"/>
      <c r="Q393" s="167"/>
    </row>
    <row r="394" spans="2:17" x14ac:dyDescent="0.2">
      <c r="H394" s="221"/>
      <c r="Q394" s="167"/>
    </row>
    <row r="395" spans="2:17" x14ac:dyDescent="0.2">
      <c r="B395" s="281" t="s">
        <v>172</v>
      </c>
      <c r="F395" s="1000">
        <v>2017</v>
      </c>
      <c r="H395" s="221"/>
      <c r="Q395" s="167"/>
    </row>
    <row r="396" spans="2:17" x14ac:dyDescent="0.2">
      <c r="H396" s="221"/>
      <c r="L396" s="212"/>
      <c r="Q396" s="167"/>
    </row>
    <row r="397" spans="2:17" ht="104.1" customHeight="1" x14ac:dyDescent="0.2">
      <c r="B397" s="1257" t="s">
        <v>173</v>
      </c>
      <c r="C397" s="1258"/>
      <c r="D397" s="1258"/>
      <c r="E397" s="1259"/>
      <c r="F397" s="282"/>
      <c r="G397" s="166" t="str">
        <f>"Nog af te bouwen regulatoir saldo einde "&amp;F395-1</f>
        <v>Nog af te bouwen regulatoir saldo einde 2016</v>
      </c>
      <c r="H397" s="166" t="str">
        <f>"Afbouw oudste openstaande regulatoir saldo vanaf boekjaar "&amp;F395-3&amp;" en vroeger, door aanwending van compensatie met regulatoir saldo ontstaan over boekjaar "&amp;F395-2</f>
        <v>Afbouw oudste openstaande regulatoir saldo vanaf boekjaar 2014 en vroeger, door aanwending van compensatie met regulatoir saldo ontstaan over boekjaar 2015</v>
      </c>
      <c r="I397" s="166" t="str">
        <f>"Nog af te bouwen regulatoir saldo na compensatie einde "&amp;F395-1</f>
        <v>Nog af te bouwen regulatoir saldo na compensatie einde 2016</v>
      </c>
      <c r="J397" s="166" t="str">
        <f>"Aanwending van "&amp;IF($B$7="elektriciteit","75%",IF($B$7="gas","40%","FALSE"))&amp;" van het geaccumuleerd regulatoir saldo door te rekenen volgens de tariefmethodologie in het boekjaar "&amp;F395</f>
        <v>Aanwending van 40% van het geaccumuleerd regulatoir saldo door te rekenen volgens de tariefmethodologie in het boekjaar 2017</v>
      </c>
      <c r="K397" s="166" t="str">
        <f>"Nog af te bouwen regulatoir saldo einde "&amp;F395</f>
        <v>Nog af te bouwen regulatoir saldo einde 2017</v>
      </c>
      <c r="L397" s="212"/>
      <c r="Q397" s="167"/>
    </row>
    <row r="398" spans="2:17" x14ac:dyDescent="0.2">
      <c r="B398" s="1260">
        <v>2015</v>
      </c>
      <c r="C398" s="1261"/>
      <c r="D398" s="1261"/>
      <c r="E398" s="1262"/>
      <c r="F398" s="283"/>
      <c r="G398" s="177">
        <f>G162</f>
        <v>0</v>
      </c>
      <c r="H398" s="566">
        <v>0</v>
      </c>
      <c r="I398" s="177">
        <f>+G398+H398</f>
        <v>0</v>
      </c>
      <c r="J398" s="1008">
        <f>-I398*IF($B$7="elektriciteit",0.75,IF($B$7="gas",0.4,"FALSE"))</f>
        <v>0</v>
      </c>
      <c r="K398" s="1001">
        <f>+J398+G398</f>
        <v>0</v>
      </c>
      <c r="L398" s="212"/>
      <c r="Q398" s="167"/>
    </row>
    <row r="399" spans="2:17" x14ac:dyDescent="0.2">
      <c r="H399" s="221"/>
      <c r="L399" s="212"/>
      <c r="Q399" s="167"/>
    </row>
    <row r="400" spans="2:17" x14ac:dyDescent="0.2">
      <c r="B400" s="281" t="s">
        <v>172</v>
      </c>
      <c r="F400" s="1000">
        <v>2018</v>
      </c>
      <c r="H400" s="221"/>
      <c r="Q400" s="167"/>
    </row>
    <row r="401" spans="2:17" x14ac:dyDescent="0.2">
      <c r="H401" s="221"/>
      <c r="Q401" s="167"/>
    </row>
    <row r="402" spans="2:17" ht="104.1" customHeight="1" x14ac:dyDescent="0.2">
      <c r="B402" s="1257" t="s">
        <v>173</v>
      </c>
      <c r="C402" s="1258"/>
      <c r="D402" s="1258"/>
      <c r="E402" s="1259"/>
      <c r="F402" s="282"/>
      <c r="G402" s="166" t="str">
        <f>"Nog af te bouwen regulatoir saldo einde "&amp;F400-1</f>
        <v>Nog af te bouwen regulatoir saldo einde 2017</v>
      </c>
      <c r="H402" s="166" t="str">
        <f>"Afbouw oudste openstaande regulatoir saldo vanaf boekjaar "&amp;F400-3&amp;" en vroeger, door aanwending van compensatie met regulatoir saldo ontstaan over boekjaar "&amp;F400-2</f>
        <v>Afbouw oudste openstaande regulatoir saldo vanaf boekjaar 2015 en vroeger, door aanwending van compensatie met regulatoir saldo ontstaan over boekjaar 2016</v>
      </c>
      <c r="I402" s="166" t="str">
        <f>"Nog af te bouwen regulatoir saldo na compensatie einde "&amp;F400-1</f>
        <v>Nog af te bouwen regulatoir saldo na compensatie einde 2017</v>
      </c>
      <c r="J402" s="166" t="str">
        <f>"Aanwending van "&amp;IF($B$7="elektriciteit","75%",IF($B$7="gas","40%","FALSE"))&amp;" van het geaccumuleerd regulatoir saldo door te rekenen volgens de tariefmethodologie in het boekjaar "&amp;F400</f>
        <v>Aanwending van 40% van het geaccumuleerd regulatoir saldo door te rekenen volgens de tariefmethodologie in het boekjaar 2018</v>
      </c>
      <c r="K402" s="166" t="str">
        <f>"Aanwending van "&amp;IF($B$7="elektriciteit","75%",IF($B$7="gas","40%","FALSE"))&amp;" van het geaccumuleerd regulatoir saldo door te rekenen volgens de tariefmethodologie in het boekjaar "&amp;F400</f>
        <v>Aanwending van 40% van het geaccumuleerd regulatoir saldo door te rekenen volgens de tariefmethodologie in het boekjaar 2018</v>
      </c>
      <c r="L402" s="166" t="str">
        <f>"Totale afbouw over "&amp;F400</f>
        <v>Totale afbouw over 2018</v>
      </c>
      <c r="M402" s="166" t="str">
        <f>"Nog af te bouwen regulatoir saldo einde "&amp;F400</f>
        <v>Nog af te bouwen regulatoir saldo einde 2018</v>
      </c>
      <c r="N402" s="212"/>
      <c r="Q402" s="167"/>
    </row>
    <row r="403" spans="2:17" x14ac:dyDescent="0.2">
      <c r="B403" s="1260">
        <v>2015</v>
      </c>
      <c r="C403" s="1261"/>
      <c r="D403" s="1261"/>
      <c r="E403" s="1262"/>
      <c r="F403" s="283"/>
      <c r="G403" s="177">
        <f>K398</f>
        <v>0</v>
      </c>
      <c r="H403" s="566">
        <f>IF(SIGN(G404*K398)&lt;0,IF(G403&lt;&gt;0,-SIGN(G403)*MIN(ABS(G404),ABS(G403)),0),0)</f>
        <v>0</v>
      </c>
      <c r="I403" s="177">
        <f>+G403+H403</f>
        <v>0</v>
      </c>
      <c r="J403" s="1009"/>
      <c r="K403" s="1010">
        <f>-MIN(ABS(I403),ABS(J405))*SIGN(I403)</f>
        <v>0</v>
      </c>
      <c r="L403" s="1003">
        <f>+K403+H403</f>
        <v>0</v>
      </c>
      <c r="M403" s="177">
        <f>+I403+K403</f>
        <v>0</v>
      </c>
      <c r="N403" s="212"/>
      <c r="Q403" s="167"/>
    </row>
    <row r="404" spans="2:17" x14ac:dyDescent="0.2">
      <c r="B404" s="1260">
        <v>2016</v>
      </c>
      <c r="C404" s="1261"/>
      <c r="D404" s="1261"/>
      <c r="E404" s="1262"/>
      <c r="F404" s="283"/>
      <c r="G404" s="177">
        <f>H163</f>
        <v>0</v>
      </c>
      <c r="H404" s="1003">
        <f>IF(SIGN(G404*K398)&lt;0,-H403,0)</f>
        <v>0</v>
      </c>
      <c r="I404" s="177">
        <f>+G404+H404</f>
        <v>0</v>
      </c>
      <c r="J404" s="1009"/>
      <c r="K404" s="1010">
        <f>-MIN(ABS(I404),ABS(J405-K403))*SIGN(I404)</f>
        <v>0</v>
      </c>
      <c r="L404" s="1003">
        <f>+K404+H404</f>
        <v>0</v>
      </c>
      <c r="M404" s="177">
        <f>+I404+K404</f>
        <v>0</v>
      </c>
      <c r="N404" s="212"/>
      <c r="Q404" s="167"/>
    </row>
    <row r="405" spans="2:17" s="281" customFormat="1" x14ac:dyDescent="0.2">
      <c r="G405" s="284">
        <f>SUM(G403:G404)</f>
        <v>0</v>
      </c>
      <c r="H405" s="169">
        <f>SUM(H403:H404)</f>
        <v>0</v>
      </c>
      <c r="I405" s="284">
        <f>SUM(I403:I404)</f>
        <v>0</v>
      </c>
      <c r="J405" s="214">
        <f>-I405*IF($B$7="elektriciteit",0.75,IF($B$7="gas",0.4,"FALSE"))</f>
        <v>0</v>
      </c>
      <c r="K405" s="291">
        <f>SUM(K403:K404)</f>
        <v>0</v>
      </c>
      <c r="L405" s="570"/>
      <c r="M405" s="284">
        <f>SUM(M403:M404)</f>
        <v>0</v>
      </c>
    </row>
    <row r="406" spans="2:17" x14ac:dyDescent="0.2">
      <c r="H406" s="221"/>
      <c r="J406" s="12"/>
      <c r="K406" s="12"/>
      <c r="Q406" s="167"/>
    </row>
    <row r="407" spans="2:17" x14ac:dyDescent="0.2">
      <c r="B407" s="281" t="s">
        <v>172</v>
      </c>
      <c r="F407" s="1000">
        <v>2019</v>
      </c>
      <c r="H407" s="221"/>
      <c r="J407" s="12"/>
      <c r="K407" s="12"/>
      <c r="Q407" s="167"/>
    </row>
    <row r="408" spans="2:17" x14ac:dyDescent="0.2">
      <c r="H408" s="221"/>
      <c r="J408" s="12"/>
      <c r="K408" s="12"/>
      <c r="Q408" s="167"/>
    </row>
    <row r="409" spans="2:17" ht="104.1" customHeight="1" x14ac:dyDescent="0.2">
      <c r="B409" s="1257" t="s">
        <v>173</v>
      </c>
      <c r="C409" s="1258"/>
      <c r="D409" s="1258"/>
      <c r="E409" s="1259"/>
      <c r="F409" s="282"/>
      <c r="G409" s="166" t="str">
        <f>"Nog af te bouwen regulatoir saldo einde "&amp;F407-1</f>
        <v>Nog af te bouwen regulatoir saldo einde 2018</v>
      </c>
      <c r="H409" s="166" t="str">
        <f>"Afbouw oudste openstaande regulatoir saldo vanaf boekjaar "&amp;F407-3&amp;" en vroeger, door aanwending van compensatie met regulatoir saldo ontstaan over boekjaar "&amp;F407-2</f>
        <v>Afbouw oudste openstaande regulatoir saldo vanaf boekjaar 2016 en vroeger, door aanwending van compensatie met regulatoir saldo ontstaan over boekjaar 2017</v>
      </c>
      <c r="I409" s="166" t="str">
        <f>"Nog af te bouwen regulatoir saldo na compensatie einde "&amp;F407-1</f>
        <v>Nog af te bouwen regulatoir saldo na compensatie einde 2018</v>
      </c>
      <c r="J409" s="166" t="str">
        <f>"Aanwending van "&amp;IF($B$7="elektriciteit","75%",IF($B$7="gas","40%","FALSE"))&amp;" van het geaccumuleerd regulatoir saldo door te rekenen volgens de tariefmethodologie in het boekjaar "&amp;F407</f>
        <v>Aanwending van 40% van het geaccumuleerd regulatoir saldo door te rekenen volgens de tariefmethodologie in het boekjaar 2019</v>
      </c>
      <c r="K409" s="166" t="str">
        <f>"Aanwending van "&amp;IF($B$7="elektriciteit","75%",IF($B$7="gas","40%","FALSE"))&amp;" van het geaccumuleerd regulatoir saldo door te rekenen volgens de tariefmethodologie in het boekjaar "&amp;F407</f>
        <v>Aanwending van 40% van het geaccumuleerd regulatoir saldo door te rekenen volgens de tariefmethodologie in het boekjaar 2019</v>
      </c>
      <c r="L409" s="166" t="str">
        <f>"Totale afbouw over "&amp;F407</f>
        <v>Totale afbouw over 2019</v>
      </c>
      <c r="M409" s="166" t="str">
        <f>"Nog af te bouwen regulatoir saldo einde "&amp;F407</f>
        <v>Nog af te bouwen regulatoir saldo einde 2019</v>
      </c>
      <c r="N409" s="212"/>
      <c r="Q409" s="167"/>
    </row>
    <row r="410" spans="2:17" x14ac:dyDescent="0.2">
      <c r="B410" s="1260">
        <v>2015</v>
      </c>
      <c r="C410" s="1261"/>
      <c r="D410" s="1261"/>
      <c r="E410" s="1262"/>
      <c r="F410" s="283"/>
      <c r="G410" s="177">
        <f>+M403</f>
        <v>0</v>
      </c>
      <c r="H410" s="1003">
        <f>IF(SIGN(G412*M405)&lt;0,IF(G410&lt;&gt;0,-SIGN(G410)*MIN(ABS(G412),ABS(G410)),0),0)</f>
        <v>0</v>
      </c>
      <c r="I410" s="177">
        <f>+G410+H410</f>
        <v>0</v>
      </c>
      <c r="J410" s="1009"/>
      <c r="K410" s="1010">
        <f>-MIN(ABS(I410),ABS(J413))*SIGN(I410)</f>
        <v>0</v>
      </c>
      <c r="L410" s="1003">
        <f>+K410+H410</f>
        <v>0</v>
      </c>
      <c r="M410" s="177">
        <f>+I410+K410</f>
        <v>0</v>
      </c>
      <c r="N410" s="212"/>
      <c r="Q410" s="167"/>
    </row>
    <row r="411" spans="2:17" x14ac:dyDescent="0.2">
      <c r="B411" s="1260">
        <v>2016</v>
      </c>
      <c r="C411" s="1261"/>
      <c r="D411" s="1261">
        <v>2016</v>
      </c>
      <c r="E411" s="1262"/>
      <c r="F411" s="283"/>
      <c r="G411" s="177">
        <f>+M404</f>
        <v>0</v>
      </c>
      <c r="H411" s="1003">
        <f>IF(SIGN(G412*M405)&lt;0,IF(G411&lt;&gt;0,-SIGN(G411)*MIN(ABS(G412-H410),ABS(G411)),0),0)</f>
        <v>0</v>
      </c>
      <c r="I411" s="177">
        <f>+G411+H411</f>
        <v>0</v>
      </c>
      <c r="J411" s="1009"/>
      <c r="K411" s="1010">
        <f>-MIN(ABS(I411),ABS(J413-K410))*SIGN(I411)</f>
        <v>0</v>
      </c>
      <c r="L411" s="1003">
        <f>+K411+H411</f>
        <v>0</v>
      </c>
      <c r="M411" s="177">
        <f>+I411+K411</f>
        <v>0</v>
      </c>
      <c r="N411" s="212"/>
      <c r="Q411" s="167"/>
    </row>
    <row r="412" spans="2:17" x14ac:dyDescent="0.2">
      <c r="B412" s="1260">
        <v>2017</v>
      </c>
      <c r="C412" s="1261"/>
      <c r="D412" s="1261"/>
      <c r="E412" s="1262"/>
      <c r="F412" s="283"/>
      <c r="G412" s="177">
        <f>I164</f>
        <v>0</v>
      </c>
      <c r="H412" s="1003">
        <f>IF(SIGN(G412*M405)&lt;0,-SUM(H410:H411),0)</f>
        <v>0</v>
      </c>
      <c r="I412" s="177">
        <f>+G412+H412</f>
        <v>0</v>
      </c>
      <c r="J412" s="1009"/>
      <c r="K412" s="1010">
        <f>-MIN(ABS(I412),ABS(J413-K410-K411))*SIGN(I412)</f>
        <v>0</v>
      </c>
      <c r="L412" s="1003">
        <f>+K412+H412</f>
        <v>0</v>
      </c>
      <c r="M412" s="177">
        <f>+I412+K412</f>
        <v>0</v>
      </c>
      <c r="N412" s="212"/>
      <c r="Q412" s="167"/>
    </row>
    <row r="413" spans="2:17" s="281" customFormat="1" x14ac:dyDescent="0.2">
      <c r="G413" s="284">
        <f>SUM(G410:G412)</f>
        <v>0</v>
      </c>
      <c r="H413" s="169">
        <f>SUM(H410:H412)</f>
        <v>0</v>
      </c>
      <c r="I413" s="284">
        <f>SUM(I410:I412)</f>
        <v>0</v>
      </c>
      <c r="J413" s="214">
        <f>-I413*IF($B$7="elektriciteit",0.75,IF($B$7="gas",0.4,"FALSE"))</f>
        <v>0</v>
      </c>
      <c r="K413" s="291">
        <f>SUM(K410:K412)</f>
        <v>0</v>
      </c>
      <c r="L413" s="570"/>
      <c r="M413" s="284">
        <f>SUM(M410:M412)</f>
        <v>0</v>
      </c>
    </row>
    <row r="414" spans="2:17" x14ac:dyDescent="0.2">
      <c r="H414" s="221"/>
      <c r="J414" s="12"/>
      <c r="K414" s="12"/>
      <c r="Q414" s="167"/>
    </row>
    <row r="415" spans="2:17" x14ac:dyDescent="0.2">
      <c r="B415" s="281" t="s">
        <v>172</v>
      </c>
      <c r="F415" s="1000">
        <v>2020</v>
      </c>
      <c r="H415" s="221"/>
      <c r="J415" s="12"/>
      <c r="K415" s="12"/>
      <c r="Q415" s="167"/>
    </row>
    <row r="416" spans="2:17" x14ac:dyDescent="0.2">
      <c r="H416" s="221"/>
      <c r="J416" s="12"/>
      <c r="K416" s="12"/>
      <c r="Q416" s="167"/>
    </row>
    <row r="417" spans="2:17" ht="104.1" customHeight="1" x14ac:dyDescent="0.2">
      <c r="B417" s="1257" t="s">
        <v>173</v>
      </c>
      <c r="C417" s="1258"/>
      <c r="D417" s="1258"/>
      <c r="E417" s="1259"/>
      <c r="F417" s="282"/>
      <c r="G417" s="166" t="str">
        <f>"Nog af te bouwen regulatoir saldo einde "&amp;F415-1</f>
        <v>Nog af te bouwen regulatoir saldo einde 2019</v>
      </c>
      <c r="H417" s="166" t="str">
        <f>"Afbouw oudste openstaande regulatoir saldo vanaf boekjaar "&amp;F415-3&amp;" en vroeger, door aanwending van compensatie met regulatoir saldo ontstaan over boekjaar "&amp;F415-2</f>
        <v>Afbouw oudste openstaande regulatoir saldo vanaf boekjaar 2017 en vroeger, door aanwending van compensatie met regulatoir saldo ontstaan over boekjaar 2018</v>
      </c>
      <c r="I417" s="166" t="str">
        <f>"Nog af te bouwen regulatoir saldo na compensatie einde "&amp;F415-1</f>
        <v>Nog af te bouwen regulatoir saldo na compensatie einde 2019</v>
      </c>
      <c r="J417" s="166" t="str">
        <f>"Aanwending van "&amp;IF($B$7="elektriciteit","75%",IF($B$7="gas","40%","FALSE"))&amp;" van het geaccumuleerd regulatoir saldo door te rekenen volgens de tariefmethodologie in het boekjaar "&amp;F415</f>
        <v>Aanwending van 40% van het geaccumuleerd regulatoir saldo door te rekenen volgens de tariefmethodologie in het boekjaar 2020</v>
      </c>
      <c r="K417" s="166" t="str">
        <f>"Aanwending van "&amp;IF($B$7="elektriciteit","75%",IF($B$7="gas","40%","FALSE"))&amp;" van het geaccumuleerd regulatoir saldo door te rekenen volgens de tariefmethodologie in het boekjaar "&amp;F415</f>
        <v>Aanwending van 40% van het geaccumuleerd regulatoir saldo door te rekenen volgens de tariefmethodologie in het boekjaar 2020</v>
      </c>
      <c r="L417" s="166" t="str">
        <f>"Totale afbouw over "&amp;F415</f>
        <v>Totale afbouw over 2020</v>
      </c>
      <c r="M417" s="166" t="str">
        <f>"Nog af te bouwen regulatoir saldo einde "&amp;F415</f>
        <v>Nog af te bouwen regulatoir saldo einde 2020</v>
      </c>
      <c r="N417" s="212"/>
      <c r="Q417" s="167"/>
    </row>
    <row r="418" spans="2:17" x14ac:dyDescent="0.2">
      <c r="B418" s="1260">
        <v>2015</v>
      </c>
      <c r="C418" s="1261"/>
      <c r="D418" s="1261"/>
      <c r="E418" s="1262"/>
      <c r="F418" s="283"/>
      <c r="G418" s="177">
        <f>+M410</f>
        <v>0</v>
      </c>
      <c r="H418" s="1003">
        <f>IF(SIGN(G421*M413)&lt;0,IF(G418&lt;&gt;0,-SIGN(G418)*MIN(ABS(G421),ABS(G418)),0),0)</f>
        <v>0</v>
      </c>
      <c r="I418" s="177">
        <f>+G418+H418</f>
        <v>0</v>
      </c>
      <c r="J418" s="1009"/>
      <c r="K418" s="1010">
        <f>-MIN(ABS(I418),ABS(J422))*SIGN(I418)</f>
        <v>0</v>
      </c>
      <c r="L418" s="1003">
        <f>+K418+H418</f>
        <v>0</v>
      </c>
      <c r="M418" s="177">
        <f>+I418+K418</f>
        <v>0</v>
      </c>
      <c r="N418" s="212"/>
      <c r="Q418" s="167"/>
    </row>
    <row r="419" spans="2:17" x14ac:dyDescent="0.2">
      <c r="B419" s="1260">
        <v>2016</v>
      </c>
      <c r="C419" s="1261"/>
      <c r="D419" s="1261"/>
      <c r="E419" s="1262"/>
      <c r="F419" s="283"/>
      <c r="G419" s="177">
        <f>+M411</f>
        <v>0</v>
      </c>
      <c r="H419" s="1003">
        <f>IF(SIGN(G421*M413)&lt;0,IF(G419&lt;&gt;0,-SIGN(G419)*MIN(ABS(G421-H418),ABS(G419)),0),0)</f>
        <v>0</v>
      </c>
      <c r="I419" s="177">
        <f>+G419+H419</f>
        <v>0</v>
      </c>
      <c r="J419" s="1009"/>
      <c r="K419" s="1010">
        <f>-MIN(ABS(I419),ABS(J422-K418))*SIGN(I419)</f>
        <v>0</v>
      </c>
      <c r="L419" s="1003">
        <f>+K419+H419</f>
        <v>0</v>
      </c>
      <c r="M419" s="177">
        <f>+I419+K419</f>
        <v>0</v>
      </c>
      <c r="N419" s="212"/>
      <c r="Q419" s="167"/>
    </row>
    <row r="420" spans="2:17" x14ac:dyDescent="0.2">
      <c r="B420" s="1260">
        <v>2017</v>
      </c>
      <c r="C420" s="1261"/>
      <c r="D420" s="1261">
        <v>2016</v>
      </c>
      <c r="E420" s="1262"/>
      <c r="F420" s="283"/>
      <c r="G420" s="177">
        <f>+M412</f>
        <v>0</v>
      </c>
      <c r="H420" s="1003">
        <f>IF(SIGN(G421*M413)&lt;0,IF(G420&lt;&gt;0,-SIGN(G420)*MIN(ABS(G421-H418-H419),ABS(G420)),0),0)</f>
        <v>0</v>
      </c>
      <c r="I420" s="177">
        <f>+G420+H420</f>
        <v>0</v>
      </c>
      <c r="J420" s="1009"/>
      <c r="K420" s="1010">
        <f>-MIN(ABS(I420),ABS(J422-K418-K419))*SIGN(I420)</f>
        <v>0</v>
      </c>
      <c r="L420" s="1003">
        <f>+K420+H420</f>
        <v>0</v>
      </c>
      <c r="M420" s="177">
        <f>+I420+K420</f>
        <v>0</v>
      </c>
      <c r="N420" s="212"/>
      <c r="Q420" s="167"/>
    </row>
    <row r="421" spans="2:17" x14ac:dyDescent="0.2">
      <c r="B421" s="1260">
        <v>2018</v>
      </c>
      <c r="C421" s="1261"/>
      <c r="D421" s="1261"/>
      <c r="E421" s="1262"/>
      <c r="F421" s="283"/>
      <c r="G421" s="177">
        <f>J165</f>
        <v>0</v>
      </c>
      <c r="H421" s="1003">
        <f>IF(SIGN(G421*M413)&lt;0,-SUM(H418:H420),0)</f>
        <v>0</v>
      </c>
      <c r="I421" s="177">
        <f>+G421+H421</f>
        <v>0</v>
      </c>
      <c r="J421" s="1009"/>
      <c r="K421" s="1010">
        <f>-MIN(ABS(I421),ABS(J422-K418-K419-K420))*SIGN(I421)</f>
        <v>0</v>
      </c>
      <c r="L421" s="1003">
        <f>+K421+H421</f>
        <v>0</v>
      </c>
      <c r="M421" s="177">
        <f>+I421+K421</f>
        <v>0</v>
      </c>
      <c r="N421" s="212"/>
      <c r="Q421" s="167"/>
    </row>
    <row r="422" spans="2:17" s="281" customFormat="1" x14ac:dyDescent="0.2">
      <c r="G422" s="284">
        <f>SUM(G418:G421)</f>
        <v>0</v>
      </c>
      <c r="H422" s="169">
        <f>SUM(H418:H421)</f>
        <v>0</v>
      </c>
      <c r="I422" s="284">
        <f>SUM(I418:I421)</f>
        <v>0</v>
      </c>
      <c r="J422" s="214">
        <f>-I422*IF($B$7="elektriciteit",0.75,IF($B$7="gas",0.4,"FALSE"))</f>
        <v>0</v>
      </c>
      <c r="K422" s="291">
        <f>SUM(K418:K421)</f>
        <v>0</v>
      </c>
      <c r="L422" s="169"/>
      <c r="M422" s="284">
        <f>SUM(M418:M421)</f>
        <v>0</v>
      </c>
    </row>
    <row r="423" spans="2:17" x14ac:dyDescent="0.2">
      <c r="H423" s="221"/>
      <c r="K423" s="221"/>
      <c r="L423" s="221"/>
      <c r="Q423" s="167"/>
    </row>
    <row r="424" spans="2:17" x14ac:dyDescent="0.2">
      <c r="B424" s="281" t="s">
        <v>172</v>
      </c>
      <c r="F424" s="1000">
        <v>2021</v>
      </c>
      <c r="H424" s="221"/>
      <c r="Q424" s="167"/>
    </row>
    <row r="425" spans="2:17" x14ac:dyDescent="0.2">
      <c r="H425" s="221"/>
      <c r="Q425" s="167"/>
    </row>
    <row r="426" spans="2:17" ht="78" customHeight="1" x14ac:dyDescent="0.2">
      <c r="B426" s="1257" t="s">
        <v>173</v>
      </c>
      <c r="C426" s="1258"/>
      <c r="D426" s="1258"/>
      <c r="E426" s="1259"/>
      <c r="F426" s="282"/>
      <c r="G426" s="166" t="str">
        <f>"Nog af te bouwen regulatoir saldo einde "&amp;F424-1</f>
        <v>Nog af te bouwen regulatoir saldo einde 2020</v>
      </c>
      <c r="H426" s="166" t="str">
        <f>"50% van oorspronkelijk saldo door te rekenen volgens de tariefmethodologie in het boekjaar "&amp;F424</f>
        <v>50% van oorspronkelijk saldo door te rekenen volgens de tariefmethodologie in het boekjaar 2021</v>
      </c>
      <c r="I426" s="166" t="str">
        <f>"Nog af te bouwen regulatoir saldo einde "&amp;F424</f>
        <v>Nog af te bouwen regulatoir saldo einde 2021</v>
      </c>
      <c r="J426" s="212"/>
      <c r="Q426" s="167"/>
    </row>
    <row r="427" spans="2:17" x14ac:dyDescent="0.2">
      <c r="B427" s="1260">
        <v>2015</v>
      </c>
      <c r="C427" s="1261"/>
      <c r="D427" s="1261"/>
      <c r="E427" s="1262"/>
      <c r="F427" s="283"/>
      <c r="G427" s="177">
        <f>M418</f>
        <v>0</v>
      </c>
      <c r="H427" s="566">
        <f>-G427*0.5</f>
        <v>0</v>
      </c>
      <c r="I427" s="177">
        <f>+G427+H427</f>
        <v>0</v>
      </c>
      <c r="J427" s="212"/>
      <c r="Q427" s="167"/>
    </row>
    <row r="428" spans="2:17" x14ac:dyDescent="0.2">
      <c r="B428" s="1260">
        <v>2016</v>
      </c>
      <c r="C428" s="1261"/>
      <c r="D428" s="1261"/>
      <c r="E428" s="1262"/>
      <c r="F428" s="283"/>
      <c r="G428" s="177">
        <f t="shared" ref="G428:G430" si="55">M419</f>
        <v>0</v>
      </c>
      <c r="H428" s="566">
        <f t="shared" ref="H428:H431" si="56">-G428*0.5</f>
        <v>0</v>
      </c>
      <c r="I428" s="177">
        <f t="shared" ref="I428:I431" si="57">+G428+H428</f>
        <v>0</v>
      </c>
      <c r="J428" s="212"/>
      <c r="Q428" s="167"/>
    </row>
    <row r="429" spans="2:17" x14ac:dyDescent="0.2">
      <c r="B429" s="1260">
        <v>2017</v>
      </c>
      <c r="C429" s="1261"/>
      <c r="D429" s="1261">
        <v>2016</v>
      </c>
      <c r="E429" s="1262"/>
      <c r="F429" s="283"/>
      <c r="G429" s="177">
        <f t="shared" si="55"/>
        <v>0</v>
      </c>
      <c r="H429" s="566">
        <f t="shared" si="56"/>
        <v>0</v>
      </c>
      <c r="I429" s="177">
        <f t="shared" si="57"/>
        <v>0</v>
      </c>
      <c r="J429" s="212"/>
      <c r="Q429" s="167"/>
    </row>
    <row r="430" spans="2:17" x14ac:dyDescent="0.2">
      <c r="B430" s="1260">
        <v>2018</v>
      </c>
      <c r="C430" s="1261"/>
      <c r="D430" s="1261"/>
      <c r="E430" s="1262"/>
      <c r="F430" s="283"/>
      <c r="G430" s="177">
        <f t="shared" si="55"/>
        <v>0</v>
      </c>
      <c r="H430" s="566">
        <f t="shared" si="56"/>
        <v>0</v>
      </c>
      <c r="I430" s="177">
        <f t="shared" si="57"/>
        <v>0</v>
      </c>
      <c r="J430" s="212"/>
      <c r="Q430" s="167"/>
    </row>
    <row r="431" spans="2:17" x14ac:dyDescent="0.2">
      <c r="B431" s="1260">
        <v>2019</v>
      </c>
      <c r="C431" s="1261"/>
      <c r="D431" s="1261"/>
      <c r="E431" s="1262"/>
      <c r="F431" s="283"/>
      <c r="G431" s="177">
        <f>K166</f>
        <v>0</v>
      </c>
      <c r="H431" s="566">
        <f t="shared" si="56"/>
        <v>0</v>
      </c>
      <c r="I431" s="177">
        <f t="shared" si="57"/>
        <v>0</v>
      </c>
      <c r="J431" s="212"/>
      <c r="Q431" s="167"/>
    </row>
    <row r="432" spans="2:17" s="281" customFormat="1" x14ac:dyDescent="0.2">
      <c r="G432" s="284">
        <f>SUM(G427:G431)</f>
        <v>0</v>
      </c>
      <c r="H432" s="169">
        <f>SUM(H427:H431)</f>
        <v>0</v>
      </c>
      <c r="I432" s="284">
        <f>SUM(I427:I431)</f>
        <v>0</v>
      </c>
    </row>
    <row r="433" spans="2:17" x14ac:dyDescent="0.2">
      <c r="H433" s="221"/>
      <c r="Q433" s="167"/>
    </row>
    <row r="434" spans="2:17" x14ac:dyDescent="0.2">
      <c r="B434" s="847" t="s">
        <v>172</v>
      </c>
      <c r="C434" s="842"/>
      <c r="D434" s="842"/>
      <c r="E434" s="842"/>
      <c r="F434" s="1004">
        <v>2022</v>
      </c>
      <c r="G434" s="842"/>
      <c r="H434" s="855"/>
      <c r="I434" s="842"/>
      <c r="Q434" s="167"/>
    </row>
    <row r="435" spans="2:17" x14ac:dyDescent="0.2">
      <c r="B435" s="842"/>
      <c r="C435" s="842"/>
      <c r="D435" s="842"/>
      <c r="E435" s="842"/>
      <c r="F435" s="842"/>
      <c r="G435" s="842"/>
      <c r="H435" s="855"/>
      <c r="I435" s="842"/>
      <c r="Q435" s="167"/>
    </row>
    <row r="436" spans="2:17" ht="78" customHeight="1" x14ac:dyDescent="0.2">
      <c r="B436" s="1254" t="s">
        <v>173</v>
      </c>
      <c r="C436" s="1255"/>
      <c r="D436" s="1255"/>
      <c r="E436" s="1256"/>
      <c r="F436" s="848"/>
      <c r="G436" s="837" t="str">
        <f>"Nog af te bouwen regulatoir saldo einde "&amp;F434-1</f>
        <v>Nog af te bouwen regulatoir saldo einde 2021</v>
      </c>
      <c r="H436" s="837" t="str">
        <f>"50% van oorspronkelijk saldo door te rekenen volgens de tariefmethodologie in het boekjaar "&amp;F434</f>
        <v>50% van oorspronkelijk saldo door te rekenen volgens de tariefmethodologie in het boekjaar 2022</v>
      </c>
      <c r="I436" s="837" t="str">
        <f>"Nog af te bouwen regulatoir saldo einde "&amp;F434</f>
        <v>Nog af te bouwen regulatoir saldo einde 2022</v>
      </c>
      <c r="J436" s="212"/>
      <c r="Q436" s="167"/>
    </row>
    <row r="437" spans="2:17" x14ac:dyDescent="0.2">
      <c r="B437" s="1251">
        <v>2015</v>
      </c>
      <c r="C437" s="1252"/>
      <c r="D437" s="1252"/>
      <c r="E437" s="1253"/>
      <c r="F437" s="341"/>
      <c r="G437" s="339">
        <f>+I427</f>
        <v>0</v>
      </c>
      <c r="H437" s="568">
        <f>-G427*0.5</f>
        <v>0</v>
      </c>
      <c r="I437" s="339">
        <f>+G437+H437</f>
        <v>0</v>
      </c>
      <c r="J437" s="212"/>
      <c r="Q437" s="167"/>
    </row>
    <row r="438" spans="2:17" x14ac:dyDescent="0.2">
      <c r="B438" s="1251">
        <v>2016</v>
      </c>
      <c r="C438" s="1252"/>
      <c r="D438" s="1252"/>
      <c r="E438" s="1253"/>
      <c r="F438" s="341"/>
      <c r="G438" s="339">
        <f t="shared" ref="G438:G441" si="58">+I428</f>
        <v>0</v>
      </c>
      <c r="H438" s="568">
        <f t="shared" ref="H438:H441" si="59">-G428*0.5</f>
        <v>0</v>
      </c>
      <c r="I438" s="339">
        <f t="shared" ref="I438:I442" si="60">+G438+H438</f>
        <v>0</v>
      </c>
      <c r="J438" s="212"/>
      <c r="Q438" s="167"/>
    </row>
    <row r="439" spans="2:17" x14ac:dyDescent="0.2">
      <c r="B439" s="1251">
        <v>2017</v>
      </c>
      <c r="C439" s="1252"/>
      <c r="D439" s="1252">
        <v>2016</v>
      </c>
      <c r="E439" s="1253"/>
      <c r="F439" s="341"/>
      <c r="G439" s="339">
        <f t="shared" si="58"/>
        <v>0</v>
      </c>
      <c r="H439" s="568">
        <f t="shared" si="59"/>
        <v>0</v>
      </c>
      <c r="I439" s="339">
        <f t="shared" si="60"/>
        <v>0</v>
      </c>
      <c r="J439" s="212"/>
      <c r="Q439" s="167"/>
    </row>
    <row r="440" spans="2:17" x14ac:dyDescent="0.2">
      <c r="B440" s="1251">
        <v>2018</v>
      </c>
      <c r="C440" s="1252"/>
      <c r="D440" s="1252"/>
      <c r="E440" s="1253"/>
      <c r="F440" s="341"/>
      <c r="G440" s="339">
        <f t="shared" si="58"/>
        <v>0</v>
      </c>
      <c r="H440" s="568">
        <f t="shared" si="59"/>
        <v>0</v>
      </c>
      <c r="I440" s="339">
        <f t="shared" si="60"/>
        <v>0</v>
      </c>
      <c r="J440" s="212"/>
      <c r="Q440" s="167"/>
    </row>
    <row r="441" spans="2:17" x14ac:dyDescent="0.2">
      <c r="B441" s="1251">
        <v>2019</v>
      </c>
      <c r="C441" s="1252"/>
      <c r="D441" s="1252"/>
      <c r="E441" s="1253"/>
      <c r="F441" s="341"/>
      <c r="G441" s="339">
        <f t="shared" si="58"/>
        <v>0</v>
      </c>
      <c r="H441" s="568">
        <f t="shared" si="59"/>
        <v>0</v>
      </c>
      <c r="I441" s="339">
        <f t="shared" si="60"/>
        <v>0</v>
      </c>
      <c r="J441" s="212"/>
      <c r="Q441" s="167"/>
    </row>
    <row r="442" spans="2:17" x14ac:dyDescent="0.2">
      <c r="B442" s="1251">
        <v>2020</v>
      </c>
      <c r="C442" s="1252"/>
      <c r="D442" s="1252"/>
      <c r="E442" s="1253"/>
      <c r="F442" s="341"/>
      <c r="G442" s="339">
        <f>L167</f>
        <v>0</v>
      </c>
      <c r="H442" s="568">
        <f t="shared" ref="H442" si="61">-G442*0.5</f>
        <v>0</v>
      </c>
      <c r="I442" s="339">
        <f t="shared" si="60"/>
        <v>0</v>
      </c>
      <c r="J442" s="212"/>
      <c r="Q442" s="167"/>
    </row>
    <row r="443" spans="2:17" s="281" customFormat="1" x14ac:dyDescent="0.2">
      <c r="B443" s="847"/>
      <c r="C443" s="847"/>
      <c r="D443" s="847"/>
      <c r="E443" s="847"/>
      <c r="F443" s="847"/>
      <c r="G443" s="849">
        <f>SUM(G437:G442)</f>
        <v>0</v>
      </c>
      <c r="H443" s="856">
        <f t="shared" ref="H443:I443" si="62">SUM(H437:H442)</f>
        <v>0</v>
      </c>
      <c r="I443" s="849">
        <f t="shared" si="62"/>
        <v>0</v>
      </c>
    </row>
    <row r="444" spans="2:17" x14ac:dyDescent="0.2">
      <c r="B444" s="842"/>
      <c r="C444" s="842"/>
      <c r="D444" s="842"/>
      <c r="E444" s="842"/>
      <c r="F444" s="842"/>
      <c r="G444" s="842"/>
      <c r="H444" s="855"/>
      <c r="I444" s="842"/>
      <c r="Q444" s="167"/>
    </row>
    <row r="445" spans="2:17" x14ac:dyDescent="0.2">
      <c r="B445" s="847" t="s">
        <v>172</v>
      </c>
      <c r="C445" s="842"/>
      <c r="D445" s="842"/>
      <c r="E445" s="842"/>
      <c r="F445" s="1004">
        <v>2023</v>
      </c>
      <c r="G445" s="842"/>
      <c r="H445" s="855"/>
      <c r="I445" s="842"/>
      <c r="Q445" s="167"/>
    </row>
    <row r="446" spans="2:17" x14ac:dyDescent="0.2">
      <c r="B446" s="842"/>
      <c r="C446" s="842"/>
      <c r="D446" s="842"/>
      <c r="E446" s="842"/>
      <c r="F446" s="842"/>
      <c r="G446" s="842"/>
      <c r="H446" s="855"/>
      <c r="I446" s="842"/>
      <c r="Q446" s="167"/>
    </row>
    <row r="447" spans="2:17" ht="78" customHeight="1" x14ac:dyDescent="0.2">
      <c r="B447" s="1254" t="s">
        <v>173</v>
      </c>
      <c r="C447" s="1255"/>
      <c r="D447" s="1255"/>
      <c r="E447" s="1256"/>
      <c r="F447" s="848"/>
      <c r="G447" s="837" t="str">
        <f>"Nog af te bouwen regulatoir saldo einde "&amp;F445-1</f>
        <v>Nog af te bouwen regulatoir saldo einde 2022</v>
      </c>
      <c r="H447" s="837" t="str">
        <f>"50% van oorspronkelijk saldo door te rekenen volgens de tariefmethodologie in het boekjaar "&amp;F445</f>
        <v>50% van oorspronkelijk saldo door te rekenen volgens de tariefmethodologie in het boekjaar 2023</v>
      </c>
      <c r="I447" s="837" t="str">
        <f>"Nog af te bouwen regulatoir saldo einde "&amp;F445</f>
        <v>Nog af te bouwen regulatoir saldo einde 2023</v>
      </c>
      <c r="J447" s="212"/>
      <c r="Q447" s="167"/>
    </row>
    <row r="448" spans="2:17" x14ac:dyDescent="0.2">
      <c r="B448" s="1251">
        <v>2020</v>
      </c>
      <c r="C448" s="1252"/>
      <c r="D448" s="1252"/>
      <c r="E448" s="1253"/>
      <c r="F448" s="341"/>
      <c r="G448" s="339">
        <f>+I442</f>
        <v>0</v>
      </c>
      <c r="H448" s="568">
        <f>-G442*0.5</f>
        <v>0</v>
      </c>
      <c r="I448" s="339">
        <f t="shared" ref="I448:I449" si="63">+G448+H448</f>
        <v>0</v>
      </c>
      <c r="J448" s="212"/>
      <c r="Q448" s="167"/>
    </row>
    <row r="449" spans="2:17" x14ac:dyDescent="0.2">
      <c r="B449" s="1251">
        <v>2021</v>
      </c>
      <c r="C449" s="1252"/>
      <c r="D449" s="1252"/>
      <c r="E449" s="1253"/>
      <c r="F449" s="341"/>
      <c r="G449" s="339">
        <f>M168</f>
        <v>0</v>
      </c>
      <c r="H449" s="568">
        <f t="shared" ref="H449" si="64">-G449*0.5</f>
        <v>0</v>
      </c>
      <c r="I449" s="339">
        <f t="shared" si="63"/>
        <v>0</v>
      </c>
      <c r="J449" s="212"/>
      <c r="Q449" s="167"/>
    </row>
    <row r="450" spans="2:17" s="281" customFormat="1" x14ac:dyDescent="0.2">
      <c r="B450" s="847"/>
      <c r="C450" s="847"/>
      <c r="D450" s="847"/>
      <c r="E450" s="847"/>
      <c r="F450" s="847"/>
      <c r="G450" s="849">
        <f>SUM(G448:G449)</f>
        <v>0</v>
      </c>
      <c r="H450" s="856">
        <f>SUM(H448:H449)</f>
        <v>0</v>
      </c>
      <c r="I450" s="849">
        <f>SUM(I448:I449)</f>
        <v>0</v>
      </c>
    </row>
    <row r="451" spans="2:17" x14ac:dyDescent="0.2">
      <c r="B451" s="842"/>
      <c r="C451" s="842"/>
      <c r="D451" s="842"/>
      <c r="E451" s="842"/>
      <c r="F451" s="842"/>
      <c r="G451" s="842"/>
      <c r="H451" s="855"/>
      <c r="I451" s="842"/>
      <c r="Q451" s="167"/>
    </row>
    <row r="452" spans="2:17" x14ac:dyDescent="0.2">
      <c r="B452" s="847" t="s">
        <v>172</v>
      </c>
      <c r="C452" s="842"/>
      <c r="D452" s="842"/>
      <c r="E452" s="842"/>
      <c r="F452" s="1004">
        <v>2024</v>
      </c>
      <c r="G452" s="842"/>
      <c r="H452" s="855"/>
      <c r="I452" s="842"/>
      <c r="Q452" s="167"/>
    </row>
    <row r="453" spans="2:17" x14ac:dyDescent="0.2">
      <c r="B453" s="842"/>
      <c r="C453" s="842"/>
      <c r="D453" s="842"/>
      <c r="E453" s="842"/>
      <c r="F453" s="842"/>
      <c r="G453" s="842"/>
      <c r="H453" s="855"/>
      <c r="I453" s="842"/>
      <c r="Q453" s="167"/>
    </row>
    <row r="454" spans="2:17" ht="78" customHeight="1" x14ac:dyDescent="0.2">
      <c r="B454" s="1254" t="s">
        <v>173</v>
      </c>
      <c r="C454" s="1255"/>
      <c r="D454" s="1255"/>
      <c r="E454" s="1256"/>
      <c r="F454" s="848"/>
      <c r="G454" s="837" t="str">
        <f>"Nog af te bouwen regulatoir saldo einde "&amp;F452-1</f>
        <v>Nog af te bouwen regulatoir saldo einde 2023</v>
      </c>
      <c r="H454" s="837" t="str">
        <f>"50% van oorspronkelijk saldo door te rekenen volgens de tariefmethodologie in het boekjaar "&amp;F452</f>
        <v>50% van oorspronkelijk saldo door te rekenen volgens de tariefmethodologie in het boekjaar 2024</v>
      </c>
      <c r="I454" s="837" t="str">
        <f>"Nog af te bouwen regulatoir saldo einde "&amp;F452</f>
        <v>Nog af te bouwen regulatoir saldo einde 2024</v>
      </c>
      <c r="J454" s="212"/>
      <c r="Q454" s="167"/>
    </row>
    <row r="455" spans="2:17" x14ac:dyDescent="0.2">
      <c r="B455" s="1251">
        <v>2021</v>
      </c>
      <c r="C455" s="1252"/>
      <c r="D455" s="1252"/>
      <c r="E455" s="1253"/>
      <c r="F455" s="341"/>
      <c r="G455" s="339">
        <f>+I449</f>
        <v>0</v>
      </c>
      <c r="H455" s="568">
        <f>-G449*0.5</f>
        <v>0</v>
      </c>
      <c r="I455" s="339">
        <f t="shared" ref="I455:I456" si="65">+G455+H455</f>
        <v>0</v>
      </c>
      <c r="J455" s="212"/>
      <c r="Q455" s="167"/>
    </row>
    <row r="456" spans="2:17" x14ac:dyDescent="0.2">
      <c r="B456" s="1251">
        <v>2022</v>
      </c>
      <c r="C456" s="1252"/>
      <c r="D456" s="1252"/>
      <c r="E456" s="1253"/>
      <c r="F456" s="341"/>
      <c r="G456" s="339">
        <f>N169</f>
        <v>0</v>
      </c>
      <c r="H456" s="568">
        <f t="shared" ref="H456" si="66">-G456*0.5</f>
        <v>0</v>
      </c>
      <c r="I456" s="339">
        <f t="shared" si="65"/>
        <v>0</v>
      </c>
      <c r="J456" s="212"/>
      <c r="Q456" s="167"/>
    </row>
    <row r="457" spans="2:17" s="281" customFormat="1" x14ac:dyDescent="0.2">
      <c r="B457" s="847"/>
      <c r="C457" s="847"/>
      <c r="D457" s="847"/>
      <c r="E457" s="847"/>
      <c r="F457" s="847"/>
      <c r="G457" s="849">
        <f>SUM(G455:G456)</f>
        <v>0</v>
      </c>
      <c r="H457" s="856">
        <f>SUM(H455:H456)</f>
        <v>0</v>
      </c>
      <c r="I457" s="849">
        <f>SUM(I455:I456)</f>
        <v>0</v>
      </c>
    </row>
    <row r="458" spans="2:17" x14ac:dyDescent="0.2">
      <c r="H458" s="221"/>
      <c r="Q458" s="167"/>
    </row>
    <row r="459" spans="2:17" x14ac:dyDescent="0.2">
      <c r="B459" s="281" t="s">
        <v>67</v>
      </c>
      <c r="H459" s="221"/>
      <c r="Q459" s="167"/>
    </row>
    <row r="460" spans="2:17" x14ac:dyDescent="0.2">
      <c r="B460" s="281" t="s">
        <v>174</v>
      </c>
      <c r="C460" s="224"/>
      <c r="D460" s="224"/>
      <c r="E460" s="224"/>
      <c r="H460" s="221"/>
      <c r="Q460" s="167"/>
    </row>
    <row r="461" spans="2:17" x14ac:dyDescent="0.2">
      <c r="B461" s="281"/>
      <c r="C461" s="224"/>
      <c r="D461" s="224"/>
      <c r="E461" s="224"/>
      <c r="H461" s="221"/>
      <c r="Q461" s="167"/>
    </row>
    <row r="462" spans="2:17" x14ac:dyDescent="0.2">
      <c r="B462" s="283">
        <v>2021</v>
      </c>
      <c r="C462" s="287">
        <f>+H432</f>
        <v>0</v>
      </c>
      <c r="D462" s="224"/>
      <c r="E462" s="224"/>
      <c r="H462" s="221"/>
      <c r="Q462" s="167"/>
    </row>
    <row r="463" spans="2:17" x14ac:dyDescent="0.2">
      <c r="B463" s="341">
        <v>2022</v>
      </c>
      <c r="C463" s="342">
        <f>+H443</f>
        <v>0</v>
      </c>
      <c r="D463" s="224"/>
      <c r="E463" s="224"/>
      <c r="H463" s="221"/>
      <c r="Q463" s="167"/>
    </row>
    <row r="464" spans="2:17" x14ac:dyDescent="0.2">
      <c r="B464" s="341">
        <v>2023</v>
      </c>
      <c r="C464" s="342">
        <f>+H450</f>
        <v>0</v>
      </c>
      <c r="D464" s="224"/>
      <c r="E464" s="224"/>
      <c r="H464" s="221"/>
      <c r="Q464" s="167"/>
    </row>
    <row r="465" spans="2:17" x14ac:dyDescent="0.2">
      <c r="B465" s="341">
        <v>2024</v>
      </c>
      <c r="C465" s="342">
        <f>+H457</f>
        <v>0</v>
      </c>
      <c r="D465" s="224"/>
      <c r="E465" s="224"/>
      <c r="H465" s="221"/>
      <c r="Q465" s="167"/>
    </row>
    <row r="466" spans="2:17" x14ac:dyDescent="0.2">
      <c r="H466" s="221"/>
      <c r="Q466" s="167"/>
    </row>
    <row r="467" spans="2:17" x14ac:dyDescent="0.2">
      <c r="H467" s="221"/>
      <c r="Q467" s="167"/>
    </row>
    <row r="468" spans="2:17" x14ac:dyDescent="0.2">
      <c r="B468" s="326" t="s">
        <v>119</v>
      </c>
      <c r="C468" s="327"/>
      <c r="D468" s="327"/>
      <c r="E468" s="327"/>
      <c r="F468" s="328"/>
      <c r="G468" s="328"/>
      <c r="H468" s="569"/>
      <c r="I468" s="328"/>
      <c r="J468" s="328"/>
      <c r="K468" s="328"/>
      <c r="L468" s="328"/>
      <c r="M468" s="328"/>
      <c r="Q468" s="167"/>
    </row>
    <row r="469" spans="2:17" x14ac:dyDescent="0.2">
      <c r="H469" s="221"/>
      <c r="Q469" s="167"/>
    </row>
    <row r="470" spans="2:17" x14ac:dyDescent="0.2">
      <c r="B470" s="281" t="s">
        <v>172</v>
      </c>
      <c r="F470" s="1000">
        <v>2017</v>
      </c>
      <c r="H470" s="221"/>
      <c r="Q470" s="167"/>
    </row>
    <row r="471" spans="2:17" x14ac:dyDescent="0.2">
      <c r="H471" s="221"/>
      <c r="L471" s="212"/>
      <c r="Q471" s="167"/>
    </row>
    <row r="472" spans="2:17" ht="104.1" customHeight="1" x14ac:dyDescent="0.2">
      <c r="B472" s="1257" t="s">
        <v>173</v>
      </c>
      <c r="C472" s="1258"/>
      <c r="D472" s="1258"/>
      <c r="E472" s="1259"/>
      <c r="F472" s="282"/>
      <c r="G472" s="166" t="str">
        <f>"Nog af te bouwen regulatoir saldo einde "&amp;F470-1</f>
        <v>Nog af te bouwen regulatoir saldo einde 2016</v>
      </c>
      <c r="H472" s="166" t="str">
        <f>"Afbouw oudste openstaande regulatoir saldo vanaf boekjaar "&amp;F470-3&amp;" en vroeger, door aanwending van compensatie met regulatoir saldo ontstaan over boekjaar "&amp;F470-2</f>
        <v>Afbouw oudste openstaande regulatoir saldo vanaf boekjaar 2014 en vroeger, door aanwending van compensatie met regulatoir saldo ontstaan over boekjaar 2015</v>
      </c>
      <c r="I472" s="166" t="str">
        <f>"Nog af te bouwen regulatoir saldo na compensatie einde "&amp;F470-1</f>
        <v>Nog af te bouwen regulatoir saldo na compensatie einde 2016</v>
      </c>
      <c r="J472" s="166" t="str">
        <f>"Aanwending van "&amp;IF($B$7="elektriciteit","75%",IF($B$7="gas","40%","FALSE"))&amp;" van het geaccumuleerd regulatoir saldo door te rekenen volgens de tariefmethodologie in het boekjaar "&amp;F470</f>
        <v>Aanwending van 40% van het geaccumuleerd regulatoir saldo door te rekenen volgens de tariefmethodologie in het boekjaar 2017</v>
      </c>
      <c r="K472" s="166" t="str">
        <f>"Nog af te bouwen regulatoir saldo einde "&amp;F470</f>
        <v>Nog af te bouwen regulatoir saldo einde 2017</v>
      </c>
      <c r="L472" s="212"/>
      <c r="Q472" s="167"/>
    </row>
    <row r="473" spans="2:17" x14ac:dyDescent="0.2">
      <c r="B473" s="1260">
        <v>2015</v>
      </c>
      <c r="C473" s="1261"/>
      <c r="D473" s="1261"/>
      <c r="E473" s="1262"/>
      <c r="F473" s="283"/>
      <c r="G473" s="177">
        <f>G173</f>
        <v>0</v>
      </c>
      <c r="H473" s="566">
        <v>0</v>
      </c>
      <c r="I473" s="177">
        <f>+G473+H473</f>
        <v>0</v>
      </c>
      <c r="J473" s="1008">
        <f>-I473*IF($B$7="elektriciteit",0.75,IF($B$7="gas",0.4,"FALSE"))</f>
        <v>0</v>
      </c>
      <c r="K473" s="1001">
        <f>+J473+G473</f>
        <v>0</v>
      </c>
      <c r="L473" s="212"/>
      <c r="Q473" s="167"/>
    </row>
    <row r="474" spans="2:17" x14ac:dyDescent="0.2">
      <c r="H474" s="221"/>
      <c r="L474" s="212"/>
      <c r="Q474" s="167"/>
    </row>
    <row r="475" spans="2:17" x14ac:dyDescent="0.2">
      <c r="B475" s="281" t="s">
        <v>172</v>
      </c>
      <c r="F475" s="1000">
        <v>2018</v>
      </c>
      <c r="H475" s="221"/>
      <c r="Q475" s="167"/>
    </row>
    <row r="476" spans="2:17" x14ac:dyDescent="0.2">
      <c r="H476" s="221"/>
      <c r="Q476" s="167"/>
    </row>
    <row r="477" spans="2:17" ht="104.1" customHeight="1" x14ac:dyDescent="0.2">
      <c r="B477" s="1257" t="s">
        <v>173</v>
      </c>
      <c r="C477" s="1258"/>
      <c r="D477" s="1258"/>
      <c r="E477" s="1259"/>
      <c r="F477" s="282"/>
      <c r="G477" s="166" t="str">
        <f>"Nog af te bouwen regulatoir saldo einde "&amp;F475-1</f>
        <v>Nog af te bouwen regulatoir saldo einde 2017</v>
      </c>
      <c r="H477" s="166" t="str">
        <f>"Afbouw oudste openstaande regulatoir saldo vanaf boekjaar "&amp;F475-3&amp;" en vroeger, door aanwending van compensatie met regulatoir saldo ontstaan over boekjaar "&amp;F475-2</f>
        <v>Afbouw oudste openstaande regulatoir saldo vanaf boekjaar 2015 en vroeger, door aanwending van compensatie met regulatoir saldo ontstaan over boekjaar 2016</v>
      </c>
      <c r="I477" s="166" t="str">
        <f>"Nog af te bouwen regulatoir saldo na compensatie einde "&amp;F475-1</f>
        <v>Nog af te bouwen regulatoir saldo na compensatie einde 2017</v>
      </c>
      <c r="J477" s="166" t="str">
        <f>"Aanwending van "&amp;IF($B$7="elektriciteit","75%",IF($B$7="gas","40%","FALSE"))&amp;" van het geaccumuleerd regulatoir saldo door te rekenen volgens de tariefmethodologie in het boekjaar "&amp;F475</f>
        <v>Aanwending van 40% van het geaccumuleerd regulatoir saldo door te rekenen volgens de tariefmethodologie in het boekjaar 2018</v>
      </c>
      <c r="K477" s="166" t="str">
        <f>"Aanwending van "&amp;IF($B$7="elektriciteit","75%",IF($B$7="gas","40%","FALSE"))&amp;" van het geaccumuleerd regulatoir saldo door te rekenen volgens de tariefmethodologie in het boekjaar "&amp;F475</f>
        <v>Aanwending van 40% van het geaccumuleerd regulatoir saldo door te rekenen volgens de tariefmethodologie in het boekjaar 2018</v>
      </c>
      <c r="L477" s="166" t="str">
        <f>"Totale afbouw over "&amp;F475</f>
        <v>Totale afbouw over 2018</v>
      </c>
      <c r="M477" s="166" t="str">
        <f>"Nog af te bouwen regulatoir saldo einde "&amp;F475</f>
        <v>Nog af te bouwen regulatoir saldo einde 2018</v>
      </c>
      <c r="N477" s="212"/>
      <c r="Q477" s="167"/>
    </row>
    <row r="478" spans="2:17" x14ac:dyDescent="0.2">
      <c r="B478" s="1260">
        <v>2015</v>
      </c>
      <c r="C478" s="1261"/>
      <c r="D478" s="1261"/>
      <c r="E478" s="1262"/>
      <c r="F478" s="283"/>
      <c r="G478" s="177">
        <f>K473</f>
        <v>0</v>
      </c>
      <c r="H478" s="566">
        <f>IF(SIGN(G479*K473)&lt;0,IF(G478&lt;&gt;0,-SIGN(G478)*MIN(ABS(G479),ABS(G478)),0),0)</f>
        <v>0</v>
      </c>
      <c r="I478" s="177">
        <f>+G478+H478</f>
        <v>0</v>
      </c>
      <c r="J478" s="1009"/>
      <c r="K478" s="1010">
        <f>-MIN(ABS(I478),ABS(J480))*SIGN(I478)</f>
        <v>0</v>
      </c>
      <c r="L478" s="1003">
        <f>+K478+H478</f>
        <v>0</v>
      </c>
      <c r="M478" s="177">
        <f>+I478+K478</f>
        <v>0</v>
      </c>
      <c r="N478" s="212"/>
      <c r="Q478" s="167"/>
    </row>
    <row r="479" spans="2:17" x14ac:dyDescent="0.2">
      <c r="B479" s="1260">
        <v>2016</v>
      </c>
      <c r="C479" s="1261"/>
      <c r="D479" s="1261"/>
      <c r="E479" s="1262"/>
      <c r="F479" s="283"/>
      <c r="G479" s="177">
        <f>H174</f>
        <v>0</v>
      </c>
      <c r="H479" s="1003">
        <f>IF(SIGN(G479*K473)&lt;0,-H478,0)</f>
        <v>0</v>
      </c>
      <c r="I479" s="177">
        <f>+G479+H479</f>
        <v>0</v>
      </c>
      <c r="J479" s="1009"/>
      <c r="K479" s="1010">
        <f>-MIN(ABS(I479),ABS(J480-K478))*SIGN(I479)</f>
        <v>0</v>
      </c>
      <c r="L479" s="1003">
        <f>+K479+H479</f>
        <v>0</v>
      </c>
      <c r="M479" s="177">
        <f>+I479+K479</f>
        <v>0</v>
      </c>
      <c r="N479" s="212"/>
      <c r="Q479" s="167"/>
    </row>
    <row r="480" spans="2:17" s="281" customFormat="1" x14ac:dyDescent="0.2">
      <c r="G480" s="284">
        <f>SUM(G478:G479)</f>
        <v>0</v>
      </c>
      <c r="H480" s="169">
        <f>SUM(H478:H479)</f>
        <v>0</v>
      </c>
      <c r="I480" s="284">
        <f>SUM(I478:I479)</f>
        <v>0</v>
      </c>
      <c r="J480" s="214">
        <f>-I480*IF($B$7="elektriciteit",0.75,IF($B$7="gas",0.4,"FALSE"))</f>
        <v>0</v>
      </c>
      <c r="K480" s="291">
        <f>SUM(K478:K479)</f>
        <v>0</v>
      </c>
      <c r="L480" s="570"/>
      <c r="M480" s="284">
        <f>SUM(M478:M479)</f>
        <v>0</v>
      </c>
    </row>
    <row r="481" spans="2:17" x14ac:dyDescent="0.2">
      <c r="H481" s="221"/>
      <c r="J481" s="12"/>
      <c r="K481" s="12"/>
      <c r="Q481" s="167"/>
    </row>
    <row r="482" spans="2:17" x14ac:dyDescent="0.2">
      <c r="B482" s="281" t="s">
        <v>172</v>
      </c>
      <c r="F482" s="1000">
        <v>2019</v>
      </c>
      <c r="H482" s="221"/>
      <c r="J482" s="12"/>
      <c r="K482" s="12"/>
      <c r="Q482" s="167"/>
    </row>
    <row r="483" spans="2:17" x14ac:dyDescent="0.2">
      <c r="H483" s="221"/>
      <c r="J483" s="12"/>
      <c r="K483" s="12"/>
      <c r="Q483" s="167"/>
    </row>
    <row r="484" spans="2:17" ht="104.1" customHeight="1" x14ac:dyDescent="0.2">
      <c r="B484" s="1257" t="s">
        <v>173</v>
      </c>
      <c r="C484" s="1258"/>
      <c r="D484" s="1258"/>
      <c r="E484" s="1259"/>
      <c r="F484" s="282"/>
      <c r="G484" s="166" t="str">
        <f>"Nog af te bouwen regulatoir saldo einde "&amp;F482-1</f>
        <v>Nog af te bouwen regulatoir saldo einde 2018</v>
      </c>
      <c r="H484" s="166" t="str">
        <f>"Afbouw oudste openstaande regulatoir saldo vanaf boekjaar "&amp;F482-3&amp;" en vroeger, door aanwending van compensatie met regulatoir saldo ontstaan over boekjaar "&amp;F482-2</f>
        <v>Afbouw oudste openstaande regulatoir saldo vanaf boekjaar 2016 en vroeger, door aanwending van compensatie met regulatoir saldo ontstaan over boekjaar 2017</v>
      </c>
      <c r="I484" s="166" t="str">
        <f>"Nog af te bouwen regulatoir saldo na compensatie einde "&amp;F482-1</f>
        <v>Nog af te bouwen regulatoir saldo na compensatie einde 2018</v>
      </c>
      <c r="J484" s="166" t="str">
        <f>"Aanwending van "&amp;IF($B$7="elektriciteit","75%",IF($B$7="gas","40%","FALSE"))&amp;" van het geaccumuleerd regulatoir saldo door te rekenen volgens de tariefmethodologie in het boekjaar "&amp;F482</f>
        <v>Aanwending van 40% van het geaccumuleerd regulatoir saldo door te rekenen volgens de tariefmethodologie in het boekjaar 2019</v>
      </c>
      <c r="K484" s="166" t="str">
        <f>"Aanwending van "&amp;IF($B$7="elektriciteit","75%",IF($B$7="gas","40%","FALSE"))&amp;" van het geaccumuleerd regulatoir saldo door te rekenen volgens de tariefmethodologie in het boekjaar "&amp;F482</f>
        <v>Aanwending van 40% van het geaccumuleerd regulatoir saldo door te rekenen volgens de tariefmethodologie in het boekjaar 2019</v>
      </c>
      <c r="L484" s="166" t="str">
        <f>"Totale afbouw over "&amp;F482</f>
        <v>Totale afbouw over 2019</v>
      </c>
      <c r="M484" s="166" t="str">
        <f>"Nog af te bouwen regulatoir saldo einde "&amp;F482</f>
        <v>Nog af te bouwen regulatoir saldo einde 2019</v>
      </c>
      <c r="N484" s="212"/>
      <c r="Q484" s="167"/>
    </row>
    <row r="485" spans="2:17" x14ac:dyDescent="0.2">
      <c r="B485" s="1260">
        <v>2015</v>
      </c>
      <c r="C485" s="1261"/>
      <c r="D485" s="1261"/>
      <c r="E485" s="1262"/>
      <c r="F485" s="283"/>
      <c r="G485" s="177">
        <f>+M478</f>
        <v>0</v>
      </c>
      <c r="H485" s="1003">
        <f>IF(SIGN(G487*M480)&lt;0,IF(G485&lt;&gt;0,-SIGN(G485)*MIN(ABS(G487),ABS(G485)),0),0)</f>
        <v>0</v>
      </c>
      <c r="I485" s="177">
        <f>+G485+H485</f>
        <v>0</v>
      </c>
      <c r="J485" s="1009"/>
      <c r="K485" s="1010">
        <f>-MIN(ABS(I485),ABS(J488))*SIGN(I485)</f>
        <v>0</v>
      </c>
      <c r="L485" s="1003">
        <f>+K485+H485</f>
        <v>0</v>
      </c>
      <c r="M485" s="177">
        <f>+I485+K485</f>
        <v>0</v>
      </c>
      <c r="N485" s="212"/>
      <c r="Q485" s="167"/>
    </row>
    <row r="486" spans="2:17" x14ac:dyDescent="0.2">
      <c r="B486" s="1260">
        <v>2016</v>
      </c>
      <c r="C486" s="1261"/>
      <c r="D486" s="1261">
        <v>2016</v>
      </c>
      <c r="E486" s="1262"/>
      <c r="F486" s="283"/>
      <c r="G486" s="177">
        <f>+M479</f>
        <v>0</v>
      </c>
      <c r="H486" s="1003">
        <f>IF(SIGN(G487*M480)&lt;0,IF(G486&lt;&gt;0,-SIGN(G486)*MIN(ABS(G487-H485),ABS(G486)),0),0)</f>
        <v>0</v>
      </c>
      <c r="I486" s="177">
        <f>+G486+H486</f>
        <v>0</v>
      </c>
      <c r="J486" s="1009"/>
      <c r="K486" s="1010">
        <f>-MIN(ABS(I486),ABS(J488-K485))*SIGN(I486)</f>
        <v>0</v>
      </c>
      <c r="L486" s="1003">
        <f>+K486+H486</f>
        <v>0</v>
      </c>
      <c r="M486" s="177">
        <f>+I486+K486</f>
        <v>0</v>
      </c>
      <c r="N486" s="212"/>
      <c r="Q486" s="167"/>
    </row>
    <row r="487" spans="2:17" x14ac:dyDescent="0.2">
      <c r="B487" s="1260">
        <v>2017</v>
      </c>
      <c r="C487" s="1261"/>
      <c r="D487" s="1261"/>
      <c r="E487" s="1262"/>
      <c r="F487" s="283"/>
      <c r="G487" s="177">
        <f>I175</f>
        <v>0</v>
      </c>
      <c r="H487" s="1003">
        <f>IF(SIGN(G487*M480)&lt;0,-SUM(H485:H486),0)</f>
        <v>0</v>
      </c>
      <c r="I487" s="177">
        <f>+G487+H487</f>
        <v>0</v>
      </c>
      <c r="J487" s="1009"/>
      <c r="K487" s="1010">
        <f>-MIN(ABS(I487),ABS(J488-K485-K486))*SIGN(I487)</f>
        <v>0</v>
      </c>
      <c r="L487" s="1003">
        <f>+K487+H487</f>
        <v>0</v>
      </c>
      <c r="M487" s="177">
        <f>+I487+K487</f>
        <v>0</v>
      </c>
      <c r="N487" s="212"/>
      <c r="Q487" s="167"/>
    </row>
    <row r="488" spans="2:17" s="281" customFormat="1" x14ac:dyDescent="0.2">
      <c r="G488" s="284">
        <f>SUM(G485:G487)</f>
        <v>0</v>
      </c>
      <c r="H488" s="169">
        <f>SUM(H485:H487)</f>
        <v>0</v>
      </c>
      <c r="I488" s="284">
        <f>SUM(I485:I487)</f>
        <v>0</v>
      </c>
      <c r="J488" s="214">
        <f>-I488*IF($B$7="elektriciteit",0.75,IF($B$7="gas",0.4,"FALSE"))</f>
        <v>0</v>
      </c>
      <c r="K488" s="291">
        <f>SUM(K485:K487)</f>
        <v>0</v>
      </c>
      <c r="L488" s="570"/>
      <c r="M488" s="284">
        <f>SUM(M485:M487)</f>
        <v>0</v>
      </c>
    </row>
    <row r="489" spans="2:17" x14ac:dyDescent="0.2">
      <c r="H489" s="221"/>
      <c r="J489" s="12"/>
      <c r="K489" s="12"/>
      <c r="Q489" s="167"/>
    </row>
    <row r="490" spans="2:17" x14ac:dyDescent="0.2">
      <c r="B490" s="281" t="s">
        <v>172</v>
      </c>
      <c r="F490" s="1000">
        <v>2020</v>
      </c>
      <c r="H490" s="221"/>
      <c r="J490" s="12"/>
      <c r="K490" s="12"/>
      <c r="Q490" s="167"/>
    </row>
    <row r="491" spans="2:17" x14ac:dyDescent="0.2">
      <c r="H491" s="221"/>
      <c r="J491" s="12"/>
      <c r="K491" s="12"/>
      <c r="Q491" s="167"/>
    </row>
    <row r="492" spans="2:17" ht="104.1" customHeight="1" x14ac:dyDescent="0.2">
      <c r="B492" s="1257" t="s">
        <v>173</v>
      </c>
      <c r="C492" s="1258"/>
      <c r="D492" s="1258"/>
      <c r="E492" s="1259"/>
      <c r="F492" s="282"/>
      <c r="G492" s="166" t="str">
        <f>"Nog af te bouwen regulatoir saldo einde "&amp;F490-1</f>
        <v>Nog af te bouwen regulatoir saldo einde 2019</v>
      </c>
      <c r="H492" s="166" t="str">
        <f>"Afbouw oudste openstaande regulatoir saldo vanaf boekjaar "&amp;F490-3&amp;" en vroeger, door aanwending van compensatie met regulatoir saldo ontstaan over boekjaar "&amp;F490-2</f>
        <v>Afbouw oudste openstaande regulatoir saldo vanaf boekjaar 2017 en vroeger, door aanwending van compensatie met regulatoir saldo ontstaan over boekjaar 2018</v>
      </c>
      <c r="I492" s="166" t="str">
        <f>"Nog af te bouwen regulatoir saldo na compensatie einde "&amp;F490-1</f>
        <v>Nog af te bouwen regulatoir saldo na compensatie einde 2019</v>
      </c>
      <c r="J492" s="166" t="str">
        <f>"Aanwending van "&amp;IF($B$7="elektriciteit","75%",IF($B$7="gas","40%","FALSE"))&amp;" van het geaccumuleerd regulatoir saldo door te rekenen volgens de tariefmethodologie in het boekjaar "&amp;F490</f>
        <v>Aanwending van 40% van het geaccumuleerd regulatoir saldo door te rekenen volgens de tariefmethodologie in het boekjaar 2020</v>
      </c>
      <c r="K492" s="166" t="str">
        <f>"Aanwending van "&amp;IF($B$7="elektriciteit","75%",IF($B$7="gas","40%","FALSE"))&amp;" van het geaccumuleerd regulatoir saldo door te rekenen volgens de tariefmethodologie in het boekjaar "&amp;F490</f>
        <v>Aanwending van 40% van het geaccumuleerd regulatoir saldo door te rekenen volgens de tariefmethodologie in het boekjaar 2020</v>
      </c>
      <c r="L492" s="166" t="str">
        <f>"Totale afbouw over "&amp;F490</f>
        <v>Totale afbouw over 2020</v>
      </c>
      <c r="M492" s="166" t="str">
        <f>"Nog af te bouwen regulatoir saldo einde "&amp;F490</f>
        <v>Nog af te bouwen regulatoir saldo einde 2020</v>
      </c>
      <c r="N492" s="212"/>
      <c r="Q492" s="167"/>
    </row>
    <row r="493" spans="2:17" x14ac:dyDescent="0.2">
      <c r="B493" s="1260">
        <v>2015</v>
      </c>
      <c r="C493" s="1261"/>
      <c r="D493" s="1261"/>
      <c r="E493" s="1262"/>
      <c r="F493" s="283"/>
      <c r="G493" s="177">
        <f>+M485</f>
        <v>0</v>
      </c>
      <c r="H493" s="1003">
        <f>IF(SIGN(G496*M488)&lt;0,IF(G493&lt;&gt;0,-SIGN(G493)*MIN(ABS(G496),ABS(G493)),0),0)</f>
        <v>0</v>
      </c>
      <c r="I493" s="177">
        <f>+G493+H493</f>
        <v>0</v>
      </c>
      <c r="J493" s="1009"/>
      <c r="K493" s="1010">
        <f>-MIN(ABS(I493),ABS(J497))*SIGN(I493)</f>
        <v>0</v>
      </c>
      <c r="L493" s="1003">
        <f>+K493+H493</f>
        <v>0</v>
      </c>
      <c r="M493" s="177">
        <f>+I493+K493</f>
        <v>0</v>
      </c>
      <c r="N493" s="212"/>
      <c r="Q493" s="167"/>
    </row>
    <row r="494" spans="2:17" x14ac:dyDescent="0.2">
      <c r="B494" s="1260">
        <v>2016</v>
      </c>
      <c r="C494" s="1261"/>
      <c r="D494" s="1261"/>
      <c r="E494" s="1262"/>
      <c r="F494" s="283"/>
      <c r="G494" s="177">
        <f>+M486</f>
        <v>0</v>
      </c>
      <c r="H494" s="1003">
        <f>IF(SIGN(G496*M488)&lt;0,IF(G494&lt;&gt;0,-SIGN(G494)*MIN(ABS(G496-H493),ABS(G494)),0),0)</f>
        <v>0</v>
      </c>
      <c r="I494" s="177">
        <f>+G494+H494</f>
        <v>0</v>
      </c>
      <c r="J494" s="1009"/>
      <c r="K494" s="1010">
        <f>-MIN(ABS(I494),ABS(J497-K493))*SIGN(I494)</f>
        <v>0</v>
      </c>
      <c r="L494" s="1003">
        <f>+K494+H494</f>
        <v>0</v>
      </c>
      <c r="M494" s="177">
        <f>+I494+K494</f>
        <v>0</v>
      </c>
      <c r="N494" s="212"/>
      <c r="Q494" s="167"/>
    </row>
    <row r="495" spans="2:17" x14ac:dyDescent="0.2">
      <c r="B495" s="1260">
        <v>2017</v>
      </c>
      <c r="C495" s="1261"/>
      <c r="D495" s="1261">
        <v>2016</v>
      </c>
      <c r="E495" s="1262"/>
      <c r="F495" s="283"/>
      <c r="G495" s="177">
        <f>+M487</f>
        <v>0</v>
      </c>
      <c r="H495" s="1003">
        <f>IF(SIGN(G496*M488)&lt;0,IF(G495&lt;&gt;0,-SIGN(G495)*MIN(ABS(G496-H493-H494),ABS(G495)),0),0)</f>
        <v>0</v>
      </c>
      <c r="I495" s="177">
        <f>+G495+H495</f>
        <v>0</v>
      </c>
      <c r="J495" s="1009"/>
      <c r="K495" s="1010">
        <f>-MIN(ABS(I495),ABS(J497-K493-K494))*SIGN(I495)</f>
        <v>0</v>
      </c>
      <c r="L495" s="1003">
        <f>+K495+H495</f>
        <v>0</v>
      </c>
      <c r="M495" s="177">
        <f>+I495+K495</f>
        <v>0</v>
      </c>
      <c r="N495" s="212"/>
      <c r="Q495" s="167"/>
    </row>
    <row r="496" spans="2:17" x14ac:dyDescent="0.2">
      <c r="B496" s="1260">
        <v>2018</v>
      </c>
      <c r="C496" s="1261"/>
      <c r="D496" s="1261"/>
      <c r="E496" s="1262"/>
      <c r="F496" s="283"/>
      <c r="G496" s="177">
        <f>J176</f>
        <v>0</v>
      </c>
      <c r="H496" s="1003">
        <f>IF(SIGN(G496*M488)&lt;0,-SUM(H493:H495),0)</f>
        <v>0</v>
      </c>
      <c r="I496" s="177">
        <f>+G496+H496</f>
        <v>0</v>
      </c>
      <c r="J496" s="1009"/>
      <c r="K496" s="1010">
        <f>-MIN(ABS(I496),ABS(J497-K493-K494-K495))*SIGN(I496)</f>
        <v>0</v>
      </c>
      <c r="L496" s="1003">
        <f>+K496+H496</f>
        <v>0</v>
      </c>
      <c r="M496" s="177">
        <f>+I496+K496</f>
        <v>0</v>
      </c>
      <c r="N496" s="212"/>
      <c r="Q496" s="167"/>
    </row>
    <row r="497" spans="2:17" s="281" customFormat="1" x14ac:dyDescent="0.2">
      <c r="G497" s="284">
        <f>SUM(G493:G496)</f>
        <v>0</v>
      </c>
      <c r="H497" s="169">
        <f>SUM(H493:H496)</f>
        <v>0</v>
      </c>
      <c r="I497" s="284">
        <f>SUM(I493:I496)</f>
        <v>0</v>
      </c>
      <c r="J497" s="214">
        <f>-I497*IF($B$7="elektriciteit",0.75,IF($B$7="gas",0.4,"FALSE"))</f>
        <v>0</v>
      </c>
      <c r="K497" s="291">
        <f>SUM(K493:K496)</f>
        <v>0</v>
      </c>
      <c r="L497" s="169"/>
      <c r="M497" s="284">
        <f>SUM(M493:M496)</f>
        <v>0</v>
      </c>
    </row>
    <row r="498" spans="2:17" x14ac:dyDescent="0.2">
      <c r="H498" s="221"/>
      <c r="Q498" s="167"/>
    </row>
    <row r="499" spans="2:17" x14ac:dyDescent="0.2">
      <c r="B499" s="281" t="s">
        <v>172</v>
      </c>
      <c r="F499" s="1000">
        <v>2021</v>
      </c>
      <c r="H499" s="221"/>
      <c r="Q499" s="167"/>
    </row>
    <row r="500" spans="2:17" x14ac:dyDescent="0.2">
      <c r="H500" s="221"/>
      <c r="Q500" s="167"/>
    </row>
    <row r="501" spans="2:17" ht="78" customHeight="1" x14ac:dyDescent="0.2">
      <c r="B501" s="1257" t="s">
        <v>173</v>
      </c>
      <c r="C501" s="1258"/>
      <c r="D501" s="1258"/>
      <c r="E501" s="1259"/>
      <c r="F501" s="282"/>
      <c r="G501" s="166" t="str">
        <f>"Nog af te bouwen regulatoir saldo einde "&amp;F499-1</f>
        <v>Nog af te bouwen regulatoir saldo einde 2020</v>
      </c>
      <c r="H501" s="166" t="str">
        <f>"50% van oorspronkelijk saldo door te rekenen volgens de tariefmethodologie in het boekjaar "&amp;F499</f>
        <v>50% van oorspronkelijk saldo door te rekenen volgens de tariefmethodologie in het boekjaar 2021</v>
      </c>
      <c r="I501" s="166" t="str">
        <f>"Nog af te bouwen regulatoir saldo einde "&amp;F499</f>
        <v>Nog af te bouwen regulatoir saldo einde 2021</v>
      </c>
      <c r="J501" s="212"/>
      <c r="Q501" s="167"/>
    </row>
    <row r="502" spans="2:17" x14ac:dyDescent="0.2">
      <c r="B502" s="1260">
        <v>2015</v>
      </c>
      <c r="C502" s="1261"/>
      <c r="D502" s="1261"/>
      <c r="E502" s="1262"/>
      <c r="F502" s="283"/>
      <c r="G502" s="177">
        <f>M493</f>
        <v>0</v>
      </c>
      <c r="H502" s="566">
        <f>-G502*0.5</f>
        <v>0</v>
      </c>
      <c r="I502" s="177">
        <f>+G502+H502</f>
        <v>0</v>
      </c>
      <c r="J502" s="212"/>
      <c r="Q502" s="167"/>
    </row>
    <row r="503" spans="2:17" x14ac:dyDescent="0.2">
      <c r="B503" s="1260">
        <v>2016</v>
      </c>
      <c r="C503" s="1261"/>
      <c r="D503" s="1261"/>
      <c r="E503" s="1262"/>
      <c r="F503" s="283"/>
      <c r="G503" s="177">
        <f t="shared" ref="G503:G505" si="67">M494</f>
        <v>0</v>
      </c>
      <c r="H503" s="566">
        <f t="shared" ref="H503:H506" si="68">-G503*0.5</f>
        <v>0</v>
      </c>
      <c r="I503" s="177">
        <f t="shared" ref="I503:I506" si="69">+G503+H503</f>
        <v>0</v>
      </c>
      <c r="J503" s="212"/>
      <c r="Q503" s="167"/>
    </row>
    <row r="504" spans="2:17" x14ac:dyDescent="0.2">
      <c r="B504" s="1260">
        <v>2017</v>
      </c>
      <c r="C504" s="1261"/>
      <c r="D504" s="1261">
        <v>2016</v>
      </c>
      <c r="E504" s="1262"/>
      <c r="F504" s="283"/>
      <c r="G504" s="177">
        <f t="shared" si="67"/>
        <v>0</v>
      </c>
      <c r="H504" s="566">
        <f t="shared" si="68"/>
        <v>0</v>
      </c>
      <c r="I504" s="177">
        <f t="shared" si="69"/>
        <v>0</v>
      </c>
      <c r="J504" s="212"/>
      <c r="Q504" s="167"/>
    </row>
    <row r="505" spans="2:17" x14ac:dyDescent="0.2">
      <c r="B505" s="1260">
        <v>2018</v>
      </c>
      <c r="C505" s="1261"/>
      <c r="D505" s="1261"/>
      <c r="E505" s="1262"/>
      <c r="F505" s="283"/>
      <c r="G505" s="177">
        <f t="shared" si="67"/>
        <v>0</v>
      </c>
      <c r="H505" s="566">
        <f t="shared" si="68"/>
        <v>0</v>
      </c>
      <c r="I505" s="177">
        <f t="shared" si="69"/>
        <v>0</v>
      </c>
      <c r="J505" s="212"/>
      <c r="Q505" s="167"/>
    </row>
    <row r="506" spans="2:17" x14ac:dyDescent="0.2">
      <c r="B506" s="1260">
        <v>2019</v>
      </c>
      <c r="C506" s="1261"/>
      <c r="D506" s="1261"/>
      <c r="E506" s="1262"/>
      <c r="F506" s="283"/>
      <c r="G506" s="177">
        <f>K177</f>
        <v>0</v>
      </c>
      <c r="H506" s="566">
        <f t="shared" si="68"/>
        <v>0</v>
      </c>
      <c r="I506" s="177">
        <f t="shared" si="69"/>
        <v>0</v>
      </c>
      <c r="J506" s="212"/>
      <c r="Q506" s="167"/>
    </row>
    <row r="507" spans="2:17" s="281" customFormat="1" x14ac:dyDescent="0.2">
      <c r="G507" s="284">
        <f>SUM(G502:G506)</f>
        <v>0</v>
      </c>
      <c r="H507" s="169">
        <f>SUM(H502:H506)</f>
        <v>0</v>
      </c>
      <c r="I507" s="284">
        <f>SUM(I502:I506)</f>
        <v>0</v>
      </c>
    </row>
    <row r="508" spans="2:17" x14ac:dyDescent="0.2">
      <c r="H508" s="221"/>
      <c r="Q508" s="167"/>
    </row>
    <row r="509" spans="2:17" x14ac:dyDescent="0.2">
      <c r="B509" s="847" t="s">
        <v>172</v>
      </c>
      <c r="C509" s="842"/>
      <c r="D509" s="842"/>
      <c r="E509" s="842"/>
      <c r="F509" s="1004">
        <v>2022</v>
      </c>
      <c r="G509" s="842"/>
      <c r="H509" s="855"/>
      <c r="I509" s="842"/>
      <c r="Q509" s="167"/>
    </row>
    <row r="510" spans="2:17" x14ac:dyDescent="0.2">
      <c r="B510" s="842"/>
      <c r="C510" s="842"/>
      <c r="D510" s="842"/>
      <c r="E510" s="842"/>
      <c r="F510" s="842"/>
      <c r="G510" s="842"/>
      <c r="H510" s="855"/>
      <c r="I510" s="842"/>
      <c r="Q510" s="167"/>
    </row>
    <row r="511" spans="2:17" ht="78" customHeight="1" x14ac:dyDescent="0.2">
      <c r="B511" s="1254" t="s">
        <v>173</v>
      </c>
      <c r="C511" s="1255"/>
      <c r="D511" s="1255"/>
      <c r="E511" s="1256"/>
      <c r="F511" s="848"/>
      <c r="G511" s="837" t="str">
        <f>"Nog af te bouwen regulatoir saldo einde "&amp;F509-1</f>
        <v>Nog af te bouwen regulatoir saldo einde 2021</v>
      </c>
      <c r="H511" s="837" t="str">
        <f>"50% van oorspronkelijk saldo door te rekenen volgens de tariefmethodologie in het boekjaar "&amp;F509</f>
        <v>50% van oorspronkelijk saldo door te rekenen volgens de tariefmethodologie in het boekjaar 2022</v>
      </c>
      <c r="I511" s="837" t="str">
        <f>"Nog af te bouwen regulatoir saldo einde "&amp;F509</f>
        <v>Nog af te bouwen regulatoir saldo einde 2022</v>
      </c>
      <c r="J511" s="212"/>
      <c r="Q511" s="167"/>
    </row>
    <row r="512" spans="2:17" x14ac:dyDescent="0.2">
      <c r="B512" s="1251">
        <v>2015</v>
      </c>
      <c r="C512" s="1252"/>
      <c r="D512" s="1252"/>
      <c r="E512" s="1253"/>
      <c r="F512" s="341"/>
      <c r="G512" s="339">
        <f>+I502</f>
        <v>0</v>
      </c>
      <c r="H512" s="568">
        <f>-G502*0.5</f>
        <v>0</v>
      </c>
      <c r="I512" s="339">
        <f>+G512+H512</f>
        <v>0</v>
      </c>
      <c r="J512" s="212"/>
      <c r="Q512" s="167"/>
    </row>
    <row r="513" spans="2:17" x14ac:dyDescent="0.2">
      <c r="B513" s="1251">
        <v>2016</v>
      </c>
      <c r="C513" s="1252"/>
      <c r="D513" s="1252"/>
      <c r="E513" s="1253"/>
      <c r="F513" s="341"/>
      <c r="G513" s="339">
        <f t="shared" ref="G513:G516" si="70">+I503</f>
        <v>0</v>
      </c>
      <c r="H513" s="568">
        <f t="shared" ref="H513:H516" si="71">-G503*0.5</f>
        <v>0</v>
      </c>
      <c r="I513" s="339">
        <f t="shared" ref="I513:I517" si="72">+G513+H513</f>
        <v>0</v>
      </c>
      <c r="J513" s="212"/>
      <c r="Q513" s="167"/>
    </row>
    <row r="514" spans="2:17" x14ac:dyDescent="0.2">
      <c r="B514" s="1251">
        <v>2017</v>
      </c>
      <c r="C514" s="1252"/>
      <c r="D514" s="1252">
        <v>2016</v>
      </c>
      <c r="E514" s="1253"/>
      <c r="F514" s="341"/>
      <c r="G514" s="339">
        <f t="shared" si="70"/>
        <v>0</v>
      </c>
      <c r="H514" s="568">
        <f t="shared" si="71"/>
        <v>0</v>
      </c>
      <c r="I514" s="339">
        <f t="shared" si="72"/>
        <v>0</v>
      </c>
      <c r="J514" s="212"/>
      <c r="Q514" s="167"/>
    </row>
    <row r="515" spans="2:17" x14ac:dyDescent="0.2">
      <c r="B515" s="1251">
        <v>2018</v>
      </c>
      <c r="C515" s="1252"/>
      <c r="D515" s="1252"/>
      <c r="E515" s="1253"/>
      <c r="F515" s="341"/>
      <c r="G515" s="339">
        <f t="shared" si="70"/>
        <v>0</v>
      </c>
      <c r="H515" s="568">
        <f t="shared" si="71"/>
        <v>0</v>
      </c>
      <c r="I515" s="339">
        <f t="shared" si="72"/>
        <v>0</v>
      </c>
      <c r="J515" s="212"/>
      <c r="Q515" s="167"/>
    </row>
    <row r="516" spans="2:17" x14ac:dyDescent="0.2">
      <c r="B516" s="1251">
        <v>2019</v>
      </c>
      <c r="C516" s="1252"/>
      <c r="D516" s="1252"/>
      <c r="E516" s="1253"/>
      <c r="F516" s="341"/>
      <c r="G516" s="339">
        <f t="shared" si="70"/>
        <v>0</v>
      </c>
      <c r="H516" s="568">
        <f t="shared" si="71"/>
        <v>0</v>
      </c>
      <c r="I516" s="339">
        <f t="shared" si="72"/>
        <v>0</v>
      </c>
      <c r="J516" s="212"/>
      <c r="Q516" s="167"/>
    </row>
    <row r="517" spans="2:17" x14ac:dyDescent="0.2">
      <c r="B517" s="1251">
        <v>2020</v>
      </c>
      <c r="C517" s="1252"/>
      <c r="D517" s="1252"/>
      <c r="E517" s="1253"/>
      <c r="F517" s="341"/>
      <c r="G517" s="339">
        <f>L178</f>
        <v>0</v>
      </c>
      <c r="H517" s="568">
        <f t="shared" ref="H517" si="73">-G517*0.5</f>
        <v>0</v>
      </c>
      <c r="I517" s="339">
        <f t="shared" si="72"/>
        <v>0</v>
      </c>
      <c r="J517" s="212"/>
      <c r="Q517" s="167"/>
    </row>
    <row r="518" spans="2:17" s="281" customFormat="1" x14ac:dyDescent="0.2">
      <c r="B518" s="847"/>
      <c r="C518" s="847"/>
      <c r="D518" s="847"/>
      <c r="E518" s="847"/>
      <c r="F518" s="847"/>
      <c r="G518" s="849">
        <f>SUM(G512:G517)</f>
        <v>0</v>
      </c>
      <c r="H518" s="856">
        <f t="shared" ref="H518:I518" si="74">SUM(H512:H517)</f>
        <v>0</v>
      </c>
      <c r="I518" s="849">
        <f t="shared" si="74"/>
        <v>0</v>
      </c>
    </row>
    <row r="519" spans="2:17" x14ac:dyDescent="0.2">
      <c r="B519" s="842"/>
      <c r="C519" s="842"/>
      <c r="D519" s="842"/>
      <c r="E519" s="842"/>
      <c r="F519" s="842"/>
      <c r="G519" s="842"/>
      <c r="H519" s="855"/>
      <c r="I519" s="842"/>
      <c r="Q519" s="167"/>
    </row>
    <row r="520" spans="2:17" x14ac:dyDescent="0.2">
      <c r="B520" s="847" t="s">
        <v>172</v>
      </c>
      <c r="C520" s="842"/>
      <c r="D520" s="842"/>
      <c r="E520" s="842"/>
      <c r="F520" s="1004">
        <v>2023</v>
      </c>
      <c r="G520" s="842"/>
      <c r="H520" s="855"/>
      <c r="I520" s="842"/>
      <c r="Q520" s="167"/>
    </row>
    <row r="521" spans="2:17" x14ac:dyDescent="0.2">
      <c r="B521" s="842"/>
      <c r="C521" s="842"/>
      <c r="D521" s="842"/>
      <c r="E521" s="842"/>
      <c r="F521" s="842"/>
      <c r="G521" s="842"/>
      <c r="H521" s="855"/>
      <c r="I521" s="842"/>
      <c r="Q521" s="167"/>
    </row>
    <row r="522" spans="2:17" ht="78" customHeight="1" x14ac:dyDescent="0.2">
      <c r="B522" s="1254" t="s">
        <v>173</v>
      </c>
      <c r="C522" s="1255"/>
      <c r="D522" s="1255"/>
      <c r="E522" s="1256"/>
      <c r="F522" s="848"/>
      <c r="G522" s="837" t="str">
        <f>"Nog af te bouwen regulatoir saldo einde "&amp;F520-1</f>
        <v>Nog af te bouwen regulatoir saldo einde 2022</v>
      </c>
      <c r="H522" s="837" t="str">
        <f>"50% van oorspronkelijk saldo door te rekenen volgens de tariefmethodologie in het boekjaar "&amp;F520</f>
        <v>50% van oorspronkelijk saldo door te rekenen volgens de tariefmethodologie in het boekjaar 2023</v>
      </c>
      <c r="I522" s="837" t="str">
        <f>"Nog af te bouwen regulatoir saldo einde "&amp;F520</f>
        <v>Nog af te bouwen regulatoir saldo einde 2023</v>
      </c>
      <c r="J522" s="212"/>
      <c r="Q522" s="167"/>
    </row>
    <row r="523" spans="2:17" x14ac:dyDescent="0.2">
      <c r="B523" s="1251">
        <v>2020</v>
      </c>
      <c r="C523" s="1252"/>
      <c r="D523" s="1252"/>
      <c r="E523" s="1253"/>
      <c r="F523" s="341"/>
      <c r="G523" s="339">
        <f>+I517</f>
        <v>0</v>
      </c>
      <c r="H523" s="568">
        <f>-G517*0.5</f>
        <v>0</v>
      </c>
      <c r="I523" s="339">
        <f t="shared" ref="I523" si="75">+G523+H523</f>
        <v>0</v>
      </c>
      <c r="J523" s="212"/>
      <c r="Q523" s="167"/>
    </row>
    <row r="524" spans="2:17" s="281" customFormat="1" x14ac:dyDescent="0.2">
      <c r="B524" s="847"/>
      <c r="C524" s="847"/>
      <c r="D524" s="847"/>
      <c r="E524" s="847"/>
      <c r="F524" s="847"/>
      <c r="G524" s="849">
        <f>SUM(G523:G523)</f>
        <v>0</v>
      </c>
      <c r="H524" s="856">
        <f>SUM(H523:H523)</f>
        <v>0</v>
      </c>
      <c r="I524" s="849">
        <f>SUM(I523:I523)</f>
        <v>0</v>
      </c>
    </row>
    <row r="525" spans="2:17" x14ac:dyDescent="0.2">
      <c r="B525" s="281" t="s">
        <v>119</v>
      </c>
      <c r="C525" s="224"/>
      <c r="D525" s="224"/>
      <c r="E525" s="224"/>
      <c r="H525" s="221"/>
      <c r="Q525" s="167"/>
    </row>
    <row r="526" spans="2:17" x14ac:dyDescent="0.2">
      <c r="B526" s="281" t="s">
        <v>174</v>
      </c>
      <c r="C526" s="224"/>
      <c r="D526" s="224"/>
      <c r="E526" s="224"/>
      <c r="H526" s="221"/>
      <c r="Q526" s="167"/>
    </row>
    <row r="527" spans="2:17" x14ac:dyDescent="0.2">
      <c r="B527" s="281"/>
      <c r="C527" s="224"/>
      <c r="D527" s="224"/>
      <c r="E527" s="224"/>
      <c r="H527" s="221"/>
      <c r="Q527" s="167"/>
    </row>
    <row r="528" spans="2:17" x14ac:dyDescent="0.2">
      <c r="B528" s="283">
        <v>2021</v>
      </c>
      <c r="C528" s="287">
        <f>+H507</f>
        <v>0</v>
      </c>
      <c r="D528" s="224"/>
      <c r="E528" s="224"/>
      <c r="H528" s="221"/>
      <c r="Q528" s="167"/>
    </row>
    <row r="529" spans="2:17" x14ac:dyDescent="0.2">
      <c r="B529" s="341">
        <v>2022</v>
      </c>
      <c r="C529" s="342">
        <f>+H518</f>
        <v>0</v>
      </c>
      <c r="D529" s="224"/>
      <c r="E529" s="224"/>
      <c r="H529" s="221"/>
      <c r="Q529" s="167"/>
    </row>
    <row r="530" spans="2:17" x14ac:dyDescent="0.2">
      <c r="B530" s="341">
        <v>2023</v>
      </c>
      <c r="C530" s="342">
        <f>+H524</f>
        <v>0</v>
      </c>
      <c r="D530" s="224"/>
      <c r="E530" s="224"/>
      <c r="H530" s="221"/>
      <c r="Q530" s="167"/>
    </row>
    <row r="531" spans="2:17" x14ac:dyDescent="0.2">
      <c r="B531" s="341">
        <v>2024</v>
      </c>
      <c r="C531" s="342">
        <v>0</v>
      </c>
      <c r="D531" s="224"/>
      <c r="E531" s="224"/>
      <c r="H531" s="221"/>
      <c r="Q531" s="167"/>
    </row>
    <row r="532" spans="2:17" x14ac:dyDescent="0.2">
      <c r="H532" s="221"/>
      <c r="Q532" s="167"/>
    </row>
    <row r="533" spans="2:17" x14ac:dyDescent="0.2">
      <c r="H533" s="221"/>
      <c r="Q533" s="167"/>
    </row>
    <row r="534" spans="2:17" x14ac:dyDescent="0.2">
      <c r="B534" s="326" t="s">
        <v>118</v>
      </c>
      <c r="C534" s="327"/>
      <c r="D534" s="327"/>
      <c r="E534" s="327"/>
      <c r="F534" s="328"/>
      <c r="G534" s="328"/>
      <c r="H534" s="569"/>
      <c r="I534" s="328"/>
      <c r="J534" s="328"/>
      <c r="K534" s="328"/>
      <c r="L534" s="328"/>
      <c r="M534" s="328"/>
      <c r="Q534" s="167"/>
    </row>
    <row r="535" spans="2:17" x14ac:dyDescent="0.2">
      <c r="H535" s="221"/>
      <c r="Q535" s="167"/>
    </row>
    <row r="536" spans="2:17" x14ac:dyDescent="0.2">
      <c r="B536" s="281" t="s">
        <v>172</v>
      </c>
      <c r="F536" s="1000">
        <v>2017</v>
      </c>
      <c r="H536" s="221"/>
      <c r="Q536" s="167"/>
    </row>
    <row r="537" spans="2:17" x14ac:dyDescent="0.2">
      <c r="H537" s="221"/>
      <c r="L537" s="212"/>
      <c r="Q537" s="167"/>
    </row>
    <row r="538" spans="2:17" ht="104.1" customHeight="1" x14ac:dyDescent="0.2">
      <c r="B538" s="1257" t="s">
        <v>173</v>
      </c>
      <c r="C538" s="1258"/>
      <c r="D538" s="1258"/>
      <c r="E538" s="1259"/>
      <c r="F538" s="282"/>
      <c r="G538" s="166" t="str">
        <f>"Nog af te bouwen regulatoir saldo einde "&amp;F536-1</f>
        <v>Nog af te bouwen regulatoir saldo einde 2016</v>
      </c>
      <c r="H538" s="166" t="str">
        <f>"Afbouw oudste openstaande regulatoir saldo vanaf boekjaar "&amp;F536-3&amp;" en vroeger, door aanwending van compensatie met regulatoir saldo ontstaan over boekjaar "&amp;F536-2</f>
        <v>Afbouw oudste openstaande regulatoir saldo vanaf boekjaar 2014 en vroeger, door aanwending van compensatie met regulatoir saldo ontstaan over boekjaar 2015</v>
      </c>
      <c r="I538" s="166" t="str">
        <f>"Nog af te bouwen regulatoir saldo na compensatie einde "&amp;F536-1</f>
        <v>Nog af te bouwen regulatoir saldo na compensatie einde 2016</v>
      </c>
      <c r="J538" s="166" t="str">
        <f>"Aanwending van "&amp;IF($B$7="elektriciteit","75%",IF($B$7="gas","40%","FALSE"))&amp;" van het geaccumuleerd regulatoir saldo door te rekenen volgens de tariefmethodologie in het boekjaar "&amp;F536</f>
        <v>Aanwending van 40% van het geaccumuleerd regulatoir saldo door te rekenen volgens de tariefmethodologie in het boekjaar 2017</v>
      </c>
      <c r="K538" s="166" t="str">
        <f>"Nog af te bouwen regulatoir saldo einde "&amp;F536</f>
        <v>Nog af te bouwen regulatoir saldo einde 2017</v>
      </c>
      <c r="L538" s="212"/>
      <c r="Q538" s="167"/>
    </row>
    <row r="539" spans="2:17" x14ac:dyDescent="0.2">
      <c r="B539" s="1260">
        <v>2015</v>
      </c>
      <c r="C539" s="1261"/>
      <c r="D539" s="1261"/>
      <c r="E539" s="1262"/>
      <c r="F539" s="283"/>
      <c r="G539" s="177">
        <f>G184</f>
        <v>0</v>
      </c>
      <c r="H539" s="566">
        <v>0</v>
      </c>
      <c r="I539" s="177">
        <f>+G539+H539</f>
        <v>0</v>
      </c>
      <c r="J539" s="1008">
        <f>-I539*IF($B$7="elektriciteit",0.75,IF($B$7="gas",0.4,"FALSE"))</f>
        <v>0</v>
      </c>
      <c r="K539" s="1001">
        <f>+J539+G539</f>
        <v>0</v>
      </c>
      <c r="L539" s="212"/>
      <c r="Q539" s="167"/>
    </row>
    <row r="540" spans="2:17" x14ac:dyDescent="0.2">
      <c r="H540" s="221"/>
      <c r="L540" s="212"/>
      <c r="Q540" s="167"/>
    </row>
    <row r="541" spans="2:17" x14ac:dyDescent="0.2">
      <c r="B541" s="281" t="s">
        <v>172</v>
      </c>
      <c r="F541" s="1000">
        <v>2018</v>
      </c>
      <c r="H541" s="221"/>
      <c r="Q541" s="167"/>
    </row>
    <row r="542" spans="2:17" x14ac:dyDescent="0.2">
      <c r="H542" s="221"/>
      <c r="Q542" s="167"/>
    </row>
    <row r="543" spans="2:17" ht="104.1" customHeight="1" x14ac:dyDescent="0.2">
      <c r="B543" s="1257" t="s">
        <v>173</v>
      </c>
      <c r="C543" s="1258"/>
      <c r="D543" s="1258"/>
      <c r="E543" s="1259"/>
      <c r="F543" s="282"/>
      <c r="G543" s="166" t="str">
        <f>"Nog af te bouwen regulatoir saldo einde "&amp;F541-1</f>
        <v>Nog af te bouwen regulatoir saldo einde 2017</v>
      </c>
      <c r="H543" s="166" t="str">
        <f>"Afbouw oudste openstaande regulatoir saldo vanaf boekjaar "&amp;F541-3&amp;" en vroeger, door aanwending van compensatie met regulatoir saldo ontstaan over boekjaar "&amp;F541-2</f>
        <v>Afbouw oudste openstaande regulatoir saldo vanaf boekjaar 2015 en vroeger, door aanwending van compensatie met regulatoir saldo ontstaan over boekjaar 2016</v>
      </c>
      <c r="I543" s="166" t="str">
        <f>"Nog af te bouwen regulatoir saldo na compensatie einde "&amp;F541-1</f>
        <v>Nog af te bouwen regulatoir saldo na compensatie einde 2017</v>
      </c>
      <c r="J543" s="166" t="str">
        <f>"Aanwending van "&amp;IF($B$7="elektriciteit","75%",IF($B$7="gas","40%","FALSE"))&amp;" van het geaccumuleerd regulatoir saldo door te rekenen volgens de tariefmethodologie in het boekjaar "&amp;F541</f>
        <v>Aanwending van 40% van het geaccumuleerd regulatoir saldo door te rekenen volgens de tariefmethodologie in het boekjaar 2018</v>
      </c>
      <c r="K543" s="166" t="str">
        <f>"Aanwending van "&amp;IF($B$7="elektriciteit","75%",IF($B$7="gas","40%","FALSE"))&amp;" van het geaccumuleerd regulatoir saldo door te rekenen volgens de tariefmethodologie in het boekjaar "&amp;F541</f>
        <v>Aanwending van 40% van het geaccumuleerd regulatoir saldo door te rekenen volgens de tariefmethodologie in het boekjaar 2018</v>
      </c>
      <c r="L543" s="166" t="str">
        <f>"Totale afbouw over "&amp;F541</f>
        <v>Totale afbouw over 2018</v>
      </c>
      <c r="M543" s="166" t="str">
        <f>"Nog af te bouwen regulatoir saldo einde "&amp;F541</f>
        <v>Nog af te bouwen regulatoir saldo einde 2018</v>
      </c>
      <c r="N543" s="212"/>
      <c r="Q543" s="167"/>
    </row>
    <row r="544" spans="2:17" x14ac:dyDescent="0.2">
      <c r="B544" s="1260">
        <v>2015</v>
      </c>
      <c r="C544" s="1261"/>
      <c r="D544" s="1261"/>
      <c r="E544" s="1262"/>
      <c r="F544" s="283"/>
      <c r="G544" s="177">
        <f>K539</f>
        <v>0</v>
      </c>
      <c r="H544" s="566">
        <f>IF(SIGN(G545*K539)&lt;0,IF(G544&lt;&gt;0,-SIGN(G544)*MIN(ABS(G545),ABS(G544)),0),0)</f>
        <v>0</v>
      </c>
      <c r="I544" s="177">
        <f>+G544+H544</f>
        <v>0</v>
      </c>
      <c r="J544" s="1009"/>
      <c r="K544" s="1010">
        <f>-MIN(ABS(I544),ABS(J546))*SIGN(I544)</f>
        <v>0</v>
      </c>
      <c r="L544" s="1003">
        <f>+K544+H544</f>
        <v>0</v>
      </c>
      <c r="M544" s="177">
        <f>+I544+K544</f>
        <v>0</v>
      </c>
      <c r="N544" s="212"/>
      <c r="Q544" s="167"/>
    </row>
    <row r="545" spans="2:17" x14ac:dyDescent="0.2">
      <c r="B545" s="1260">
        <v>2016</v>
      </c>
      <c r="C545" s="1261"/>
      <c r="D545" s="1261"/>
      <c r="E545" s="1262"/>
      <c r="F545" s="283"/>
      <c r="G545" s="177">
        <f>H185</f>
        <v>0</v>
      </c>
      <c r="H545" s="1003">
        <f>IF(SIGN(G545*K539)&lt;0,-H544,0)</f>
        <v>0</v>
      </c>
      <c r="I545" s="177">
        <f>+G545+H545</f>
        <v>0</v>
      </c>
      <c r="J545" s="1009"/>
      <c r="K545" s="1010">
        <f>-MIN(ABS(I545),ABS(J546-K544))*SIGN(I545)</f>
        <v>0</v>
      </c>
      <c r="L545" s="1003">
        <f>+K545+H545</f>
        <v>0</v>
      </c>
      <c r="M545" s="177">
        <f>+I545+K545</f>
        <v>0</v>
      </c>
      <c r="N545" s="212"/>
      <c r="Q545" s="167"/>
    </row>
    <row r="546" spans="2:17" s="281" customFormat="1" x14ac:dyDescent="0.2">
      <c r="G546" s="284">
        <f>SUM(G544:G545)</f>
        <v>0</v>
      </c>
      <c r="H546" s="169">
        <f>SUM(H544:H545)</f>
        <v>0</v>
      </c>
      <c r="I546" s="284">
        <f>SUM(I544:I545)</f>
        <v>0</v>
      </c>
      <c r="J546" s="214">
        <f>-I546*IF($B$7="elektriciteit",0.75,IF($B$7="gas",0.4,"FALSE"))</f>
        <v>0</v>
      </c>
      <c r="K546" s="291">
        <f>SUM(K544:K545)</f>
        <v>0</v>
      </c>
      <c r="L546" s="570"/>
      <c r="M546" s="284">
        <f>SUM(M544:M545)</f>
        <v>0</v>
      </c>
    </row>
    <row r="547" spans="2:17" x14ac:dyDescent="0.2">
      <c r="H547" s="221"/>
      <c r="J547" s="12"/>
      <c r="K547" s="12"/>
      <c r="Q547" s="167"/>
    </row>
    <row r="548" spans="2:17" x14ac:dyDescent="0.2">
      <c r="B548" s="281" t="s">
        <v>172</v>
      </c>
      <c r="F548" s="1000">
        <v>2019</v>
      </c>
      <c r="H548" s="221"/>
      <c r="J548" s="12"/>
      <c r="K548" s="12"/>
      <c r="Q548" s="167"/>
    </row>
    <row r="549" spans="2:17" x14ac:dyDescent="0.2">
      <c r="H549" s="221"/>
      <c r="J549" s="12"/>
      <c r="K549" s="12"/>
      <c r="Q549" s="167"/>
    </row>
    <row r="550" spans="2:17" ht="104.1" customHeight="1" x14ac:dyDescent="0.2">
      <c r="B550" s="1257" t="s">
        <v>173</v>
      </c>
      <c r="C550" s="1258"/>
      <c r="D550" s="1258"/>
      <c r="E550" s="1259"/>
      <c r="F550" s="282"/>
      <c r="G550" s="166" t="str">
        <f>"Nog af te bouwen regulatoir saldo einde "&amp;F548-1</f>
        <v>Nog af te bouwen regulatoir saldo einde 2018</v>
      </c>
      <c r="H550" s="166" t="str">
        <f>"Afbouw oudste openstaande regulatoir saldo vanaf boekjaar "&amp;F548-3&amp;" en vroeger, door aanwending van compensatie met regulatoir saldo ontstaan over boekjaar "&amp;F548-2</f>
        <v>Afbouw oudste openstaande regulatoir saldo vanaf boekjaar 2016 en vroeger, door aanwending van compensatie met regulatoir saldo ontstaan over boekjaar 2017</v>
      </c>
      <c r="I550" s="166" t="str">
        <f>"Nog af te bouwen regulatoir saldo na compensatie einde "&amp;F548-1</f>
        <v>Nog af te bouwen regulatoir saldo na compensatie einde 2018</v>
      </c>
      <c r="J550" s="166" t="str">
        <f>"Aanwending van "&amp;IF($B$7="elektriciteit","75%",IF($B$7="gas","40%","FALSE"))&amp;" van het geaccumuleerd regulatoir saldo door te rekenen volgens de tariefmethodologie in het boekjaar "&amp;F548</f>
        <v>Aanwending van 40% van het geaccumuleerd regulatoir saldo door te rekenen volgens de tariefmethodologie in het boekjaar 2019</v>
      </c>
      <c r="K550" s="166" t="str">
        <f>"Aanwending van "&amp;IF($B$7="elektriciteit","75%",IF($B$7="gas","40%","FALSE"))&amp;" van het geaccumuleerd regulatoir saldo door te rekenen volgens de tariefmethodologie in het boekjaar "&amp;F548</f>
        <v>Aanwending van 40% van het geaccumuleerd regulatoir saldo door te rekenen volgens de tariefmethodologie in het boekjaar 2019</v>
      </c>
      <c r="L550" s="166" t="str">
        <f>"Totale afbouw over "&amp;F548</f>
        <v>Totale afbouw over 2019</v>
      </c>
      <c r="M550" s="166" t="str">
        <f>"Nog af te bouwen regulatoir saldo einde "&amp;F548</f>
        <v>Nog af te bouwen regulatoir saldo einde 2019</v>
      </c>
      <c r="N550" s="212"/>
      <c r="Q550" s="167"/>
    </row>
    <row r="551" spans="2:17" x14ac:dyDescent="0.2">
      <c r="B551" s="1260">
        <v>2015</v>
      </c>
      <c r="C551" s="1261"/>
      <c r="D551" s="1261"/>
      <c r="E551" s="1262"/>
      <c r="F551" s="283"/>
      <c r="G551" s="177">
        <f>+M544</f>
        <v>0</v>
      </c>
      <c r="H551" s="1003">
        <f>IF(SIGN(G553*M546)&lt;0,IF(G551&lt;&gt;0,-SIGN(G551)*MIN(ABS(G553),ABS(G551)),0),0)</f>
        <v>0</v>
      </c>
      <c r="I551" s="177">
        <f>+G551+H551</f>
        <v>0</v>
      </c>
      <c r="J551" s="1009"/>
      <c r="K551" s="1010">
        <f>-MIN(ABS(I551),ABS(J554))*SIGN(I551)</f>
        <v>0</v>
      </c>
      <c r="L551" s="1003">
        <f>+K551+H551</f>
        <v>0</v>
      </c>
      <c r="M551" s="177">
        <f>+I551+K551</f>
        <v>0</v>
      </c>
      <c r="N551" s="212"/>
      <c r="Q551" s="167"/>
    </row>
    <row r="552" spans="2:17" x14ac:dyDescent="0.2">
      <c r="B552" s="1260">
        <v>2016</v>
      </c>
      <c r="C552" s="1261"/>
      <c r="D552" s="1261">
        <v>2016</v>
      </c>
      <c r="E552" s="1262"/>
      <c r="F552" s="283"/>
      <c r="G552" s="177">
        <f>+M545</f>
        <v>0</v>
      </c>
      <c r="H552" s="1003">
        <f>IF(SIGN(G553*M546)&lt;0,IF(G552&lt;&gt;0,-SIGN(G552)*MIN(ABS(G553-H551),ABS(G552)),0),0)</f>
        <v>0</v>
      </c>
      <c r="I552" s="177">
        <f>+G552+H552</f>
        <v>0</v>
      </c>
      <c r="J552" s="1009"/>
      <c r="K552" s="1010">
        <f>-MIN(ABS(I552),ABS(J554-K551))*SIGN(I552)</f>
        <v>0</v>
      </c>
      <c r="L552" s="1003">
        <f>+K552+H552</f>
        <v>0</v>
      </c>
      <c r="M552" s="177">
        <f>+I552+K552</f>
        <v>0</v>
      </c>
      <c r="N552" s="212"/>
      <c r="Q552" s="167"/>
    </row>
    <row r="553" spans="2:17" x14ac:dyDescent="0.2">
      <c r="B553" s="1260">
        <v>2017</v>
      </c>
      <c r="C553" s="1261"/>
      <c r="D553" s="1261"/>
      <c r="E553" s="1262"/>
      <c r="F553" s="283"/>
      <c r="G553" s="177">
        <f>I186</f>
        <v>0</v>
      </c>
      <c r="H553" s="1003">
        <f>IF(SIGN(G553*M546)&lt;0,-SUM(H551:H552),0)</f>
        <v>0</v>
      </c>
      <c r="I553" s="177">
        <f>+G553+H553</f>
        <v>0</v>
      </c>
      <c r="J553" s="1009"/>
      <c r="K553" s="1010">
        <f>-MIN(ABS(I553),ABS(J554-K551-K552))*SIGN(I553)</f>
        <v>0</v>
      </c>
      <c r="L553" s="1003">
        <f>+K553+H553</f>
        <v>0</v>
      </c>
      <c r="M553" s="177">
        <f>+I553+K553</f>
        <v>0</v>
      </c>
      <c r="N553" s="212"/>
      <c r="Q553" s="167"/>
    </row>
    <row r="554" spans="2:17" s="281" customFormat="1" x14ac:dyDescent="0.2">
      <c r="G554" s="284">
        <f>SUM(G551:G553)</f>
        <v>0</v>
      </c>
      <c r="H554" s="169">
        <f>SUM(H551:H553)</f>
        <v>0</v>
      </c>
      <c r="I554" s="284">
        <f>SUM(I551:I553)</f>
        <v>0</v>
      </c>
      <c r="J554" s="214">
        <f>-I554*IF($B$7="elektriciteit",0.75,IF($B$7="gas",0.4,"FALSE"))</f>
        <v>0</v>
      </c>
      <c r="K554" s="291">
        <f>SUM(K551:K553)</f>
        <v>0</v>
      </c>
      <c r="L554" s="570"/>
      <c r="M554" s="284">
        <f>SUM(M551:M553)</f>
        <v>0</v>
      </c>
    </row>
    <row r="555" spans="2:17" x14ac:dyDescent="0.2">
      <c r="H555" s="221"/>
      <c r="J555" s="12"/>
      <c r="K555" s="12"/>
      <c r="Q555" s="167"/>
    </row>
    <row r="556" spans="2:17" x14ac:dyDescent="0.2">
      <c r="B556" s="281" t="s">
        <v>172</v>
      </c>
      <c r="F556" s="1000">
        <v>2020</v>
      </c>
      <c r="H556" s="221"/>
      <c r="J556" s="12"/>
      <c r="K556" s="12"/>
      <c r="Q556" s="167"/>
    </row>
    <row r="557" spans="2:17" x14ac:dyDescent="0.2">
      <c r="H557" s="221"/>
      <c r="J557" s="12"/>
      <c r="K557" s="12"/>
      <c r="Q557" s="167"/>
    </row>
    <row r="558" spans="2:17" ht="104.1" customHeight="1" x14ac:dyDescent="0.2">
      <c r="B558" s="1257" t="s">
        <v>173</v>
      </c>
      <c r="C558" s="1258"/>
      <c r="D558" s="1258"/>
      <c r="E558" s="1259"/>
      <c r="F558" s="282"/>
      <c r="G558" s="166" t="str">
        <f>"Nog af te bouwen regulatoir saldo einde "&amp;F556-1</f>
        <v>Nog af te bouwen regulatoir saldo einde 2019</v>
      </c>
      <c r="H558" s="166" t="str">
        <f>"Afbouw oudste openstaande regulatoir saldo vanaf boekjaar "&amp;F556-3&amp;" en vroeger, door aanwending van compensatie met regulatoir saldo ontstaan over boekjaar "&amp;F556-2</f>
        <v>Afbouw oudste openstaande regulatoir saldo vanaf boekjaar 2017 en vroeger, door aanwending van compensatie met regulatoir saldo ontstaan over boekjaar 2018</v>
      </c>
      <c r="I558" s="166" t="str">
        <f>"Nog af te bouwen regulatoir saldo na compensatie einde "&amp;F556-1</f>
        <v>Nog af te bouwen regulatoir saldo na compensatie einde 2019</v>
      </c>
      <c r="J558" s="166" t="str">
        <f>"Aanwending van "&amp;IF($B$7="elektriciteit","75%",IF($B$7="gas","40%","FALSE"))&amp;" van het geaccumuleerd regulatoir saldo door te rekenen volgens de tariefmethodologie in het boekjaar "&amp;F556</f>
        <v>Aanwending van 40% van het geaccumuleerd regulatoir saldo door te rekenen volgens de tariefmethodologie in het boekjaar 2020</v>
      </c>
      <c r="K558" s="166" t="str">
        <f>"Aanwending van "&amp;IF($B$7="elektriciteit","75%",IF($B$7="gas","40%","FALSE"))&amp;" van het geaccumuleerd regulatoir saldo door te rekenen volgens de tariefmethodologie in het boekjaar "&amp;F556</f>
        <v>Aanwending van 40% van het geaccumuleerd regulatoir saldo door te rekenen volgens de tariefmethodologie in het boekjaar 2020</v>
      </c>
      <c r="L558" s="166" t="str">
        <f>"Totale afbouw over "&amp;F556</f>
        <v>Totale afbouw over 2020</v>
      </c>
      <c r="M558" s="166" t="str">
        <f>"Nog af te bouwen regulatoir saldo einde "&amp;F556</f>
        <v>Nog af te bouwen regulatoir saldo einde 2020</v>
      </c>
      <c r="N558" s="212"/>
      <c r="Q558" s="167"/>
    </row>
    <row r="559" spans="2:17" x14ac:dyDescent="0.2">
      <c r="B559" s="1260">
        <v>2015</v>
      </c>
      <c r="C559" s="1261"/>
      <c r="D559" s="1261"/>
      <c r="E559" s="1262"/>
      <c r="F559" s="283"/>
      <c r="G559" s="177">
        <f>+M551</f>
        <v>0</v>
      </c>
      <c r="H559" s="1003">
        <f>IF(SIGN(G562*M554)&lt;0,IF(G559&lt;&gt;0,-SIGN(G559)*MIN(ABS(G562),ABS(G559)),0),0)</f>
        <v>0</v>
      </c>
      <c r="I559" s="177">
        <f>+G559+H559</f>
        <v>0</v>
      </c>
      <c r="J559" s="1009"/>
      <c r="K559" s="1010">
        <f>-MIN(ABS(I559),ABS(J563))*SIGN(I559)</f>
        <v>0</v>
      </c>
      <c r="L559" s="1003">
        <f>+K559+H559</f>
        <v>0</v>
      </c>
      <c r="M559" s="177">
        <f>+I559+K559</f>
        <v>0</v>
      </c>
      <c r="N559" s="212"/>
      <c r="Q559" s="167"/>
    </row>
    <row r="560" spans="2:17" x14ac:dyDescent="0.2">
      <c r="B560" s="1260">
        <v>2016</v>
      </c>
      <c r="C560" s="1261"/>
      <c r="D560" s="1261"/>
      <c r="E560" s="1262"/>
      <c r="F560" s="283"/>
      <c r="G560" s="177">
        <f>+M552</f>
        <v>0</v>
      </c>
      <c r="H560" s="1003">
        <f>IF(SIGN(G562*M554)&lt;0,IF(G560&lt;&gt;0,-SIGN(G560)*MIN(ABS(G562-H559),ABS(G560)),0),0)</f>
        <v>0</v>
      </c>
      <c r="I560" s="177">
        <f>+G560+H560</f>
        <v>0</v>
      </c>
      <c r="J560" s="1009"/>
      <c r="K560" s="1010">
        <f>-MIN(ABS(I560),ABS(J563-K559))*SIGN(I560)</f>
        <v>0</v>
      </c>
      <c r="L560" s="1003">
        <f>+K560+H560</f>
        <v>0</v>
      </c>
      <c r="M560" s="177">
        <f>+I560+K560</f>
        <v>0</v>
      </c>
      <c r="N560" s="212"/>
      <c r="Q560" s="167"/>
    </row>
    <row r="561" spans="2:17" x14ac:dyDescent="0.2">
      <c r="B561" s="1260">
        <v>2017</v>
      </c>
      <c r="C561" s="1261"/>
      <c r="D561" s="1261">
        <v>2016</v>
      </c>
      <c r="E561" s="1262"/>
      <c r="F561" s="283"/>
      <c r="G561" s="177">
        <f>+M553</f>
        <v>0</v>
      </c>
      <c r="H561" s="1003">
        <f>IF(SIGN(G562*M554)&lt;0,IF(G561&lt;&gt;0,-SIGN(G561)*MIN(ABS(G562-H559-H560),ABS(G561)),0),0)</f>
        <v>0</v>
      </c>
      <c r="I561" s="177">
        <f>+G561+H561</f>
        <v>0</v>
      </c>
      <c r="J561" s="1009"/>
      <c r="K561" s="1010">
        <f>-MIN(ABS(I561),ABS(J563-K559-K560))*SIGN(I561)</f>
        <v>0</v>
      </c>
      <c r="L561" s="1003">
        <f>+K561+H561</f>
        <v>0</v>
      </c>
      <c r="M561" s="177">
        <f>+I561+K561</f>
        <v>0</v>
      </c>
      <c r="N561" s="212"/>
      <c r="Q561" s="167"/>
    </row>
    <row r="562" spans="2:17" x14ac:dyDescent="0.2">
      <c r="B562" s="1260">
        <v>2018</v>
      </c>
      <c r="C562" s="1261"/>
      <c r="D562" s="1261"/>
      <c r="E562" s="1262"/>
      <c r="F562" s="283"/>
      <c r="G562" s="177">
        <f>J187</f>
        <v>0</v>
      </c>
      <c r="H562" s="1003">
        <f>IF(SIGN(G562*M554)&lt;0,-SUM(H559:H561),0)</f>
        <v>0</v>
      </c>
      <c r="I562" s="177">
        <f>+G562+H562</f>
        <v>0</v>
      </c>
      <c r="J562" s="1009"/>
      <c r="K562" s="1010">
        <f>-MIN(ABS(I562),ABS(J563-K559-K560-K561))*SIGN(I562)</f>
        <v>0</v>
      </c>
      <c r="L562" s="1003">
        <f>+K562+H562</f>
        <v>0</v>
      </c>
      <c r="M562" s="177">
        <f>+I562+K562</f>
        <v>0</v>
      </c>
      <c r="N562" s="212"/>
      <c r="Q562" s="167"/>
    </row>
    <row r="563" spans="2:17" s="281" customFormat="1" x14ac:dyDescent="0.2">
      <c r="G563" s="284">
        <f>SUM(G559:G562)</f>
        <v>0</v>
      </c>
      <c r="H563" s="169">
        <f>SUM(H559:H562)</f>
        <v>0</v>
      </c>
      <c r="I563" s="284">
        <f>SUM(I559:I562)</f>
        <v>0</v>
      </c>
      <c r="J563" s="214">
        <f>-I563*IF($B$7="elektriciteit",0.75,IF($B$7="gas",0.4,"FALSE"))</f>
        <v>0</v>
      </c>
      <c r="K563" s="291">
        <f>SUM(K559:K562)</f>
        <v>0</v>
      </c>
      <c r="L563" s="169"/>
      <c r="M563" s="284">
        <f>SUM(M559:M562)</f>
        <v>0</v>
      </c>
    </row>
    <row r="564" spans="2:17" x14ac:dyDescent="0.2">
      <c r="H564" s="221"/>
      <c r="J564" s="12"/>
      <c r="K564" s="571"/>
      <c r="L564" s="221"/>
      <c r="Q564" s="167"/>
    </row>
    <row r="565" spans="2:17" x14ac:dyDescent="0.2">
      <c r="B565" s="281" t="s">
        <v>172</v>
      </c>
      <c r="F565" s="1000">
        <v>2021</v>
      </c>
      <c r="H565" s="221"/>
      <c r="Q565" s="167"/>
    </row>
    <row r="566" spans="2:17" x14ac:dyDescent="0.2">
      <c r="H566" s="221"/>
      <c r="Q566" s="167"/>
    </row>
    <row r="567" spans="2:17" ht="78" customHeight="1" x14ac:dyDescent="0.2">
      <c r="B567" s="1257" t="s">
        <v>173</v>
      </c>
      <c r="C567" s="1258"/>
      <c r="D567" s="1258"/>
      <c r="E567" s="1259"/>
      <c r="F567" s="282"/>
      <c r="G567" s="166" t="str">
        <f>"Nog af te bouwen regulatoir saldo einde "&amp;F565-1</f>
        <v>Nog af te bouwen regulatoir saldo einde 2020</v>
      </c>
      <c r="H567" s="166" t="str">
        <f>"50% van oorspronkelijk saldo door te rekenen volgens de tariefmethodologie in het boekjaar "&amp;F565</f>
        <v>50% van oorspronkelijk saldo door te rekenen volgens de tariefmethodologie in het boekjaar 2021</v>
      </c>
      <c r="I567" s="166" t="str">
        <f>"Nog af te bouwen regulatoir saldo einde "&amp;F565</f>
        <v>Nog af te bouwen regulatoir saldo einde 2021</v>
      </c>
      <c r="J567" s="212"/>
      <c r="Q567" s="167"/>
    </row>
    <row r="568" spans="2:17" x14ac:dyDescent="0.2">
      <c r="B568" s="1260">
        <v>2015</v>
      </c>
      <c r="C568" s="1261"/>
      <c r="D568" s="1261"/>
      <c r="E568" s="1262"/>
      <c r="F568" s="283"/>
      <c r="G568" s="177">
        <f>M559</f>
        <v>0</v>
      </c>
      <c r="H568" s="566">
        <f>-G568*0.5</f>
        <v>0</v>
      </c>
      <c r="I568" s="177">
        <f>+G568+H568</f>
        <v>0</v>
      </c>
      <c r="J568" s="212"/>
      <c r="Q568" s="167"/>
    </row>
    <row r="569" spans="2:17" x14ac:dyDescent="0.2">
      <c r="B569" s="1260">
        <v>2016</v>
      </c>
      <c r="C569" s="1261"/>
      <c r="D569" s="1261"/>
      <c r="E569" s="1262"/>
      <c r="F569" s="283"/>
      <c r="G569" s="177">
        <f t="shared" ref="G569:G571" si="76">M560</f>
        <v>0</v>
      </c>
      <c r="H569" s="566">
        <f t="shared" ref="H569:H572" si="77">-G569*0.5</f>
        <v>0</v>
      </c>
      <c r="I569" s="177">
        <f t="shared" ref="I569:I572" si="78">+G569+H569</f>
        <v>0</v>
      </c>
      <c r="J569" s="212"/>
      <c r="Q569" s="167"/>
    </row>
    <row r="570" spans="2:17" x14ac:dyDescent="0.2">
      <c r="B570" s="1260">
        <v>2017</v>
      </c>
      <c r="C570" s="1261"/>
      <c r="D570" s="1261">
        <v>2016</v>
      </c>
      <c r="E570" s="1262"/>
      <c r="F570" s="283"/>
      <c r="G570" s="177">
        <f t="shared" si="76"/>
        <v>0</v>
      </c>
      <c r="H570" s="566">
        <f t="shared" si="77"/>
        <v>0</v>
      </c>
      <c r="I570" s="177">
        <f t="shared" si="78"/>
        <v>0</v>
      </c>
      <c r="J570" s="212"/>
      <c r="Q570" s="167"/>
    </row>
    <row r="571" spans="2:17" x14ac:dyDescent="0.2">
      <c r="B571" s="1260">
        <v>2018</v>
      </c>
      <c r="C571" s="1261"/>
      <c r="D571" s="1261"/>
      <c r="E571" s="1262"/>
      <c r="F571" s="283"/>
      <c r="G571" s="177">
        <f t="shared" si="76"/>
        <v>0</v>
      </c>
      <c r="H571" s="566">
        <f t="shared" si="77"/>
        <v>0</v>
      </c>
      <c r="I571" s="177">
        <f t="shared" si="78"/>
        <v>0</v>
      </c>
      <c r="J571" s="212"/>
      <c r="Q571" s="167"/>
    </row>
    <row r="572" spans="2:17" x14ac:dyDescent="0.2">
      <c r="B572" s="1260">
        <v>2019</v>
      </c>
      <c r="C572" s="1261"/>
      <c r="D572" s="1261"/>
      <c r="E572" s="1262"/>
      <c r="F572" s="283"/>
      <c r="G572" s="177">
        <f>K188</f>
        <v>0</v>
      </c>
      <c r="H572" s="566">
        <f t="shared" si="77"/>
        <v>0</v>
      </c>
      <c r="I572" s="177">
        <f t="shared" si="78"/>
        <v>0</v>
      </c>
      <c r="J572" s="212"/>
      <c r="Q572" s="167"/>
    </row>
    <row r="573" spans="2:17" s="281" customFormat="1" x14ac:dyDescent="0.2">
      <c r="G573" s="284">
        <f>SUM(G568:G572)</f>
        <v>0</v>
      </c>
      <c r="H573" s="169">
        <f>SUM(H568:H572)</f>
        <v>0</v>
      </c>
      <c r="I573" s="284">
        <f>SUM(I568:I572)</f>
        <v>0</v>
      </c>
    </row>
    <row r="574" spans="2:17" x14ac:dyDescent="0.2">
      <c r="H574" s="221"/>
      <c r="Q574" s="167"/>
    </row>
    <row r="575" spans="2:17" x14ac:dyDescent="0.2">
      <c r="B575" s="847" t="s">
        <v>172</v>
      </c>
      <c r="C575" s="842"/>
      <c r="D575" s="842"/>
      <c r="E575" s="842"/>
      <c r="F575" s="1004">
        <v>2022</v>
      </c>
      <c r="G575" s="842"/>
      <c r="H575" s="855"/>
      <c r="I575" s="842"/>
      <c r="Q575" s="167"/>
    </row>
    <row r="576" spans="2:17" x14ac:dyDescent="0.2">
      <c r="B576" s="842"/>
      <c r="C576" s="842"/>
      <c r="D576" s="842"/>
      <c r="E576" s="842"/>
      <c r="F576" s="842"/>
      <c r="G576" s="842"/>
      <c r="H576" s="855"/>
      <c r="I576" s="842"/>
      <c r="Q576" s="167"/>
    </row>
    <row r="577" spans="2:17" ht="78" customHeight="1" x14ac:dyDescent="0.2">
      <c r="B577" s="1254" t="s">
        <v>173</v>
      </c>
      <c r="C577" s="1255"/>
      <c r="D577" s="1255"/>
      <c r="E577" s="1256"/>
      <c r="F577" s="848"/>
      <c r="G577" s="837" t="str">
        <f>"Nog af te bouwen regulatoir saldo einde "&amp;F575-1</f>
        <v>Nog af te bouwen regulatoir saldo einde 2021</v>
      </c>
      <c r="H577" s="837" t="str">
        <f>"50% van oorspronkelijk saldo door te rekenen volgens de tariefmethodologie in het boekjaar "&amp;F575</f>
        <v>50% van oorspronkelijk saldo door te rekenen volgens de tariefmethodologie in het boekjaar 2022</v>
      </c>
      <c r="I577" s="837" t="str">
        <f>"Nog af te bouwen regulatoir saldo einde "&amp;F575</f>
        <v>Nog af te bouwen regulatoir saldo einde 2022</v>
      </c>
      <c r="J577" s="212"/>
      <c r="Q577" s="167"/>
    </row>
    <row r="578" spans="2:17" x14ac:dyDescent="0.2">
      <c r="B578" s="1251">
        <v>2015</v>
      </c>
      <c r="C578" s="1252"/>
      <c r="D578" s="1252"/>
      <c r="E578" s="1253"/>
      <c r="F578" s="341"/>
      <c r="G578" s="339">
        <f>+I568</f>
        <v>0</v>
      </c>
      <c r="H578" s="568">
        <f>-G568*0.5</f>
        <v>0</v>
      </c>
      <c r="I578" s="339">
        <f>+G578+H578</f>
        <v>0</v>
      </c>
      <c r="J578" s="212"/>
      <c r="Q578" s="167"/>
    </row>
    <row r="579" spans="2:17" x14ac:dyDescent="0.2">
      <c r="B579" s="1251">
        <v>2016</v>
      </c>
      <c r="C579" s="1252"/>
      <c r="D579" s="1252"/>
      <c r="E579" s="1253"/>
      <c r="F579" s="341"/>
      <c r="G579" s="339">
        <f t="shared" ref="G579:G582" si="79">+I569</f>
        <v>0</v>
      </c>
      <c r="H579" s="568">
        <f t="shared" ref="H579:H582" si="80">-G569*0.5</f>
        <v>0</v>
      </c>
      <c r="I579" s="339">
        <f t="shared" ref="I579:I583" si="81">+G579+H579</f>
        <v>0</v>
      </c>
      <c r="J579" s="212"/>
      <c r="Q579" s="167"/>
    </row>
    <row r="580" spans="2:17" x14ac:dyDescent="0.2">
      <c r="B580" s="1251">
        <v>2017</v>
      </c>
      <c r="C580" s="1252"/>
      <c r="D580" s="1252">
        <v>2016</v>
      </c>
      <c r="E580" s="1253"/>
      <c r="F580" s="341"/>
      <c r="G580" s="339">
        <f t="shared" si="79"/>
        <v>0</v>
      </c>
      <c r="H580" s="568">
        <f t="shared" si="80"/>
        <v>0</v>
      </c>
      <c r="I580" s="339">
        <f t="shared" si="81"/>
        <v>0</v>
      </c>
      <c r="J580" s="212"/>
      <c r="Q580" s="167"/>
    </row>
    <row r="581" spans="2:17" x14ac:dyDescent="0.2">
      <c r="B581" s="1251">
        <v>2018</v>
      </c>
      <c r="C581" s="1252"/>
      <c r="D581" s="1252"/>
      <c r="E581" s="1253"/>
      <c r="F581" s="341"/>
      <c r="G581" s="339">
        <f t="shared" si="79"/>
        <v>0</v>
      </c>
      <c r="H581" s="568">
        <f t="shared" si="80"/>
        <v>0</v>
      </c>
      <c r="I581" s="339">
        <f t="shared" si="81"/>
        <v>0</v>
      </c>
      <c r="J581" s="212"/>
      <c r="Q581" s="167"/>
    </row>
    <row r="582" spans="2:17" x14ac:dyDescent="0.2">
      <c r="B582" s="1251">
        <v>2019</v>
      </c>
      <c r="C582" s="1252"/>
      <c r="D582" s="1252"/>
      <c r="E582" s="1253"/>
      <c r="F582" s="341"/>
      <c r="G582" s="339">
        <f t="shared" si="79"/>
        <v>0</v>
      </c>
      <c r="H582" s="568">
        <f t="shared" si="80"/>
        <v>0</v>
      </c>
      <c r="I582" s="339">
        <f t="shared" si="81"/>
        <v>0</v>
      </c>
      <c r="J582" s="212"/>
      <c r="Q582" s="167"/>
    </row>
    <row r="583" spans="2:17" x14ac:dyDescent="0.2">
      <c r="B583" s="1251">
        <v>2020</v>
      </c>
      <c r="C583" s="1252"/>
      <c r="D583" s="1252"/>
      <c r="E583" s="1253"/>
      <c r="F583" s="341"/>
      <c r="G583" s="339">
        <f>L189</f>
        <v>0</v>
      </c>
      <c r="H583" s="568">
        <f t="shared" ref="H583" si="82">-G583*0.5</f>
        <v>0</v>
      </c>
      <c r="I583" s="339">
        <f t="shared" si="81"/>
        <v>0</v>
      </c>
      <c r="J583" s="212"/>
      <c r="Q583" s="167"/>
    </row>
    <row r="584" spans="2:17" s="281" customFormat="1" x14ac:dyDescent="0.2">
      <c r="B584" s="847"/>
      <c r="C584" s="847"/>
      <c r="D584" s="847"/>
      <c r="E584" s="847"/>
      <c r="F584" s="847"/>
      <c r="G584" s="849">
        <f>SUM(G578:G583)</f>
        <v>0</v>
      </c>
      <c r="H584" s="856">
        <f t="shared" ref="H584:I584" si="83">SUM(H578:H583)</f>
        <v>0</v>
      </c>
      <c r="I584" s="849">
        <f t="shared" si="83"/>
        <v>0</v>
      </c>
    </row>
    <row r="585" spans="2:17" x14ac:dyDescent="0.2">
      <c r="B585" s="842"/>
      <c r="C585" s="842"/>
      <c r="D585" s="842"/>
      <c r="E585" s="842"/>
      <c r="F585" s="842"/>
      <c r="G585" s="842"/>
      <c r="H585" s="855"/>
      <c r="I585" s="842"/>
      <c r="Q585" s="167"/>
    </row>
    <row r="586" spans="2:17" x14ac:dyDescent="0.2">
      <c r="B586" s="847" t="s">
        <v>241</v>
      </c>
      <c r="C586" s="842"/>
      <c r="D586" s="842"/>
      <c r="E586" s="842"/>
      <c r="F586" s="1004">
        <v>2023</v>
      </c>
      <c r="G586" s="842"/>
      <c r="H586" s="855"/>
      <c r="I586" s="842"/>
      <c r="Q586" s="167"/>
    </row>
    <row r="587" spans="2:17" x14ac:dyDescent="0.2">
      <c r="B587" s="842"/>
      <c r="C587" s="842"/>
      <c r="D587" s="842"/>
      <c r="E587" s="842"/>
      <c r="F587" s="842"/>
      <c r="G587" s="842"/>
      <c r="H587" s="855"/>
      <c r="I587" s="842"/>
      <c r="Q587" s="167"/>
    </row>
    <row r="588" spans="2:17" ht="78" customHeight="1" x14ac:dyDescent="0.2">
      <c r="B588" s="1254" t="s">
        <v>173</v>
      </c>
      <c r="C588" s="1255"/>
      <c r="D588" s="1255"/>
      <c r="E588" s="1256"/>
      <c r="F588" s="848"/>
      <c r="G588" s="837" t="str">
        <f>"Nog af te bouwen regulatoir saldo einde "&amp;F586-1</f>
        <v>Nog af te bouwen regulatoir saldo einde 2022</v>
      </c>
      <c r="H588" s="837" t="str">
        <f>"50% van oorspronkelijk saldo door te rekenen volgens de tariefmethodologie in het boekjaar "&amp;F586</f>
        <v>50% van oorspronkelijk saldo door te rekenen volgens de tariefmethodologie in het boekjaar 2023</v>
      </c>
      <c r="I588" s="837" t="str">
        <f>"Nog af te bouwen regulatoir saldo einde "&amp;F586</f>
        <v>Nog af te bouwen regulatoir saldo einde 2023</v>
      </c>
      <c r="J588" s="212"/>
      <c r="Q588" s="167"/>
    </row>
    <row r="589" spans="2:17" x14ac:dyDescent="0.2">
      <c r="B589" s="1251">
        <v>2020</v>
      </c>
      <c r="C589" s="1252"/>
      <c r="D589" s="1252"/>
      <c r="E589" s="1253"/>
      <c r="F589" s="341"/>
      <c r="G589" s="339">
        <f>+I583</f>
        <v>0</v>
      </c>
      <c r="H589" s="568">
        <f>-G583*0.5</f>
        <v>0</v>
      </c>
      <c r="I589" s="339">
        <f t="shared" ref="I589:I590" si="84">+G589+H589</f>
        <v>0</v>
      </c>
      <c r="J589" s="212"/>
      <c r="Q589" s="167"/>
    </row>
    <row r="590" spans="2:17" x14ac:dyDescent="0.2">
      <c r="B590" s="1251">
        <v>2021</v>
      </c>
      <c r="C590" s="1252"/>
      <c r="D590" s="1252"/>
      <c r="E590" s="1253"/>
      <c r="F590" s="341"/>
      <c r="G590" s="339">
        <f>M190</f>
        <v>0</v>
      </c>
      <c r="H590" s="568">
        <f t="shared" ref="H590" si="85">-G590*0.5</f>
        <v>0</v>
      </c>
      <c r="I590" s="339">
        <f t="shared" si="84"/>
        <v>0</v>
      </c>
      <c r="J590" s="212"/>
      <c r="Q590" s="167"/>
    </row>
    <row r="591" spans="2:17" s="281" customFormat="1" x14ac:dyDescent="0.2">
      <c r="B591" s="847"/>
      <c r="C591" s="847"/>
      <c r="D591" s="847"/>
      <c r="E591" s="847"/>
      <c r="F591" s="847"/>
      <c r="G591" s="849">
        <f>SUM(G589:G590)</f>
        <v>0</v>
      </c>
      <c r="H591" s="856">
        <f>SUM(H589:H590)</f>
        <v>0</v>
      </c>
      <c r="I591" s="849">
        <f>SUM(I589:I590)</f>
        <v>0</v>
      </c>
    </row>
    <row r="592" spans="2:17" x14ac:dyDescent="0.2">
      <c r="B592" s="842"/>
      <c r="C592" s="842"/>
      <c r="D592" s="842"/>
      <c r="E592" s="842"/>
      <c r="F592" s="842"/>
      <c r="G592" s="842"/>
      <c r="H592" s="855"/>
      <c r="I592" s="842"/>
      <c r="Q592" s="167"/>
    </row>
    <row r="593" spans="2:17" x14ac:dyDescent="0.2">
      <c r="B593" s="847" t="s">
        <v>172</v>
      </c>
      <c r="C593" s="842"/>
      <c r="D593" s="842"/>
      <c r="E593" s="842"/>
      <c r="F593" s="1004">
        <v>2024</v>
      </c>
      <c r="G593" s="842"/>
      <c r="H593" s="855"/>
      <c r="I593" s="842"/>
      <c r="Q593" s="167"/>
    </row>
    <row r="594" spans="2:17" x14ac:dyDescent="0.2">
      <c r="B594" s="842"/>
      <c r="C594" s="842"/>
      <c r="D594" s="842"/>
      <c r="E594" s="842"/>
      <c r="F594" s="842"/>
      <c r="G594" s="842"/>
      <c r="H594" s="855"/>
      <c r="I594" s="842"/>
      <c r="Q594" s="167"/>
    </row>
    <row r="595" spans="2:17" ht="78" customHeight="1" x14ac:dyDescent="0.2">
      <c r="B595" s="1254" t="s">
        <v>173</v>
      </c>
      <c r="C595" s="1255"/>
      <c r="D595" s="1255"/>
      <c r="E595" s="1256"/>
      <c r="F595" s="848"/>
      <c r="G595" s="837" t="str">
        <f>"Nog af te bouwen regulatoir saldo einde "&amp;F593-1</f>
        <v>Nog af te bouwen regulatoir saldo einde 2023</v>
      </c>
      <c r="H595" s="837" t="str">
        <f>"50% van oorspronkelijk saldo door te rekenen volgens de tariefmethodologie in het boekjaar "&amp;F593</f>
        <v>50% van oorspronkelijk saldo door te rekenen volgens de tariefmethodologie in het boekjaar 2024</v>
      </c>
      <c r="I595" s="837" t="str">
        <f>"Nog af te bouwen regulatoir saldo einde "&amp;F593</f>
        <v>Nog af te bouwen regulatoir saldo einde 2024</v>
      </c>
      <c r="J595" s="212"/>
      <c r="Q595" s="167"/>
    </row>
    <row r="596" spans="2:17" x14ac:dyDescent="0.2">
      <c r="B596" s="1251">
        <v>2021</v>
      </c>
      <c r="C596" s="1252"/>
      <c r="D596" s="1252"/>
      <c r="E596" s="1253"/>
      <c r="F596" s="341"/>
      <c r="G596" s="339">
        <f>+I590</f>
        <v>0</v>
      </c>
      <c r="H596" s="568">
        <f>-G590*0.5</f>
        <v>0</v>
      </c>
      <c r="I596" s="339">
        <f t="shared" ref="I596:I597" si="86">+G596+H596</f>
        <v>0</v>
      </c>
      <c r="J596" s="212"/>
      <c r="Q596" s="167"/>
    </row>
    <row r="597" spans="2:17" x14ac:dyDescent="0.2">
      <c r="B597" s="1251">
        <v>2022</v>
      </c>
      <c r="C597" s="1252"/>
      <c r="D597" s="1252"/>
      <c r="E597" s="1253"/>
      <c r="F597" s="341"/>
      <c r="G597" s="339">
        <f>N191</f>
        <v>0</v>
      </c>
      <c r="H597" s="568">
        <f t="shared" ref="H597" si="87">-G597*0.5</f>
        <v>0</v>
      </c>
      <c r="I597" s="339">
        <f t="shared" si="86"/>
        <v>0</v>
      </c>
      <c r="J597" s="212"/>
      <c r="Q597" s="167"/>
    </row>
    <row r="598" spans="2:17" s="281" customFormat="1" x14ac:dyDescent="0.2">
      <c r="B598" s="847"/>
      <c r="C598" s="847"/>
      <c r="D598" s="847"/>
      <c r="E598" s="847"/>
      <c r="F598" s="847"/>
      <c r="G598" s="849">
        <f>SUM(G596:G597)</f>
        <v>0</v>
      </c>
      <c r="H598" s="856">
        <f>SUM(H596:H597)</f>
        <v>0</v>
      </c>
      <c r="I598" s="849">
        <f>SUM(I596:I597)</f>
        <v>0</v>
      </c>
    </row>
    <row r="599" spans="2:17" x14ac:dyDescent="0.2">
      <c r="H599" s="221"/>
      <c r="Q599" s="167"/>
    </row>
    <row r="600" spans="2:17" x14ac:dyDescent="0.2">
      <c r="B600" s="281" t="s">
        <v>118</v>
      </c>
      <c r="C600" s="224"/>
      <c r="D600" s="224"/>
      <c r="E600" s="224"/>
      <c r="H600" s="221"/>
      <c r="Q600" s="167"/>
    </row>
    <row r="601" spans="2:17" x14ac:dyDescent="0.2">
      <c r="B601" s="281" t="s">
        <v>174</v>
      </c>
      <c r="C601" s="224"/>
      <c r="D601" s="224"/>
      <c r="E601" s="224"/>
      <c r="H601" s="221"/>
      <c r="Q601" s="167"/>
    </row>
    <row r="602" spans="2:17" x14ac:dyDescent="0.2">
      <c r="B602" s="281"/>
      <c r="C602" s="224"/>
      <c r="D602" s="224"/>
      <c r="E602" s="224"/>
      <c r="H602" s="221"/>
      <c r="Q602" s="167"/>
    </row>
    <row r="603" spans="2:17" x14ac:dyDescent="0.2">
      <c r="B603" s="283">
        <v>2021</v>
      </c>
      <c r="C603" s="287">
        <f>+H573</f>
        <v>0</v>
      </c>
      <c r="D603" s="224"/>
      <c r="E603" s="224"/>
      <c r="H603" s="221"/>
      <c r="Q603" s="167"/>
    </row>
    <row r="604" spans="2:17" x14ac:dyDescent="0.2">
      <c r="B604" s="341">
        <v>2022</v>
      </c>
      <c r="C604" s="342">
        <f>+H584</f>
        <v>0</v>
      </c>
      <c r="D604" s="224"/>
      <c r="E604" s="224"/>
      <c r="H604" s="221"/>
      <c r="Q604" s="167"/>
    </row>
    <row r="605" spans="2:17" x14ac:dyDescent="0.2">
      <c r="B605" s="341">
        <v>2023</v>
      </c>
      <c r="C605" s="342">
        <f>+H591</f>
        <v>0</v>
      </c>
      <c r="D605" s="224"/>
      <c r="E605" s="224"/>
      <c r="H605" s="221"/>
      <c r="Q605" s="167"/>
    </row>
    <row r="606" spans="2:17" x14ac:dyDescent="0.2">
      <c r="B606" s="341">
        <v>2024</v>
      </c>
      <c r="C606" s="342">
        <f>+H598</f>
        <v>0</v>
      </c>
      <c r="D606" s="224"/>
      <c r="E606" s="224"/>
      <c r="H606" s="221"/>
      <c r="Q606" s="167"/>
    </row>
    <row r="607" spans="2:17" x14ac:dyDescent="0.2">
      <c r="H607" s="221"/>
      <c r="Q607" s="167"/>
    </row>
    <row r="608" spans="2:17" x14ac:dyDescent="0.2">
      <c r="H608" s="221"/>
      <c r="Q608" s="167"/>
    </row>
    <row r="609" spans="2:17" ht="12.75" customHeight="1" x14ac:dyDescent="0.2">
      <c r="B609" s="326" t="s">
        <v>68</v>
      </c>
      <c r="C609" s="327"/>
      <c r="D609" s="327"/>
      <c r="E609" s="327"/>
      <c r="F609" s="328"/>
      <c r="G609" s="328"/>
      <c r="H609" s="569"/>
      <c r="I609" s="328"/>
      <c r="J609" s="328"/>
      <c r="K609" s="328"/>
      <c r="L609" s="328"/>
      <c r="M609" s="328"/>
      <c r="Q609" s="167"/>
    </row>
    <row r="610" spans="2:17" x14ac:dyDescent="0.2">
      <c r="H610" s="221"/>
      <c r="Q610" s="167"/>
    </row>
    <row r="611" spans="2:17" x14ac:dyDescent="0.2">
      <c r="B611" s="281" t="s">
        <v>172</v>
      </c>
      <c r="F611" s="1000">
        <v>2017</v>
      </c>
      <c r="H611" s="221"/>
      <c r="Q611" s="167"/>
    </row>
    <row r="612" spans="2:17" x14ac:dyDescent="0.2">
      <c r="H612" s="221"/>
      <c r="L612" s="212"/>
      <c r="Q612" s="167"/>
    </row>
    <row r="613" spans="2:17" ht="104.1" customHeight="1" x14ac:dyDescent="0.2">
      <c r="B613" s="1257" t="s">
        <v>173</v>
      </c>
      <c r="C613" s="1258"/>
      <c r="D613" s="1258"/>
      <c r="E613" s="1259"/>
      <c r="F613" s="282"/>
      <c r="G613" s="166" t="str">
        <f>"Nog af te bouwen regulatoir saldo einde "&amp;F611-1</f>
        <v>Nog af te bouwen regulatoir saldo einde 2016</v>
      </c>
      <c r="H613" s="166" t="str">
        <f>"Afbouw oudste openstaande regulatoir saldo vanaf boekjaar "&amp;F611-3&amp;" en vroeger, door aanwending van compensatie met regulatoir saldo ontstaan over boekjaar "&amp;F611-2</f>
        <v>Afbouw oudste openstaande regulatoir saldo vanaf boekjaar 2014 en vroeger, door aanwending van compensatie met regulatoir saldo ontstaan over boekjaar 2015</v>
      </c>
      <c r="I613" s="166" t="str">
        <f>"Nog af te bouwen regulatoir saldo na compensatie einde "&amp;F611-1</f>
        <v>Nog af te bouwen regulatoir saldo na compensatie einde 2016</v>
      </c>
      <c r="J613" s="166" t="str">
        <f>"Aanwending van "&amp;IF($B$7="elektriciteit","75%",IF($B$7="gas","40%","FALSE"))&amp;" van het geaccumuleerd regulatoir saldo door te rekenen volgens de tariefmethodologie in het boekjaar "&amp;F611</f>
        <v>Aanwending van 40% van het geaccumuleerd regulatoir saldo door te rekenen volgens de tariefmethodologie in het boekjaar 2017</v>
      </c>
      <c r="K613" s="166" t="str">
        <f>"Nog af te bouwen regulatoir saldo einde "&amp;F611</f>
        <v>Nog af te bouwen regulatoir saldo einde 2017</v>
      </c>
      <c r="L613" s="212"/>
      <c r="Q613" s="167"/>
    </row>
    <row r="614" spans="2:17" x14ac:dyDescent="0.2">
      <c r="B614" s="1260">
        <v>2015</v>
      </c>
      <c r="C614" s="1261"/>
      <c r="D614" s="1261"/>
      <c r="E614" s="1262"/>
      <c r="F614" s="283"/>
      <c r="G614" s="177">
        <f>G195</f>
        <v>0</v>
      </c>
      <c r="H614" s="566">
        <v>0</v>
      </c>
      <c r="I614" s="177">
        <f>+G614+H614</f>
        <v>0</v>
      </c>
      <c r="J614" s="177">
        <f>-I614*IF($B$7="elektriciteit",0.75,IF($B$7="gas",0.4,"FALSE"))</f>
        <v>0</v>
      </c>
      <c r="K614" s="1001">
        <f>+J614+G614</f>
        <v>0</v>
      </c>
      <c r="L614" s="212"/>
      <c r="Q614" s="167"/>
    </row>
    <row r="615" spans="2:17" x14ac:dyDescent="0.2">
      <c r="H615" s="221"/>
      <c r="L615" s="212"/>
      <c r="Q615" s="167"/>
    </row>
    <row r="616" spans="2:17" x14ac:dyDescent="0.2">
      <c r="B616" s="281" t="s">
        <v>172</v>
      </c>
      <c r="F616" s="1000">
        <v>2018</v>
      </c>
      <c r="H616" s="221"/>
      <c r="Q616" s="167"/>
    </row>
    <row r="617" spans="2:17" x14ac:dyDescent="0.2">
      <c r="H617" s="221"/>
      <c r="Q617" s="167"/>
    </row>
    <row r="618" spans="2:17" ht="104.1" customHeight="1" x14ac:dyDescent="0.2">
      <c r="B618" s="1257" t="s">
        <v>173</v>
      </c>
      <c r="C618" s="1258"/>
      <c r="D618" s="1258"/>
      <c r="E618" s="1259"/>
      <c r="F618" s="282"/>
      <c r="G618" s="166" t="str">
        <f>"Nog af te bouwen regulatoir saldo einde "&amp;F616-1</f>
        <v>Nog af te bouwen regulatoir saldo einde 2017</v>
      </c>
      <c r="H618" s="166" t="str">
        <f>"Afbouw oudste openstaande regulatoir saldo vanaf boekjaar "&amp;F616-3&amp;" en vroeger, door aanwending van compensatie met regulatoir saldo ontstaan over boekjaar "&amp;F616-2</f>
        <v>Afbouw oudste openstaande regulatoir saldo vanaf boekjaar 2015 en vroeger, door aanwending van compensatie met regulatoir saldo ontstaan over boekjaar 2016</v>
      </c>
      <c r="I618" s="166" t="str">
        <f>"Nog af te bouwen regulatoir saldo na compensatie einde "&amp;F616-1</f>
        <v>Nog af te bouwen regulatoir saldo na compensatie einde 2017</v>
      </c>
      <c r="J618" s="166" t="str">
        <f>"Aanwending van "&amp;IF($B$7="elektriciteit","75%",IF($B$7="gas","40%","FALSE"))&amp;" van het geaccumuleerd regulatoir saldo door te rekenen volgens de tariefmethodologie in het boekjaar "&amp;F616</f>
        <v>Aanwending van 40% van het geaccumuleerd regulatoir saldo door te rekenen volgens de tariefmethodologie in het boekjaar 2018</v>
      </c>
      <c r="K618" s="166" t="str">
        <f>"Aanwending van "&amp;IF($B$7="elektriciteit","75%",IF($B$7="gas","40%","FALSE"))&amp;" van het geaccumuleerd regulatoir saldo door te rekenen volgens de tariefmethodologie in het boekjaar "&amp;F616</f>
        <v>Aanwending van 40% van het geaccumuleerd regulatoir saldo door te rekenen volgens de tariefmethodologie in het boekjaar 2018</v>
      </c>
      <c r="L618" s="166" t="str">
        <f>"Totale afbouw over "&amp;F616</f>
        <v>Totale afbouw over 2018</v>
      </c>
      <c r="M618" s="166" t="str">
        <f>"Nog af te bouwen regulatoir saldo einde "&amp;F616</f>
        <v>Nog af te bouwen regulatoir saldo einde 2018</v>
      </c>
      <c r="N618" s="212"/>
      <c r="Q618" s="167"/>
    </row>
    <row r="619" spans="2:17" x14ac:dyDescent="0.2">
      <c r="B619" s="1260">
        <v>2015</v>
      </c>
      <c r="C619" s="1261"/>
      <c r="D619" s="1261"/>
      <c r="E619" s="1262"/>
      <c r="F619" s="283"/>
      <c r="G619" s="177">
        <f>K614</f>
        <v>0</v>
      </c>
      <c r="H619" s="566">
        <f>IF(SIGN(G620*K614)&lt;0,IF(G619&lt;&gt;0,-SIGN(G619)*MIN(ABS(G620),ABS(G619)),0),0)</f>
        <v>0</v>
      </c>
      <c r="I619" s="177">
        <f>+G619+H619</f>
        <v>0</v>
      </c>
      <c r="J619" s="995"/>
      <c r="K619" s="566">
        <f>-MIN(ABS(I619),ABS(J621))*SIGN(I619)</f>
        <v>0</v>
      </c>
      <c r="L619" s="1003">
        <f>+K619+H619</f>
        <v>0</v>
      </c>
      <c r="M619" s="177">
        <f>+I619+K619</f>
        <v>0</v>
      </c>
      <c r="N619" s="212"/>
      <c r="Q619" s="167"/>
    </row>
    <row r="620" spans="2:17" x14ac:dyDescent="0.2">
      <c r="B620" s="1260">
        <v>2016</v>
      </c>
      <c r="C620" s="1261"/>
      <c r="D620" s="1261"/>
      <c r="E620" s="1262"/>
      <c r="F620" s="283"/>
      <c r="G620" s="177">
        <f>H196</f>
        <v>0</v>
      </c>
      <c r="H620" s="1003">
        <f>IF(SIGN(G620*K614)&lt;0,-H619,0)</f>
        <v>0</v>
      </c>
      <c r="I620" s="177">
        <f>+G620+H620</f>
        <v>0</v>
      </c>
      <c r="J620" s="995"/>
      <c r="K620" s="566">
        <f>-MIN(ABS(I620),ABS(J621-K619))*SIGN(I620)</f>
        <v>0</v>
      </c>
      <c r="L620" s="1003">
        <f>+K620+H620</f>
        <v>0</v>
      </c>
      <c r="M620" s="177">
        <f>+I620+K620</f>
        <v>0</v>
      </c>
      <c r="N620" s="212"/>
      <c r="Q620" s="167"/>
    </row>
    <row r="621" spans="2:17" s="281" customFormat="1" x14ac:dyDescent="0.2">
      <c r="G621" s="284">
        <f>SUM(G619:G620)</f>
        <v>0</v>
      </c>
      <c r="H621" s="169">
        <f>SUM(H619:H620)</f>
        <v>0</v>
      </c>
      <c r="I621" s="284">
        <f>SUM(I619:I620)</f>
        <v>0</v>
      </c>
      <c r="J621" s="284">
        <f>-I621*IF($B$7="elektriciteit",0.75,IF($B$7="gas",0.4,"FALSE"))</f>
        <v>0</v>
      </c>
      <c r="K621" s="169">
        <f>SUM(K619:K620)</f>
        <v>0</v>
      </c>
      <c r="L621" s="570"/>
      <c r="M621" s="284">
        <f>SUM(M619:M620)</f>
        <v>0</v>
      </c>
    </row>
    <row r="622" spans="2:17" x14ac:dyDescent="0.2">
      <c r="H622" s="221"/>
      <c r="K622" s="221"/>
      <c r="L622" s="221"/>
      <c r="Q622" s="167"/>
    </row>
    <row r="623" spans="2:17" x14ac:dyDescent="0.2">
      <c r="B623" s="281" t="s">
        <v>172</v>
      </c>
      <c r="F623" s="1000">
        <v>2019</v>
      </c>
      <c r="H623" s="221"/>
      <c r="Q623" s="167"/>
    </row>
    <row r="624" spans="2:17" x14ac:dyDescent="0.2">
      <c r="H624" s="221"/>
      <c r="Q624" s="167"/>
    </row>
    <row r="625" spans="2:17" ht="104.1" customHeight="1" x14ac:dyDescent="0.2">
      <c r="B625" s="1257" t="s">
        <v>173</v>
      </c>
      <c r="C625" s="1258"/>
      <c r="D625" s="1258"/>
      <c r="E625" s="1259"/>
      <c r="F625" s="282"/>
      <c r="G625" s="166" t="str">
        <f>"Nog af te bouwen regulatoir saldo einde "&amp;F623-1</f>
        <v>Nog af te bouwen regulatoir saldo einde 2018</v>
      </c>
      <c r="H625" s="166" t="str">
        <f>"Afbouw oudste openstaande regulatoir saldo vanaf boekjaar "&amp;F623-3&amp;" en vroeger, door aanwending van compensatie met regulatoir saldo ontstaan over boekjaar "&amp;F623-2</f>
        <v>Afbouw oudste openstaande regulatoir saldo vanaf boekjaar 2016 en vroeger, door aanwending van compensatie met regulatoir saldo ontstaan over boekjaar 2017</v>
      </c>
      <c r="I625" s="166" t="str">
        <f>"Nog af te bouwen regulatoir saldo na compensatie einde "&amp;F623-1</f>
        <v>Nog af te bouwen regulatoir saldo na compensatie einde 2018</v>
      </c>
      <c r="J625" s="166" t="str">
        <f>"Aanwending van "&amp;IF($B$7="elektriciteit","75%",IF($B$7="gas","40%","FALSE"))&amp;" van het geaccumuleerd regulatoir saldo door te rekenen volgens de tariefmethodologie in het boekjaar "&amp;F623</f>
        <v>Aanwending van 40% van het geaccumuleerd regulatoir saldo door te rekenen volgens de tariefmethodologie in het boekjaar 2019</v>
      </c>
      <c r="K625" s="166" t="str">
        <f>"Aanwending van "&amp;IF($B$7="elektriciteit","75%",IF($B$7="gas","40%","FALSE"))&amp;" van het geaccumuleerd regulatoir saldo door te rekenen volgens de tariefmethodologie in het boekjaar "&amp;F623</f>
        <v>Aanwending van 40% van het geaccumuleerd regulatoir saldo door te rekenen volgens de tariefmethodologie in het boekjaar 2019</v>
      </c>
      <c r="L625" s="166" t="str">
        <f>"Totale afbouw over "&amp;F623</f>
        <v>Totale afbouw over 2019</v>
      </c>
      <c r="M625" s="166" t="str">
        <f>"Nog af te bouwen regulatoir saldo einde "&amp;F623</f>
        <v>Nog af te bouwen regulatoir saldo einde 2019</v>
      </c>
      <c r="N625" s="212"/>
      <c r="Q625" s="167"/>
    </row>
    <row r="626" spans="2:17" x14ac:dyDescent="0.2">
      <c r="B626" s="1260">
        <v>2015</v>
      </c>
      <c r="C626" s="1261"/>
      <c r="D626" s="1261"/>
      <c r="E626" s="1262"/>
      <c r="F626" s="283"/>
      <c r="G626" s="177">
        <f>+M619</f>
        <v>0</v>
      </c>
      <c r="H626" s="1003">
        <f>IF(SIGN(G628*M621)&lt;0,IF(G626&lt;&gt;0,-SIGN(G626)*MIN(ABS(G628),ABS(G626)),0),0)</f>
        <v>0</v>
      </c>
      <c r="I626" s="177">
        <f>+G626+H626</f>
        <v>0</v>
      </c>
      <c r="J626" s="995"/>
      <c r="K626" s="566">
        <f>-MIN(ABS(I626),ABS(J629))*SIGN(I626)</f>
        <v>0</v>
      </c>
      <c r="L626" s="1003">
        <f>+K626+H626</f>
        <v>0</v>
      </c>
      <c r="M626" s="177">
        <f>+I626+K626</f>
        <v>0</v>
      </c>
      <c r="N626" s="212"/>
      <c r="Q626" s="167"/>
    </row>
    <row r="627" spans="2:17" x14ac:dyDescent="0.2">
      <c r="B627" s="1260">
        <v>2016</v>
      </c>
      <c r="C627" s="1261"/>
      <c r="D627" s="1261">
        <v>2016</v>
      </c>
      <c r="E627" s="1262"/>
      <c r="F627" s="283"/>
      <c r="G627" s="177">
        <f>+M620</f>
        <v>0</v>
      </c>
      <c r="H627" s="1003">
        <f>IF(SIGN(G628*M621)&lt;0,IF(G627&lt;&gt;0,-SIGN(G627)*MIN(ABS(G628-H626),ABS(G627)),0),0)</f>
        <v>0</v>
      </c>
      <c r="I627" s="177">
        <f>+G627+H627</f>
        <v>0</v>
      </c>
      <c r="J627" s="995"/>
      <c r="K627" s="566">
        <f>-MIN(ABS(I627),ABS(J629-K626))*SIGN(I627)</f>
        <v>0</v>
      </c>
      <c r="L627" s="1003">
        <f>+K627+H627</f>
        <v>0</v>
      </c>
      <c r="M627" s="177">
        <f>+I627+K627</f>
        <v>0</v>
      </c>
      <c r="N627" s="212"/>
      <c r="Q627" s="167"/>
    </row>
    <row r="628" spans="2:17" x14ac:dyDescent="0.2">
      <c r="B628" s="1260">
        <v>2017</v>
      </c>
      <c r="C628" s="1261"/>
      <c r="D628" s="1261"/>
      <c r="E628" s="1262"/>
      <c r="F628" s="283"/>
      <c r="G628" s="177">
        <f>I197</f>
        <v>0</v>
      </c>
      <c r="H628" s="1003">
        <f>IF(SIGN(G628*M621)&lt;0,-SUM(H626:H627),0)</f>
        <v>0</v>
      </c>
      <c r="I628" s="177">
        <f>+G628+H628</f>
        <v>0</v>
      </c>
      <c r="J628" s="995"/>
      <c r="K628" s="566">
        <f>-MIN(ABS(I628),ABS(J629-K626-K627))*SIGN(I628)</f>
        <v>0</v>
      </c>
      <c r="L628" s="1003">
        <f>+K628+H628</f>
        <v>0</v>
      </c>
      <c r="M628" s="177">
        <f>+I628+K628</f>
        <v>0</v>
      </c>
      <c r="N628" s="212"/>
      <c r="Q628" s="167"/>
    </row>
    <row r="629" spans="2:17" s="281" customFormat="1" x14ac:dyDescent="0.2">
      <c r="G629" s="284">
        <f>SUM(G626:G628)</f>
        <v>0</v>
      </c>
      <c r="H629" s="169">
        <f>SUM(H626:H628)</f>
        <v>0</v>
      </c>
      <c r="I629" s="284">
        <f>SUM(I626:I628)</f>
        <v>0</v>
      </c>
      <c r="J629" s="284">
        <f>-I629*IF($B$7="elektriciteit",0.75,IF($B$7="gas",0.4,"FALSE"))</f>
        <v>0</v>
      </c>
      <c r="K629" s="169">
        <f>SUM(K626:K628)</f>
        <v>0</v>
      </c>
      <c r="L629" s="570"/>
      <c r="M629" s="284">
        <f>SUM(M626:M628)</f>
        <v>0</v>
      </c>
    </row>
    <row r="630" spans="2:17" x14ac:dyDescent="0.2">
      <c r="H630" s="221"/>
      <c r="K630" s="221"/>
      <c r="L630" s="221"/>
      <c r="Q630" s="167"/>
    </row>
    <row r="631" spans="2:17" x14ac:dyDescent="0.2">
      <c r="B631" s="281" t="s">
        <v>172</v>
      </c>
      <c r="F631" s="1000">
        <v>2020</v>
      </c>
      <c r="H631" s="221"/>
      <c r="Q631" s="167"/>
    </row>
    <row r="632" spans="2:17" x14ac:dyDescent="0.2">
      <c r="H632" s="221"/>
      <c r="Q632" s="167"/>
    </row>
    <row r="633" spans="2:17" ht="104.1" customHeight="1" x14ac:dyDescent="0.2">
      <c r="B633" s="1257" t="s">
        <v>173</v>
      </c>
      <c r="C633" s="1258"/>
      <c r="D633" s="1258"/>
      <c r="E633" s="1259"/>
      <c r="F633" s="282"/>
      <c r="G633" s="166" t="str">
        <f>"Nog af te bouwen regulatoir saldo einde "&amp;F631-1</f>
        <v>Nog af te bouwen regulatoir saldo einde 2019</v>
      </c>
      <c r="H633" s="166" t="str">
        <f>"Afbouw oudste openstaande regulatoir saldo vanaf boekjaar "&amp;F631-3&amp;" en vroeger, door aanwending van compensatie met regulatoir saldo ontstaan over boekjaar "&amp;F631-2</f>
        <v>Afbouw oudste openstaande regulatoir saldo vanaf boekjaar 2017 en vroeger, door aanwending van compensatie met regulatoir saldo ontstaan over boekjaar 2018</v>
      </c>
      <c r="I633" s="166" t="str">
        <f>"Nog af te bouwen regulatoir saldo na compensatie einde "&amp;F631-1</f>
        <v>Nog af te bouwen regulatoir saldo na compensatie einde 2019</v>
      </c>
      <c r="J633" s="166" t="str">
        <f>"Aanwending van "&amp;IF($B$7="elektriciteit","75%",IF($B$7="gas","40%","FALSE"))&amp;" van het geaccumuleerd regulatoir saldo door te rekenen volgens de tariefmethodologie in het boekjaar "&amp;F631</f>
        <v>Aanwending van 40% van het geaccumuleerd regulatoir saldo door te rekenen volgens de tariefmethodologie in het boekjaar 2020</v>
      </c>
      <c r="K633" s="166" t="str">
        <f>"Aanwending van "&amp;IF($B$7="elektriciteit","75%",IF($B$7="gas","40%","FALSE"))&amp;" van het geaccumuleerd regulatoir saldo door te rekenen volgens de tariefmethodologie in het boekjaar "&amp;F631</f>
        <v>Aanwending van 40% van het geaccumuleerd regulatoir saldo door te rekenen volgens de tariefmethodologie in het boekjaar 2020</v>
      </c>
      <c r="L633" s="166" t="str">
        <f>"Totale afbouw over "&amp;F631</f>
        <v>Totale afbouw over 2020</v>
      </c>
      <c r="M633" s="166" t="str">
        <f>"Nog af te bouwen regulatoir saldo einde "&amp;F631</f>
        <v>Nog af te bouwen regulatoir saldo einde 2020</v>
      </c>
      <c r="N633" s="212"/>
      <c r="Q633" s="167"/>
    </row>
    <row r="634" spans="2:17" x14ac:dyDescent="0.2">
      <c r="B634" s="1260">
        <v>2015</v>
      </c>
      <c r="C634" s="1261"/>
      <c r="D634" s="1261"/>
      <c r="E634" s="1262"/>
      <c r="F634" s="283"/>
      <c r="G634" s="177">
        <f>+M626</f>
        <v>0</v>
      </c>
      <c r="H634" s="1003">
        <f>IF(SIGN(G637*M629)&lt;0,IF(G634&lt;&gt;0,-SIGN(G634)*MIN(ABS(G637),ABS(G634)),0),0)</f>
        <v>0</v>
      </c>
      <c r="I634" s="177">
        <f>+G634+H634</f>
        <v>0</v>
      </c>
      <c r="J634" s="995"/>
      <c r="K634" s="566">
        <f>-MIN(ABS(I634),ABS(J638))*SIGN(I634)</f>
        <v>0</v>
      </c>
      <c r="L634" s="1003">
        <f>+K634+H634</f>
        <v>0</v>
      </c>
      <c r="M634" s="177">
        <f>+I634+K634</f>
        <v>0</v>
      </c>
      <c r="N634" s="212"/>
      <c r="Q634" s="167"/>
    </row>
    <row r="635" spans="2:17" x14ac:dyDescent="0.2">
      <c r="B635" s="1260">
        <v>2016</v>
      </c>
      <c r="C635" s="1261"/>
      <c r="D635" s="1261"/>
      <c r="E635" s="1262"/>
      <c r="F635" s="283"/>
      <c r="G635" s="177">
        <f>+M627</f>
        <v>0</v>
      </c>
      <c r="H635" s="1003">
        <f>IF(SIGN(G637*M629)&lt;0,IF(G635&lt;&gt;0,-SIGN(G635)*MIN(ABS(G637-H634),ABS(G635)),0),0)</f>
        <v>0</v>
      </c>
      <c r="I635" s="177">
        <f>+G635+H635</f>
        <v>0</v>
      </c>
      <c r="J635" s="995"/>
      <c r="K635" s="566">
        <f>-MIN(ABS(I635),ABS(J638-K634))*SIGN(I635)</f>
        <v>0</v>
      </c>
      <c r="L635" s="1003">
        <f>+K635+H635</f>
        <v>0</v>
      </c>
      <c r="M635" s="177">
        <f>+I635+K635</f>
        <v>0</v>
      </c>
      <c r="N635" s="212"/>
      <c r="Q635" s="167"/>
    </row>
    <row r="636" spans="2:17" x14ac:dyDescent="0.2">
      <c r="B636" s="1260">
        <v>2017</v>
      </c>
      <c r="C636" s="1261"/>
      <c r="D636" s="1261">
        <v>2016</v>
      </c>
      <c r="E636" s="1262"/>
      <c r="F636" s="283"/>
      <c r="G636" s="177">
        <f>+M628</f>
        <v>0</v>
      </c>
      <c r="H636" s="1003">
        <f>IF(SIGN(G637*M629)&lt;0,IF(G636&lt;&gt;0,-SIGN(G636)*MIN(ABS(G637-H634-H635),ABS(G636)),0),0)</f>
        <v>0</v>
      </c>
      <c r="I636" s="177">
        <f>+G636+H636</f>
        <v>0</v>
      </c>
      <c r="J636" s="995"/>
      <c r="K636" s="566">
        <f>-MIN(ABS(I636),ABS(J638-K634-K635))*SIGN(I636)</f>
        <v>0</v>
      </c>
      <c r="L636" s="1003">
        <f>+K636+H636</f>
        <v>0</v>
      </c>
      <c r="M636" s="177">
        <f>+I636+K636</f>
        <v>0</v>
      </c>
      <c r="N636" s="212"/>
      <c r="Q636" s="167"/>
    </row>
    <row r="637" spans="2:17" x14ac:dyDescent="0.2">
      <c r="B637" s="1260">
        <v>2018</v>
      </c>
      <c r="C637" s="1261"/>
      <c r="D637" s="1261"/>
      <c r="E637" s="1262"/>
      <c r="F637" s="283"/>
      <c r="G637" s="177">
        <f>J198</f>
        <v>0</v>
      </c>
      <c r="H637" s="1003">
        <f>IF(SIGN(G637*M629)&lt;0,-SUM(H634:H636),0)</f>
        <v>0</v>
      </c>
      <c r="I637" s="177">
        <f>+G637+H637</f>
        <v>0</v>
      </c>
      <c r="J637" s="995"/>
      <c r="K637" s="566">
        <f>-MIN(ABS(I637),ABS(J638-K634-K635-K636))*SIGN(I637)</f>
        <v>0</v>
      </c>
      <c r="L637" s="1003">
        <f>+K637+H637</f>
        <v>0</v>
      </c>
      <c r="M637" s="177">
        <f>+I637+K637</f>
        <v>0</v>
      </c>
      <c r="N637" s="212"/>
      <c r="Q637" s="167"/>
    </row>
    <row r="638" spans="2:17" s="281" customFormat="1" x14ac:dyDescent="0.2">
      <c r="G638" s="284">
        <f>SUM(G634:G637)</f>
        <v>0</v>
      </c>
      <c r="H638" s="169">
        <f>SUM(H634:H637)</f>
        <v>0</v>
      </c>
      <c r="I638" s="284">
        <f>SUM(I634:I637)</f>
        <v>0</v>
      </c>
      <c r="J638" s="284">
        <f>-I638*IF($B$7="elektriciteit",0.75,IF($B$7="gas",0.4,"FALSE"))</f>
        <v>0</v>
      </c>
      <c r="K638" s="169">
        <f>SUM(K634:K637)</f>
        <v>0</v>
      </c>
      <c r="L638" s="169"/>
      <c r="M638" s="284">
        <f>SUM(M634:M637)</f>
        <v>0</v>
      </c>
    </row>
    <row r="639" spans="2:17" x14ac:dyDescent="0.2">
      <c r="H639" s="221"/>
      <c r="Q639" s="167"/>
    </row>
    <row r="640" spans="2:17" x14ac:dyDescent="0.2">
      <c r="B640" s="281" t="s">
        <v>172</v>
      </c>
      <c r="F640" s="1000">
        <v>2021</v>
      </c>
      <c r="H640" s="221"/>
      <c r="Q640" s="167"/>
    </row>
    <row r="641" spans="2:17" x14ac:dyDescent="0.2">
      <c r="H641" s="221"/>
      <c r="Q641" s="167"/>
    </row>
    <row r="642" spans="2:17" ht="78" customHeight="1" x14ac:dyDescent="0.2">
      <c r="B642" s="1257" t="s">
        <v>173</v>
      </c>
      <c r="C642" s="1258"/>
      <c r="D642" s="1258"/>
      <c r="E642" s="1259"/>
      <c r="F642" s="282"/>
      <c r="G642" s="166" t="str">
        <f>"Nog af te bouwen regulatoir saldo einde "&amp;F640-1</f>
        <v>Nog af te bouwen regulatoir saldo einde 2020</v>
      </c>
      <c r="H642" s="166" t="str">
        <f>"50% van oorspronkelijk saldo door te rekenen volgens de tariefmethodologie in het boekjaar "&amp;F640</f>
        <v>50% van oorspronkelijk saldo door te rekenen volgens de tariefmethodologie in het boekjaar 2021</v>
      </c>
      <c r="I642" s="166" t="str">
        <f>"Nog af te bouwen regulatoir saldo einde "&amp;F640</f>
        <v>Nog af te bouwen regulatoir saldo einde 2021</v>
      </c>
      <c r="J642" s="212"/>
      <c r="Q642" s="167"/>
    </row>
    <row r="643" spans="2:17" x14ac:dyDescent="0.2">
      <c r="B643" s="1260">
        <v>2015</v>
      </c>
      <c r="C643" s="1261"/>
      <c r="D643" s="1261"/>
      <c r="E643" s="1262"/>
      <c r="F643" s="283"/>
      <c r="G643" s="177">
        <f>M634</f>
        <v>0</v>
      </c>
      <c r="H643" s="566">
        <f>-G643*0.5</f>
        <v>0</v>
      </c>
      <c r="I643" s="177">
        <f>+G643+H643</f>
        <v>0</v>
      </c>
      <c r="J643" s="212"/>
      <c r="Q643" s="167"/>
    </row>
    <row r="644" spans="2:17" x14ac:dyDescent="0.2">
      <c r="B644" s="1260">
        <v>2016</v>
      </c>
      <c r="C644" s="1261"/>
      <c r="D644" s="1261"/>
      <c r="E644" s="1262"/>
      <c r="F644" s="283"/>
      <c r="G644" s="177">
        <f t="shared" ref="G644:G646" si="88">M635</f>
        <v>0</v>
      </c>
      <c r="H644" s="566">
        <f t="shared" ref="H644:H647" si="89">-G644*0.5</f>
        <v>0</v>
      </c>
      <c r="I644" s="177">
        <f t="shared" ref="I644:I647" si="90">+G644+H644</f>
        <v>0</v>
      </c>
      <c r="J644" s="212"/>
      <c r="Q644" s="167"/>
    </row>
    <row r="645" spans="2:17" x14ac:dyDescent="0.2">
      <c r="B645" s="1260">
        <v>2017</v>
      </c>
      <c r="C645" s="1261"/>
      <c r="D645" s="1261">
        <v>2016</v>
      </c>
      <c r="E645" s="1262"/>
      <c r="F645" s="283"/>
      <c r="G645" s="177">
        <f t="shared" si="88"/>
        <v>0</v>
      </c>
      <c r="H645" s="566">
        <f t="shared" si="89"/>
        <v>0</v>
      </c>
      <c r="I645" s="177">
        <f t="shared" si="90"/>
        <v>0</v>
      </c>
      <c r="J645" s="212"/>
      <c r="Q645" s="167"/>
    </row>
    <row r="646" spans="2:17" x14ac:dyDescent="0.2">
      <c r="B646" s="1260">
        <v>2018</v>
      </c>
      <c r="C646" s="1261"/>
      <c r="D646" s="1261"/>
      <c r="E646" s="1262"/>
      <c r="F646" s="283"/>
      <c r="G646" s="177">
        <f t="shared" si="88"/>
        <v>0</v>
      </c>
      <c r="H646" s="566">
        <f t="shared" si="89"/>
        <v>0</v>
      </c>
      <c r="I646" s="177">
        <f t="shared" si="90"/>
        <v>0</v>
      </c>
      <c r="J646" s="212"/>
      <c r="Q646" s="167"/>
    </row>
    <row r="647" spans="2:17" x14ac:dyDescent="0.2">
      <c r="B647" s="1260">
        <v>2019</v>
      </c>
      <c r="C647" s="1261"/>
      <c r="D647" s="1261"/>
      <c r="E647" s="1262"/>
      <c r="F647" s="283"/>
      <c r="G647" s="177">
        <f>K199</f>
        <v>0</v>
      </c>
      <c r="H647" s="566">
        <f t="shared" si="89"/>
        <v>0</v>
      </c>
      <c r="I647" s="177">
        <f t="shared" si="90"/>
        <v>0</v>
      </c>
      <c r="J647" s="212"/>
      <c r="Q647" s="167"/>
    </row>
    <row r="648" spans="2:17" s="281" customFormat="1" x14ac:dyDescent="0.2">
      <c r="G648" s="284">
        <f>SUM(G643:G647)</f>
        <v>0</v>
      </c>
      <c r="H648" s="169">
        <f>SUM(H643:H647)</f>
        <v>0</v>
      </c>
      <c r="I648" s="284">
        <f>SUM(I643:I647)</f>
        <v>0</v>
      </c>
    </row>
    <row r="649" spans="2:17" x14ac:dyDescent="0.2">
      <c r="H649" s="221"/>
      <c r="Q649" s="167"/>
    </row>
    <row r="650" spans="2:17" x14ac:dyDescent="0.2">
      <c r="B650" s="847" t="s">
        <v>172</v>
      </c>
      <c r="C650" s="842"/>
      <c r="D650" s="842"/>
      <c r="E650" s="842"/>
      <c r="F650" s="1004">
        <v>2022</v>
      </c>
      <c r="G650" s="842"/>
      <c r="H650" s="855"/>
      <c r="I650" s="842"/>
      <c r="Q650" s="167"/>
    </row>
    <row r="651" spans="2:17" x14ac:dyDescent="0.2">
      <c r="B651" s="842"/>
      <c r="C651" s="842"/>
      <c r="D651" s="842"/>
      <c r="E651" s="842"/>
      <c r="F651" s="842"/>
      <c r="G651" s="842"/>
      <c r="H651" s="855"/>
      <c r="I651" s="842"/>
      <c r="Q651" s="167"/>
    </row>
    <row r="652" spans="2:17" ht="78" customHeight="1" x14ac:dyDescent="0.2">
      <c r="B652" s="1254" t="s">
        <v>173</v>
      </c>
      <c r="C652" s="1255"/>
      <c r="D652" s="1255"/>
      <c r="E652" s="1256"/>
      <c r="F652" s="848"/>
      <c r="G652" s="837" t="str">
        <f>"Nog af te bouwen regulatoir saldo einde "&amp;F650-1</f>
        <v>Nog af te bouwen regulatoir saldo einde 2021</v>
      </c>
      <c r="H652" s="837" t="str">
        <f>"50% van oorspronkelijk saldo door te rekenen volgens de tariefmethodologie in het boekjaar "&amp;F650</f>
        <v>50% van oorspronkelijk saldo door te rekenen volgens de tariefmethodologie in het boekjaar 2022</v>
      </c>
      <c r="I652" s="837" t="str">
        <f>"Nog af te bouwen regulatoir saldo einde "&amp;F650</f>
        <v>Nog af te bouwen regulatoir saldo einde 2022</v>
      </c>
      <c r="J652" s="212"/>
      <c r="Q652" s="167"/>
    </row>
    <row r="653" spans="2:17" x14ac:dyDescent="0.2">
      <c r="B653" s="1251">
        <v>2015</v>
      </c>
      <c r="C653" s="1252"/>
      <c r="D653" s="1252"/>
      <c r="E653" s="1253"/>
      <c r="F653" s="341"/>
      <c r="G653" s="339">
        <f>+I643</f>
        <v>0</v>
      </c>
      <c r="H653" s="568">
        <f>-G643*0.5</f>
        <v>0</v>
      </c>
      <c r="I653" s="339">
        <f>+G653+H653</f>
        <v>0</v>
      </c>
      <c r="J653" s="212"/>
      <c r="Q653" s="167"/>
    </row>
    <row r="654" spans="2:17" x14ac:dyDescent="0.2">
      <c r="B654" s="1251">
        <v>2016</v>
      </c>
      <c r="C654" s="1252"/>
      <c r="D654" s="1252"/>
      <c r="E654" s="1253"/>
      <c r="F654" s="341"/>
      <c r="G654" s="339">
        <f t="shared" ref="G654:G657" si="91">+I644</f>
        <v>0</v>
      </c>
      <c r="H654" s="568">
        <f t="shared" ref="H654:H657" si="92">-G644*0.5</f>
        <v>0</v>
      </c>
      <c r="I654" s="339">
        <f t="shared" ref="I654:I658" si="93">+G654+H654</f>
        <v>0</v>
      </c>
      <c r="J654" s="212"/>
      <c r="Q654" s="167"/>
    </row>
    <row r="655" spans="2:17" x14ac:dyDescent="0.2">
      <c r="B655" s="1251">
        <v>2017</v>
      </c>
      <c r="C655" s="1252"/>
      <c r="D655" s="1252">
        <v>2016</v>
      </c>
      <c r="E655" s="1253"/>
      <c r="F655" s="341"/>
      <c r="G655" s="339">
        <f t="shared" si="91"/>
        <v>0</v>
      </c>
      <c r="H655" s="568">
        <f t="shared" si="92"/>
        <v>0</v>
      </c>
      <c r="I655" s="339">
        <f t="shared" si="93"/>
        <v>0</v>
      </c>
      <c r="J655" s="212"/>
      <c r="Q655" s="167"/>
    </row>
    <row r="656" spans="2:17" x14ac:dyDescent="0.2">
      <c r="B656" s="1251">
        <v>2018</v>
      </c>
      <c r="C656" s="1252"/>
      <c r="D656" s="1252"/>
      <c r="E656" s="1253"/>
      <c r="F656" s="341"/>
      <c r="G656" s="339">
        <f t="shared" si="91"/>
        <v>0</v>
      </c>
      <c r="H656" s="568">
        <f t="shared" si="92"/>
        <v>0</v>
      </c>
      <c r="I656" s="339">
        <f t="shared" si="93"/>
        <v>0</v>
      </c>
      <c r="J656" s="212"/>
      <c r="Q656" s="167"/>
    </row>
    <row r="657" spans="2:17" x14ac:dyDescent="0.2">
      <c r="B657" s="1251">
        <v>2019</v>
      </c>
      <c r="C657" s="1252"/>
      <c r="D657" s="1252"/>
      <c r="E657" s="1253"/>
      <c r="F657" s="341"/>
      <c r="G657" s="339">
        <f t="shared" si="91"/>
        <v>0</v>
      </c>
      <c r="H657" s="568">
        <f t="shared" si="92"/>
        <v>0</v>
      </c>
      <c r="I657" s="339">
        <f t="shared" si="93"/>
        <v>0</v>
      </c>
      <c r="J657" s="212"/>
      <c r="Q657" s="167"/>
    </row>
    <row r="658" spans="2:17" x14ac:dyDescent="0.2">
      <c r="B658" s="1251">
        <v>2020</v>
      </c>
      <c r="C658" s="1252"/>
      <c r="D658" s="1252"/>
      <c r="E658" s="1253"/>
      <c r="F658" s="341"/>
      <c r="G658" s="339">
        <f>L200</f>
        <v>0</v>
      </c>
      <c r="H658" s="568">
        <f t="shared" ref="H658" si="94">-G658*0.5</f>
        <v>0</v>
      </c>
      <c r="I658" s="339">
        <f t="shared" si="93"/>
        <v>0</v>
      </c>
      <c r="J658" s="212"/>
      <c r="Q658" s="167"/>
    </row>
    <row r="659" spans="2:17" s="281" customFormat="1" x14ac:dyDescent="0.2">
      <c r="B659" s="847"/>
      <c r="C659" s="847"/>
      <c r="D659" s="847"/>
      <c r="E659" s="847"/>
      <c r="F659" s="847"/>
      <c r="G659" s="849">
        <f>SUM(G653:G658)</f>
        <v>0</v>
      </c>
      <c r="H659" s="856">
        <f t="shared" ref="H659:I659" si="95">SUM(H653:H658)</f>
        <v>0</v>
      </c>
      <c r="I659" s="849">
        <f t="shared" si="95"/>
        <v>0</v>
      </c>
    </row>
    <row r="660" spans="2:17" x14ac:dyDescent="0.2">
      <c r="B660" s="842"/>
      <c r="C660" s="842"/>
      <c r="D660" s="842"/>
      <c r="E660" s="842"/>
      <c r="F660" s="842"/>
      <c r="G660" s="842"/>
      <c r="H660" s="855"/>
      <c r="I660" s="842"/>
      <c r="Q660" s="167"/>
    </row>
    <row r="661" spans="2:17" x14ac:dyDescent="0.2">
      <c r="B661" s="847" t="s">
        <v>172</v>
      </c>
      <c r="C661" s="842"/>
      <c r="D661" s="842"/>
      <c r="E661" s="842"/>
      <c r="F661" s="1004">
        <v>2023</v>
      </c>
      <c r="G661" s="842"/>
      <c r="H661" s="855"/>
      <c r="I661" s="842"/>
      <c r="Q661" s="167"/>
    </row>
    <row r="662" spans="2:17" x14ac:dyDescent="0.2">
      <c r="B662" s="842"/>
      <c r="C662" s="842"/>
      <c r="D662" s="842"/>
      <c r="E662" s="842"/>
      <c r="F662" s="842"/>
      <c r="G662" s="842"/>
      <c r="H662" s="855"/>
      <c r="I662" s="842"/>
      <c r="Q662" s="167"/>
    </row>
    <row r="663" spans="2:17" ht="78" customHeight="1" x14ac:dyDescent="0.2">
      <c r="B663" s="1254" t="s">
        <v>173</v>
      </c>
      <c r="C663" s="1255"/>
      <c r="D663" s="1255"/>
      <c r="E663" s="1256"/>
      <c r="F663" s="848"/>
      <c r="G663" s="837" t="str">
        <f>"Nog af te bouwen regulatoir saldo einde "&amp;F661-1</f>
        <v>Nog af te bouwen regulatoir saldo einde 2022</v>
      </c>
      <c r="H663" s="837" t="str">
        <f>"50% van oorspronkelijk saldo door te rekenen volgens de tariefmethodologie in het boekjaar "&amp;F661</f>
        <v>50% van oorspronkelijk saldo door te rekenen volgens de tariefmethodologie in het boekjaar 2023</v>
      </c>
      <c r="I663" s="837" t="str">
        <f>"Nog af te bouwen regulatoir saldo einde "&amp;F661</f>
        <v>Nog af te bouwen regulatoir saldo einde 2023</v>
      </c>
      <c r="J663" s="212"/>
      <c r="Q663" s="167"/>
    </row>
    <row r="664" spans="2:17" x14ac:dyDescent="0.2">
      <c r="B664" s="1251">
        <v>2020</v>
      </c>
      <c r="C664" s="1252"/>
      <c r="D664" s="1252"/>
      <c r="E664" s="1253"/>
      <c r="F664" s="341"/>
      <c r="G664" s="339">
        <f>+I658</f>
        <v>0</v>
      </c>
      <c r="H664" s="568">
        <f>-G658*0.5</f>
        <v>0</v>
      </c>
      <c r="I664" s="339">
        <f t="shared" ref="I664:I665" si="96">+G664+H664</f>
        <v>0</v>
      </c>
      <c r="J664" s="212"/>
      <c r="Q664" s="167"/>
    </row>
    <row r="665" spans="2:17" x14ac:dyDescent="0.2">
      <c r="B665" s="1251">
        <v>2021</v>
      </c>
      <c r="C665" s="1252"/>
      <c r="D665" s="1252"/>
      <c r="E665" s="1253"/>
      <c r="F665" s="341"/>
      <c r="G665" s="339">
        <f>M201</f>
        <v>0</v>
      </c>
      <c r="H665" s="568">
        <f t="shared" ref="H665" si="97">-G665*0.5</f>
        <v>0</v>
      </c>
      <c r="I665" s="339">
        <f t="shared" si="96"/>
        <v>0</v>
      </c>
      <c r="J665" s="212"/>
      <c r="Q665" s="167"/>
    </row>
    <row r="666" spans="2:17" s="281" customFormat="1" x14ac:dyDescent="0.2">
      <c r="B666" s="847"/>
      <c r="C666" s="847"/>
      <c r="D666" s="847"/>
      <c r="E666" s="847"/>
      <c r="F666" s="847"/>
      <c r="G666" s="849">
        <f>SUM(G664:G665)</f>
        <v>0</v>
      </c>
      <c r="H666" s="856">
        <f>SUM(H664:H665)</f>
        <v>0</v>
      </c>
      <c r="I666" s="849">
        <f>SUM(I664:I665)</f>
        <v>0</v>
      </c>
    </row>
    <row r="667" spans="2:17" x14ac:dyDescent="0.2">
      <c r="B667" s="842"/>
      <c r="C667" s="842"/>
      <c r="D667" s="842"/>
      <c r="E667" s="842"/>
      <c r="F667" s="842"/>
      <c r="G667" s="842"/>
      <c r="H667" s="855"/>
      <c r="I667" s="842"/>
      <c r="Q667" s="167"/>
    </row>
    <row r="668" spans="2:17" x14ac:dyDescent="0.2">
      <c r="B668" s="847" t="s">
        <v>172</v>
      </c>
      <c r="C668" s="842"/>
      <c r="D668" s="842"/>
      <c r="E668" s="842"/>
      <c r="F668" s="1004">
        <v>2024</v>
      </c>
      <c r="G668" s="842"/>
      <c r="H668" s="855"/>
      <c r="I668" s="842"/>
      <c r="Q668" s="167"/>
    </row>
    <row r="669" spans="2:17" x14ac:dyDescent="0.2">
      <c r="B669" s="842"/>
      <c r="C669" s="842"/>
      <c r="D669" s="842"/>
      <c r="E669" s="842"/>
      <c r="F669" s="842"/>
      <c r="G669" s="842"/>
      <c r="H669" s="855"/>
      <c r="I669" s="842"/>
      <c r="Q669" s="167"/>
    </row>
    <row r="670" spans="2:17" ht="78" customHeight="1" x14ac:dyDescent="0.2">
      <c r="B670" s="1254" t="s">
        <v>173</v>
      </c>
      <c r="C670" s="1255"/>
      <c r="D670" s="1255"/>
      <c r="E670" s="1256"/>
      <c r="F670" s="848"/>
      <c r="G670" s="837" t="str">
        <f>"Nog af te bouwen regulatoir saldo einde "&amp;F668-1</f>
        <v>Nog af te bouwen regulatoir saldo einde 2023</v>
      </c>
      <c r="H670" s="837" t="str">
        <f>"50% van oorspronkelijk saldo door te rekenen volgens de tariefmethodologie in het boekjaar "&amp;F668</f>
        <v>50% van oorspronkelijk saldo door te rekenen volgens de tariefmethodologie in het boekjaar 2024</v>
      </c>
      <c r="I670" s="837" t="str">
        <f>"Nog af te bouwen regulatoir saldo einde "&amp;F668</f>
        <v>Nog af te bouwen regulatoir saldo einde 2024</v>
      </c>
      <c r="J670" s="212"/>
      <c r="Q670" s="167"/>
    </row>
    <row r="671" spans="2:17" x14ac:dyDescent="0.2">
      <c r="B671" s="1251">
        <v>2021</v>
      </c>
      <c r="C671" s="1252"/>
      <c r="D671" s="1252"/>
      <c r="E671" s="1253"/>
      <c r="F671" s="341"/>
      <c r="G671" s="339">
        <f>+I665</f>
        <v>0</v>
      </c>
      <c r="H671" s="568">
        <f>-G665*0.5</f>
        <v>0</v>
      </c>
      <c r="I671" s="339">
        <f t="shared" ref="I671:I672" si="98">+G671+H671</f>
        <v>0</v>
      </c>
      <c r="J671" s="212"/>
      <c r="Q671" s="167"/>
    </row>
    <row r="672" spans="2:17" x14ac:dyDescent="0.2">
      <c r="B672" s="1251">
        <v>2022</v>
      </c>
      <c r="C672" s="1252"/>
      <c r="D672" s="1252"/>
      <c r="E672" s="1253"/>
      <c r="F672" s="341"/>
      <c r="G672" s="339">
        <f>N202</f>
        <v>0</v>
      </c>
      <c r="H672" s="568">
        <f t="shared" ref="H672" si="99">-G672*0.5</f>
        <v>0</v>
      </c>
      <c r="I672" s="339">
        <f t="shared" si="98"/>
        <v>0</v>
      </c>
      <c r="J672" s="212"/>
      <c r="Q672" s="167"/>
    </row>
    <row r="673" spans="2:17" s="281" customFormat="1" x14ac:dyDescent="0.2">
      <c r="B673" s="847"/>
      <c r="C673" s="847"/>
      <c r="D673" s="847"/>
      <c r="E673" s="847"/>
      <c r="F673" s="847"/>
      <c r="G673" s="849">
        <f>SUM(G671:G672)</f>
        <v>0</v>
      </c>
      <c r="H673" s="856">
        <f>SUM(H671:H672)</f>
        <v>0</v>
      </c>
      <c r="I673" s="849">
        <f>SUM(I671:I672)</f>
        <v>0</v>
      </c>
    </row>
    <row r="674" spans="2:17" x14ac:dyDescent="0.2">
      <c r="H674" s="221"/>
      <c r="Q674" s="167"/>
    </row>
    <row r="675" spans="2:17" x14ac:dyDescent="0.2">
      <c r="B675" s="281" t="s">
        <v>68</v>
      </c>
      <c r="H675" s="221"/>
      <c r="Q675" s="167"/>
    </row>
    <row r="676" spans="2:17" x14ac:dyDescent="0.2">
      <c r="B676" s="281" t="s">
        <v>174</v>
      </c>
      <c r="C676" s="224"/>
      <c r="D676" s="224"/>
      <c r="E676" s="224"/>
      <c r="H676" s="221"/>
      <c r="Q676" s="167"/>
    </row>
    <row r="677" spans="2:17" x14ac:dyDescent="0.2">
      <c r="B677" s="281"/>
      <c r="C677" s="224"/>
      <c r="D677" s="224"/>
      <c r="E677" s="224"/>
      <c r="H677" s="221"/>
      <c r="Q677" s="167"/>
    </row>
    <row r="678" spans="2:17" x14ac:dyDescent="0.2">
      <c r="B678" s="283">
        <v>2021</v>
      </c>
      <c r="C678" s="287">
        <f>+H648</f>
        <v>0</v>
      </c>
      <c r="D678" s="224"/>
      <c r="E678" s="224"/>
      <c r="H678" s="221"/>
      <c r="Q678" s="167"/>
    </row>
    <row r="679" spans="2:17" x14ac:dyDescent="0.2">
      <c r="B679" s="341">
        <v>2022</v>
      </c>
      <c r="C679" s="342">
        <f>+H659</f>
        <v>0</v>
      </c>
      <c r="D679" s="224"/>
      <c r="E679" s="224"/>
      <c r="Q679" s="167"/>
    </row>
    <row r="680" spans="2:17" x14ac:dyDescent="0.2">
      <c r="B680" s="341">
        <v>2023</v>
      </c>
      <c r="C680" s="342">
        <f>+H666</f>
        <v>0</v>
      </c>
      <c r="D680" s="224"/>
      <c r="E680" s="224"/>
      <c r="Q680" s="167"/>
    </row>
    <row r="681" spans="2:17" x14ac:dyDescent="0.2">
      <c r="B681" s="341">
        <v>2024</v>
      </c>
      <c r="C681" s="342">
        <f>+H673</f>
        <v>0</v>
      </c>
      <c r="D681" s="224"/>
      <c r="E681" s="224"/>
      <c r="P681" s="209"/>
      <c r="Q681" s="167"/>
    </row>
    <row r="682" spans="2:17" x14ac:dyDescent="0.2">
      <c r="P682" s="212"/>
      <c r="Q682" s="167"/>
    </row>
    <row r="683" spans="2:17" x14ac:dyDescent="0.2">
      <c r="P683" s="212"/>
      <c r="Q683" s="167"/>
    </row>
  </sheetData>
  <sheetProtection algorithmName="SHA-512" hashValue="1pxTrTSg2Y9v6D9jSl0GgukFwtK5FtvPXmNSYkoRzxZzVZVMK9wWyXaxrGRD3lr6PTo9vZm63v429f4BgqTBQA==" saltValue="hlZ8mKkcumommGyv1CGlKQ==" spinCount="100000" sheet="1" objects="1" scenarios="1"/>
  <mergeCells count="395">
    <mergeCell ref="B17:E17"/>
    <mergeCell ref="B18:E18"/>
    <mergeCell ref="B19:E19"/>
    <mergeCell ref="B20:E20"/>
    <mergeCell ref="B21:E21"/>
    <mergeCell ref="A1:J1"/>
    <mergeCell ref="B4:E4"/>
    <mergeCell ref="B7:E7"/>
    <mergeCell ref="B13:E13"/>
    <mergeCell ref="B15:E15"/>
    <mergeCell ref="B16:E16"/>
    <mergeCell ref="B33:E33"/>
    <mergeCell ref="B34:E34"/>
    <mergeCell ref="B35:E35"/>
    <mergeCell ref="B36:E36"/>
    <mergeCell ref="B37:E37"/>
    <mergeCell ref="B38:E38"/>
    <mergeCell ref="B23:E23"/>
    <mergeCell ref="B24:E24"/>
    <mergeCell ref="B28:E28"/>
    <mergeCell ref="B30:E30"/>
    <mergeCell ref="B31:E31"/>
    <mergeCell ref="B32:E32"/>
    <mergeCell ref="B45:E45"/>
    <mergeCell ref="B46:E46"/>
    <mergeCell ref="B47:E47"/>
    <mergeCell ref="B48:E48"/>
    <mergeCell ref="B49:E49"/>
    <mergeCell ref="B50:E50"/>
    <mergeCell ref="B39:E39"/>
    <mergeCell ref="B40:E40"/>
    <mergeCell ref="B41:E41"/>
    <mergeCell ref="B42:E42"/>
    <mergeCell ref="B43:E43"/>
    <mergeCell ref="B44:E44"/>
    <mergeCell ref="B57:E57"/>
    <mergeCell ref="B58:E58"/>
    <mergeCell ref="B59:E59"/>
    <mergeCell ref="B60:E60"/>
    <mergeCell ref="B61:E61"/>
    <mergeCell ref="B62:E62"/>
    <mergeCell ref="B51:E51"/>
    <mergeCell ref="B52:E52"/>
    <mergeCell ref="B53:E53"/>
    <mergeCell ref="B54:E54"/>
    <mergeCell ref="B55:E55"/>
    <mergeCell ref="B56:E56"/>
    <mergeCell ref="B69:E69"/>
    <mergeCell ref="B70:E70"/>
    <mergeCell ref="B71:E71"/>
    <mergeCell ref="B72:E72"/>
    <mergeCell ref="B73:E73"/>
    <mergeCell ref="B74:E74"/>
    <mergeCell ref="B63:E63"/>
    <mergeCell ref="B64:E64"/>
    <mergeCell ref="B65:E65"/>
    <mergeCell ref="B66:E66"/>
    <mergeCell ref="B67:E67"/>
    <mergeCell ref="B68:E68"/>
    <mergeCell ref="B81:E81"/>
    <mergeCell ref="B82:E82"/>
    <mergeCell ref="B83:E83"/>
    <mergeCell ref="B84:E84"/>
    <mergeCell ref="B85:E85"/>
    <mergeCell ref="B86:E86"/>
    <mergeCell ref="B75:E75"/>
    <mergeCell ref="B76:E76"/>
    <mergeCell ref="B77:E77"/>
    <mergeCell ref="B78:E78"/>
    <mergeCell ref="B79:E79"/>
    <mergeCell ref="B80:E80"/>
    <mergeCell ref="B93:E93"/>
    <mergeCell ref="B94:E94"/>
    <mergeCell ref="B95:E95"/>
    <mergeCell ref="B87:E87"/>
    <mergeCell ref="B88:E88"/>
    <mergeCell ref="B89:E89"/>
    <mergeCell ref="B90:E90"/>
    <mergeCell ref="B91:E91"/>
    <mergeCell ref="B92:E92"/>
    <mergeCell ref="B100:E100"/>
    <mergeCell ref="B101:E101"/>
    <mergeCell ref="B102:E102"/>
    <mergeCell ref="B103:E103"/>
    <mergeCell ref="B104:E104"/>
    <mergeCell ref="B105:E105"/>
    <mergeCell ref="B96:E96"/>
    <mergeCell ref="B97:E97"/>
    <mergeCell ref="B98:E98"/>
    <mergeCell ref="B99:E99"/>
    <mergeCell ref="B114:E114"/>
    <mergeCell ref="B115:E115"/>
    <mergeCell ref="B116:E116"/>
    <mergeCell ref="B117:E117"/>
    <mergeCell ref="B118:E118"/>
    <mergeCell ref="B119:E119"/>
    <mergeCell ref="B106:E106"/>
    <mergeCell ref="B108:E108"/>
    <mergeCell ref="B110:E110"/>
    <mergeCell ref="B111:E111"/>
    <mergeCell ref="B112:E112"/>
    <mergeCell ref="B113:E113"/>
    <mergeCell ref="B130:E130"/>
    <mergeCell ref="B131:E131"/>
    <mergeCell ref="B132:E132"/>
    <mergeCell ref="B133:E133"/>
    <mergeCell ref="B134:E134"/>
    <mergeCell ref="B135:E135"/>
    <mergeCell ref="B120:E120"/>
    <mergeCell ref="B121:E121"/>
    <mergeCell ref="B125:E125"/>
    <mergeCell ref="B127:E127"/>
    <mergeCell ref="B128:E128"/>
    <mergeCell ref="B129:E129"/>
    <mergeCell ref="B142:E142"/>
    <mergeCell ref="B143:E143"/>
    <mergeCell ref="B144:E144"/>
    <mergeCell ref="B145:E145"/>
    <mergeCell ref="B146:E146"/>
    <mergeCell ref="B147:E147"/>
    <mergeCell ref="B136:E136"/>
    <mergeCell ref="B137:E137"/>
    <mergeCell ref="B138:E138"/>
    <mergeCell ref="B139:E139"/>
    <mergeCell ref="B140:E140"/>
    <mergeCell ref="B141:E141"/>
    <mergeCell ref="B154:E154"/>
    <mergeCell ref="B155:E155"/>
    <mergeCell ref="B156:E156"/>
    <mergeCell ref="B157:E157"/>
    <mergeCell ref="B158:E158"/>
    <mergeCell ref="B159:E159"/>
    <mergeCell ref="B148:E148"/>
    <mergeCell ref="B149:E149"/>
    <mergeCell ref="B150:E150"/>
    <mergeCell ref="B151:E151"/>
    <mergeCell ref="B152:E152"/>
    <mergeCell ref="B153:E153"/>
    <mergeCell ref="B166:E166"/>
    <mergeCell ref="B167:E167"/>
    <mergeCell ref="B168:E168"/>
    <mergeCell ref="B169:E169"/>
    <mergeCell ref="B170:E170"/>
    <mergeCell ref="B171:E171"/>
    <mergeCell ref="B160:E160"/>
    <mergeCell ref="B161:E161"/>
    <mergeCell ref="B162:E162"/>
    <mergeCell ref="B163:E163"/>
    <mergeCell ref="B164:E164"/>
    <mergeCell ref="B165:E165"/>
    <mergeCell ref="B178:E178"/>
    <mergeCell ref="B179:E179"/>
    <mergeCell ref="B180:E180"/>
    <mergeCell ref="B181:E181"/>
    <mergeCell ref="B182:E182"/>
    <mergeCell ref="B183:E183"/>
    <mergeCell ref="B172:E172"/>
    <mergeCell ref="B173:E173"/>
    <mergeCell ref="B174:E174"/>
    <mergeCell ref="B175:E175"/>
    <mergeCell ref="B176:E176"/>
    <mergeCell ref="B177:E177"/>
    <mergeCell ref="B193:E193"/>
    <mergeCell ref="B194:E194"/>
    <mergeCell ref="B195:E195"/>
    <mergeCell ref="B196:E196"/>
    <mergeCell ref="B190:E190"/>
    <mergeCell ref="B191:E191"/>
    <mergeCell ref="B192:E192"/>
    <mergeCell ref="B184:E184"/>
    <mergeCell ref="B185:E185"/>
    <mergeCell ref="B186:E186"/>
    <mergeCell ref="B187:E187"/>
    <mergeCell ref="B188:E188"/>
    <mergeCell ref="B189:E189"/>
    <mergeCell ref="B203:E203"/>
    <mergeCell ref="B206:E206"/>
    <mergeCell ref="B207:E207"/>
    <mergeCell ref="B208:E208"/>
    <mergeCell ref="B209:E209"/>
    <mergeCell ref="B210:E210"/>
    <mergeCell ref="B197:E197"/>
    <mergeCell ref="B198:E198"/>
    <mergeCell ref="B199:E199"/>
    <mergeCell ref="B200:E200"/>
    <mergeCell ref="B201:E201"/>
    <mergeCell ref="B202:E202"/>
    <mergeCell ref="B217:E217"/>
    <mergeCell ref="B222:E222"/>
    <mergeCell ref="B224:E224"/>
    <mergeCell ref="B225:E225"/>
    <mergeCell ref="B226:E226"/>
    <mergeCell ref="B211:E211"/>
    <mergeCell ref="B212:E212"/>
    <mergeCell ref="B213:E213"/>
    <mergeCell ref="B214:E214"/>
    <mergeCell ref="B215:E215"/>
    <mergeCell ref="B216:E216"/>
    <mergeCell ref="B238:E238"/>
    <mergeCell ref="B242:E242"/>
    <mergeCell ref="B243:E243"/>
    <mergeCell ref="B244:E244"/>
    <mergeCell ref="B249:E249"/>
    <mergeCell ref="B250:E250"/>
    <mergeCell ref="B227:E227"/>
    <mergeCell ref="B228:E228"/>
    <mergeCell ref="B230:E230"/>
    <mergeCell ref="B237:E237"/>
    <mergeCell ref="B261:E261"/>
    <mergeCell ref="B266:E266"/>
    <mergeCell ref="B267:E267"/>
    <mergeCell ref="B268:E268"/>
    <mergeCell ref="B269:E269"/>
    <mergeCell ref="B270:E270"/>
    <mergeCell ref="B251:E251"/>
    <mergeCell ref="B252:E252"/>
    <mergeCell ref="B257:E257"/>
    <mergeCell ref="B258:E258"/>
    <mergeCell ref="B259:E259"/>
    <mergeCell ref="B260:E260"/>
    <mergeCell ref="B281:E281"/>
    <mergeCell ref="B282:E282"/>
    <mergeCell ref="B287:E287"/>
    <mergeCell ref="B288:E288"/>
    <mergeCell ref="B289:E289"/>
    <mergeCell ref="B294:E294"/>
    <mergeCell ref="B271:E271"/>
    <mergeCell ref="B276:E276"/>
    <mergeCell ref="B277:E277"/>
    <mergeCell ref="B278:E278"/>
    <mergeCell ref="B279:E279"/>
    <mergeCell ref="B280:E280"/>
    <mergeCell ref="B318:E318"/>
    <mergeCell ref="B323:E323"/>
    <mergeCell ref="B324:E324"/>
    <mergeCell ref="B325:E325"/>
    <mergeCell ref="B326:E326"/>
    <mergeCell ref="B331:E331"/>
    <mergeCell ref="B295:E295"/>
    <mergeCell ref="B296:E296"/>
    <mergeCell ref="B311:E311"/>
    <mergeCell ref="B312:E312"/>
    <mergeCell ref="B316:E316"/>
    <mergeCell ref="B317:E317"/>
    <mergeCell ref="B342:E342"/>
    <mergeCell ref="B343:E343"/>
    <mergeCell ref="B344:E344"/>
    <mergeCell ref="B345:E345"/>
    <mergeCell ref="B350:E350"/>
    <mergeCell ref="B351:E351"/>
    <mergeCell ref="B332:E332"/>
    <mergeCell ref="B333:E333"/>
    <mergeCell ref="B334:E334"/>
    <mergeCell ref="B335:E335"/>
    <mergeCell ref="B340:E340"/>
    <mergeCell ref="B341:E341"/>
    <mergeCell ref="B362:E362"/>
    <mergeCell ref="B363:E363"/>
    <mergeCell ref="B368:E368"/>
    <mergeCell ref="B369:E369"/>
    <mergeCell ref="B370:E370"/>
    <mergeCell ref="B352:E352"/>
    <mergeCell ref="B353:E353"/>
    <mergeCell ref="B354:E354"/>
    <mergeCell ref="B355:E355"/>
    <mergeCell ref="B356:E356"/>
    <mergeCell ref="B361:E361"/>
    <mergeCell ref="B404:E404"/>
    <mergeCell ref="B409:E409"/>
    <mergeCell ref="B410:E410"/>
    <mergeCell ref="B411:E411"/>
    <mergeCell ref="B412:E412"/>
    <mergeCell ref="B417:E417"/>
    <mergeCell ref="B397:E397"/>
    <mergeCell ref="B398:E398"/>
    <mergeCell ref="B402:E402"/>
    <mergeCell ref="B403:E403"/>
    <mergeCell ref="B428:E428"/>
    <mergeCell ref="B429:E429"/>
    <mergeCell ref="B430:E430"/>
    <mergeCell ref="B431:E431"/>
    <mergeCell ref="B436:E436"/>
    <mergeCell ref="B437:E437"/>
    <mergeCell ref="B418:E418"/>
    <mergeCell ref="B419:E419"/>
    <mergeCell ref="B420:E420"/>
    <mergeCell ref="B421:E421"/>
    <mergeCell ref="B426:E426"/>
    <mergeCell ref="B427:E427"/>
    <mergeCell ref="B448:E448"/>
    <mergeCell ref="B449:E449"/>
    <mergeCell ref="B454:E454"/>
    <mergeCell ref="B455:E455"/>
    <mergeCell ref="B456:E456"/>
    <mergeCell ref="B472:E472"/>
    <mergeCell ref="B438:E438"/>
    <mergeCell ref="B439:E439"/>
    <mergeCell ref="B440:E440"/>
    <mergeCell ref="B441:E441"/>
    <mergeCell ref="B442:E442"/>
    <mergeCell ref="B447:E447"/>
    <mergeCell ref="B486:E486"/>
    <mergeCell ref="B487:E487"/>
    <mergeCell ref="B492:E492"/>
    <mergeCell ref="B493:E493"/>
    <mergeCell ref="B494:E494"/>
    <mergeCell ref="B495:E495"/>
    <mergeCell ref="B473:E473"/>
    <mergeCell ref="B477:E477"/>
    <mergeCell ref="B478:E478"/>
    <mergeCell ref="B479:E479"/>
    <mergeCell ref="B484:E484"/>
    <mergeCell ref="B485:E485"/>
    <mergeCell ref="B506:E506"/>
    <mergeCell ref="B511:E511"/>
    <mergeCell ref="B512:E512"/>
    <mergeCell ref="B513:E513"/>
    <mergeCell ref="B514:E514"/>
    <mergeCell ref="B515:E515"/>
    <mergeCell ref="B496:E496"/>
    <mergeCell ref="B501:E501"/>
    <mergeCell ref="B502:E502"/>
    <mergeCell ref="B503:E503"/>
    <mergeCell ref="B504:E504"/>
    <mergeCell ref="B505:E505"/>
    <mergeCell ref="B545:E545"/>
    <mergeCell ref="B550:E550"/>
    <mergeCell ref="B551:E551"/>
    <mergeCell ref="B552:E552"/>
    <mergeCell ref="B553:E553"/>
    <mergeCell ref="B558:E558"/>
    <mergeCell ref="B516:E516"/>
    <mergeCell ref="B517:E517"/>
    <mergeCell ref="B538:E538"/>
    <mergeCell ref="B539:E539"/>
    <mergeCell ref="B543:E543"/>
    <mergeCell ref="B544:E544"/>
    <mergeCell ref="B523:E523"/>
    <mergeCell ref="B569:E569"/>
    <mergeCell ref="B570:E570"/>
    <mergeCell ref="B571:E571"/>
    <mergeCell ref="B572:E572"/>
    <mergeCell ref="B577:E577"/>
    <mergeCell ref="B578:E578"/>
    <mergeCell ref="B559:E559"/>
    <mergeCell ref="B560:E560"/>
    <mergeCell ref="B561:E561"/>
    <mergeCell ref="B562:E562"/>
    <mergeCell ref="B567:E567"/>
    <mergeCell ref="B568:E568"/>
    <mergeCell ref="B589:E589"/>
    <mergeCell ref="B590:E590"/>
    <mergeCell ref="B595:E595"/>
    <mergeCell ref="B596:E596"/>
    <mergeCell ref="B597:E597"/>
    <mergeCell ref="B579:E579"/>
    <mergeCell ref="B580:E580"/>
    <mergeCell ref="B581:E581"/>
    <mergeCell ref="B582:E582"/>
    <mergeCell ref="B583:E583"/>
    <mergeCell ref="B588:E588"/>
    <mergeCell ref="B620:E620"/>
    <mergeCell ref="B625:E625"/>
    <mergeCell ref="B626:E626"/>
    <mergeCell ref="B627:E627"/>
    <mergeCell ref="B628:E628"/>
    <mergeCell ref="B633:E633"/>
    <mergeCell ref="B613:E613"/>
    <mergeCell ref="B614:E614"/>
    <mergeCell ref="B618:E618"/>
    <mergeCell ref="B619:E619"/>
    <mergeCell ref="B664:E664"/>
    <mergeCell ref="B665:E665"/>
    <mergeCell ref="B670:E670"/>
    <mergeCell ref="B671:E671"/>
    <mergeCell ref="B672:E672"/>
    <mergeCell ref="B522:E522"/>
    <mergeCell ref="B654:E654"/>
    <mergeCell ref="B655:E655"/>
    <mergeCell ref="B656:E656"/>
    <mergeCell ref="B657:E657"/>
    <mergeCell ref="B658:E658"/>
    <mergeCell ref="B663:E663"/>
    <mergeCell ref="B644:E644"/>
    <mergeCell ref="B645:E645"/>
    <mergeCell ref="B646:E646"/>
    <mergeCell ref="B647:E647"/>
    <mergeCell ref="B652:E652"/>
    <mergeCell ref="B653:E653"/>
    <mergeCell ref="B634:E634"/>
    <mergeCell ref="B635:E635"/>
    <mergeCell ref="B636:E636"/>
    <mergeCell ref="B637:E637"/>
    <mergeCell ref="B642:E642"/>
    <mergeCell ref="B643:E643"/>
  </mergeCells>
  <conditionalFormatting sqref="B19:P20 R19:R20 B74:P95 R171:R192 B468:F468 B470:F470 B472:K473 B475:F475 B477:M480 B484:M488 B482:F482 B490:F490 B492:M497 B499:F499 B501:I507 B509:F509 B511:I518 B526:F526 B528:C529 B534:E534 B536:F536 B538:K539 B541:F541 B543:M546 B548:F548 B550:M554 B558:M563 B556:F556 B565:F565 B567:I573 B575:F575 B577:I584 B586:F586 B588:I591 B593:F593 B595:I598 B601:F601 B603:C606 B522:I524 R74:R95 B171:P192 B227:G227">
    <cfRule type="expression" dxfId="42" priority="6">
      <formula>$B$7="gas"</formula>
    </cfRule>
  </conditionalFormatting>
  <conditionalFormatting sqref="B520:F520">
    <cfRule type="expression" dxfId="41" priority="5">
      <formula>$B$7="gas"</formula>
    </cfRule>
  </conditionalFormatting>
  <conditionalFormatting sqref="B530:C530">
    <cfRule type="expression" dxfId="40" priority="4">
      <formula>$B$7="gas"</formula>
    </cfRule>
  </conditionalFormatting>
  <conditionalFormatting sqref="B531:C531">
    <cfRule type="expression" dxfId="39" priority="3">
      <formula>$B$7="gas"</formula>
    </cfRule>
  </conditionalFormatting>
  <conditionalFormatting sqref="B525:F525">
    <cfRule type="expression" dxfId="38" priority="2">
      <formula>$B$7="gas"</formula>
    </cfRule>
  </conditionalFormatting>
  <conditionalFormatting sqref="B600:F600">
    <cfRule type="expression" dxfId="37" priority="1">
      <formula>$B$7="gas"</formula>
    </cfRule>
  </conditionalFormatting>
  <pageMargins left="0.70866141732283472" right="0.70866141732283472" top="0.74803149606299213" bottom="0.74803149606299213" header="0.31496062992125984" footer="0.31496062992125984"/>
  <pageSetup paperSize="8" scale="27" fitToWidth="2" fitToHeight="2" orientation="portrait" r:id="rId1"/>
  <rowBreaks count="1" manualBreakCount="1">
    <brk id="121"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ublished="0" codeName="Blad13">
    <pageSetUpPr fitToPage="1"/>
  </sheetPr>
  <dimension ref="A1:BC55"/>
  <sheetViews>
    <sheetView showGridLines="0" zoomScale="90" zoomScaleNormal="90" workbookViewId="0">
      <selection activeCell="F35" sqref="F35"/>
    </sheetView>
  </sheetViews>
  <sheetFormatPr defaultColWidth="8.85546875" defaultRowHeight="12.75" x14ac:dyDescent="0.2"/>
  <cols>
    <col min="1" max="1" width="2.85546875" style="360" customWidth="1"/>
    <col min="2" max="2" width="7.140625" style="360" customWidth="1"/>
    <col min="3" max="3" width="32.85546875" style="360" customWidth="1"/>
    <col min="4" max="4" width="48.28515625" style="361" customWidth="1"/>
    <col min="5" max="5" width="20.42578125" style="360" customWidth="1"/>
    <col min="6" max="12" width="20.7109375" style="360" customWidth="1"/>
    <col min="13" max="13" width="2.28515625" style="359" customWidth="1"/>
    <col min="14" max="14" width="25.7109375" style="360" customWidth="1"/>
    <col min="15" max="15" width="2.28515625" style="360" customWidth="1"/>
    <col min="16" max="16" width="25.7109375" style="360" customWidth="1"/>
    <col min="17" max="20" width="10.7109375" style="360" customWidth="1"/>
    <col min="21" max="21" width="10.140625" style="360" customWidth="1"/>
    <col min="22" max="16384" width="8.85546875" style="360"/>
  </cols>
  <sheetData>
    <row r="1" spans="1:55" s="354" customFormat="1" ht="18.75" thickBot="1" x14ac:dyDescent="0.25">
      <c r="A1" s="1232" t="str">
        <f>"TABEL 5C: Werkelijke opbrengsten uit periodieke distributienettarieven in boekjaar "&amp;TITELBLAD!E16&amp;" (elektriciteit - afname)"</f>
        <v>TABEL 5C: Werkelijke opbrengsten uit periodieke distributienettarieven in boekjaar 2021 (elektriciteit - afname)</v>
      </c>
      <c r="B1" s="1233"/>
      <c r="C1" s="1233"/>
      <c r="D1" s="1233"/>
      <c r="E1" s="1233"/>
      <c r="F1" s="1233"/>
      <c r="G1" s="1233"/>
      <c r="H1" s="1233"/>
      <c r="I1" s="1233"/>
      <c r="J1" s="1233"/>
      <c r="K1" s="1233"/>
      <c r="L1" s="1233"/>
      <c r="M1" s="1233"/>
      <c r="N1" s="1233"/>
      <c r="O1" s="1233"/>
      <c r="P1" s="1234"/>
      <c r="Q1" s="519"/>
      <c r="R1" s="355" t="str">
        <f>+TITELBLAD!C10</f>
        <v>gas</v>
      </c>
      <c r="S1" s="355"/>
      <c r="T1" s="355"/>
      <c r="U1" s="355"/>
      <c r="V1" s="519"/>
      <c r="W1" s="519"/>
      <c r="X1" s="519"/>
      <c r="Y1" s="519"/>
      <c r="Z1" s="519"/>
      <c r="AA1" s="519"/>
      <c r="AB1" s="519"/>
      <c r="AC1" s="519"/>
      <c r="AD1" s="519"/>
      <c r="AE1" s="519"/>
      <c r="AF1" s="519"/>
      <c r="AG1" s="519"/>
      <c r="AH1" s="519"/>
      <c r="AI1" s="519"/>
      <c r="AJ1" s="519"/>
      <c r="AK1" s="519"/>
      <c r="AL1" s="519"/>
      <c r="AM1" s="519"/>
      <c r="AN1" s="519"/>
      <c r="AO1" s="519"/>
      <c r="AP1" s="519"/>
      <c r="AQ1" s="519"/>
      <c r="AR1" s="519"/>
      <c r="AS1" s="519"/>
      <c r="AT1" s="519"/>
      <c r="AU1" s="519"/>
      <c r="AV1" s="519"/>
      <c r="AW1" s="519"/>
      <c r="AX1" s="519"/>
      <c r="AY1" s="519"/>
      <c r="AZ1" s="519"/>
      <c r="BA1" s="519"/>
      <c r="BB1" s="519"/>
      <c r="BC1" s="519"/>
    </row>
    <row r="2" spans="1:55" s="356" customFormat="1" ht="11.25" x14ac:dyDescent="0.2">
      <c r="A2" s="234"/>
      <c r="B2" s="234"/>
      <c r="C2" s="234"/>
      <c r="D2" s="234"/>
      <c r="E2" s="518"/>
      <c r="F2" s="518"/>
      <c r="M2" s="745"/>
      <c r="Q2" s="518"/>
      <c r="R2" s="357" t="str">
        <f>+TITELBLAD!B16</f>
        <v>Rapportering over boekjaar:</v>
      </c>
      <c r="S2" s="357"/>
      <c r="T2" s="357">
        <f>+TITELBLAD!E16</f>
        <v>2021</v>
      </c>
      <c r="U2" s="357" t="str">
        <f>+TITELBLAD!F16</f>
        <v>ex-ante</v>
      </c>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row>
    <row r="3" spans="1:55" s="167" customFormat="1" x14ac:dyDescent="0.2">
      <c r="A3" s="296"/>
      <c r="B3" s="296"/>
      <c r="C3" s="296"/>
      <c r="D3" s="296"/>
      <c r="E3" s="296"/>
      <c r="F3" s="296"/>
      <c r="M3" s="74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296"/>
      <c r="AY3" s="296"/>
      <c r="AZ3" s="296"/>
      <c r="BA3" s="296"/>
      <c r="BB3" s="296"/>
      <c r="BC3" s="296"/>
    </row>
    <row r="4" spans="1:55" s="167" customFormat="1" x14ac:dyDescent="0.2">
      <c r="B4" s="358" t="s">
        <v>124</v>
      </c>
      <c r="M4" s="74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296"/>
      <c r="BA4" s="296"/>
      <c r="BB4" s="296"/>
      <c r="BC4" s="296"/>
    </row>
    <row r="5" spans="1:55" s="167" customFormat="1" x14ac:dyDescent="0.2">
      <c r="B5" s="1314" t="s">
        <v>261</v>
      </c>
      <c r="C5" s="1314"/>
      <c r="D5" s="1314"/>
      <c r="E5" s="1314"/>
      <c r="F5" s="1314"/>
      <c r="G5" s="982"/>
      <c r="H5" s="982"/>
      <c r="I5" s="982"/>
      <c r="J5" s="982"/>
      <c r="K5" s="982"/>
      <c r="M5" s="74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6"/>
      <c r="AT5" s="296"/>
      <c r="AU5" s="296"/>
      <c r="AV5" s="296"/>
      <c r="AW5" s="296"/>
      <c r="AX5" s="296"/>
      <c r="AY5" s="296"/>
      <c r="AZ5" s="296"/>
      <c r="BA5" s="296"/>
      <c r="BB5" s="296"/>
      <c r="BC5" s="296"/>
    </row>
    <row r="6" spans="1:55" s="167" customFormat="1" x14ac:dyDescent="0.2">
      <c r="B6" s="1314"/>
      <c r="C6" s="1314"/>
      <c r="D6" s="1314"/>
      <c r="E6" s="1314"/>
      <c r="F6" s="1314"/>
      <c r="G6" s="982"/>
      <c r="H6" s="982"/>
      <c r="I6" s="982"/>
      <c r="J6" s="982"/>
      <c r="K6" s="982"/>
      <c r="M6" s="746"/>
      <c r="Q6" s="296"/>
      <c r="R6" s="296"/>
      <c r="S6" s="296"/>
      <c r="T6" s="296"/>
      <c r="U6" s="296"/>
      <c r="V6" s="296"/>
      <c r="W6" s="296"/>
      <c r="X6" s="296"/>
      <c r="Y6" s="296"/>
      <c r="Z6" s="296"/>
      <c r="AA6" s="296"/>
      <c r="AB6" s="296"/>
      <c r="AC6" s="296"/>
      <c r="AD6" s="296"/>
      <c r="AE6" s="296"/>
      <c r="AF6" s="296"/>
      <c r="AG6" s="296"/>
      <c r="AH6" s="296"/>
      <c r="AI6" s="296"/>
      <c r="AJ6" s="296"/>
      <c r="AK6" s="296"/>
      <c r="AL6" s="296"/>
      <c r="AM6" s="296"/>
      <c r="AN6" s="296"/>
      <c r="AO6" s="296"/>
      <c r="AP6" s="296"/>
      <c r="AQ6" s="296"/>
      <c r="AR6" s="296"/>
      <c r="AS6" s="296"/>
      <c r="AT6" s="296"/>
      <c r="AU6" s="296"/>
      <c r="AV6" s="296"/>
      <c r="AW6" s="296"/>
      <c r="AX6" s="296"/>
      <c r="AY6" s="296"/>
      <c r="AZ6" s="296"/>
      <c r="BA6" s="296"/>
      <c r="BB6" s="296"/>
      <c r="BC6" s="296"/>
    </row>
    <row r="7" spans="1:55" s="167" customFormat="1" x14ac:dyDescent="0.2">
      <c r="B7" s="1314"/>
      <c r="C7" s="1314"/>
      <c r="D7" s="1314"/>
      <c r="E7" s="1314"/>
      <c r="F7" s="1314"/>
      <c r="G7" s="982"/>
      <c r="H7" s="982"/>
      <c r="I7" s="982"/>
      <c r="J7" s="982"/>
      <c r="K7" s="982"/>
      <c r="M7" s="74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c r="AP7" s="296"/>
      <c r="AQ7" s="296"/>
      <c r="AR7" s="296"/>
      <c r="AS7" s="296"/>
      <c r="AT7" s="296"/>
      <c r="AU7" s="296"/>
      <c r="AV7" s="296"/>
      <c r="AW7" s="296"/>
      <c r="AX7" s="296"/>
      <c r="AY7" s="296"/>
      <c r="AZ7" s="296"/>
      <c r="BA7" s="296"/>
      <c r="BB7" s="296"/>
      <c r="BC7" s="296"/>
    </row>
    <row r="8" spans="1:55" s="167" customFormat="1" x14ac:dyDescent="0.2">
      <c r="B8" s="1314"/>
      <c r="C8" s="1314"/>
      <c r="D8" s="1314"/>
      <c r="E8" s="1314"/>
      <c r="F8" s="1314"/>
      <c r="G8" s="982"/>
      <c r="H8" s="982"/>
      <c r="I8" s="982"/>
      <c r="J8" s="982"/>
      <c r="K8" s="982"/>
      <c r="M8" s="74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6"/>
      <c r="AP8" s="296"/>
      <c r="AQ8" s="296"/>
      <c r="AR8" s="296"/>
      <c r="AS8" s="296"/>
      <c r="AT8" s="296"/>
      <c r="AU8" s="296"/>
      <c r="AV8" s="296"/>
      <c r="AW8" s="296"/>
      <c r="AX8" s="296"/>
      <c r="AY8" s="296"/>
      <c r="AZ8" s="296"/>
      <c r="BA8" s="296"/>
      <c r="BB8" s="296"/>
      <c r="BC8" s="296"/>
    </row>
    <row r="9" spans="1:55" s="167" customFormat="1" x14ac:dyDescent="0.2">
      <c r="B9" s="1314"/>
      <c r="C9" s="1314"/>
      <c r="D9" s="1314"/>
      <c r="E9" s="1314"/>
      <c r="F9" s="1314"/>
      <c r="G9" s="982"/>
      <c r="H9" s="982"/>
      <c r="I9" s="982"/>
      <c r="J9" s="982"/>
      <c r="K9" s="982"/>
      <c r="M9" s="74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296"/>
      <c r="AP9" s="296"/>
      <c r="AQ9" s="296"/>
      <c r="AR9" s="296"/>
      <c r="AS9" s="296"/>
      <c r="AT9" s="296"/>
      <c r="AU9" s="296"/>
      <c r="AV9" s="296"/>
      <c r="AW9" s="296"/>
      <c r="AX9" s="296"/>
      <c r="AY9" s="296"/>
      <c r="AZ9" s="296"/>
      <c r="BA9" s="296"/>
      <c r="BB9" s="296"/>
      <c r="BC9" s="296"/>
    </row>
    <row r="10" spans="1:55" s="167" customFormat="1" x14ac:dyDescent="0.2">
      <c r="B10" s="1314"/>
      <c r="C10" s="1314"/>
      <c r="D10" s="1314"/>
      <c r="E10" s="1314"/>
      <c r="F10" s="1314"/>
      <c r="G10" s="982"/>
      <c r="H10" s="982"/>
      <c r="I10" s="982"/>
      <c r="J10" s="982"/>
      <c r="K10" s="982"/>
      <c r="M10" s="74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96"/>
      <c r="BC10" s="296"/>
    </row>
    <row r="11" spans="1:55" s="167" customFormat="1" x14ac:dyDescent="0.2">
      <c r="B11" s="1314"/>
      <c r="C11" s="1314"/>
      <c r="D11" s="1314"/>
      <c r="E11" s="1314"/>
      <c r="F11" s="1314"/>
      <c r="G11" s="982"/>
      <c r="H11" s="982"/>
      <c r="I11" s="982"/>
      <c r="J11" s="982"/>
      <c r="K11" s="982"/>
      <c r="M11" s="74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6"/>
      <c r="AQ11" s="296"/>
      <c r="AR11" s="296"/>
      <c r="AS11" s="296"/>
      <c r="AT11" s="296"/>
      <c r="AU11" s="296"/>
      <c r="AV11" s="296"/>
      <c r="AW11" s="296"/>
      <c r="AX11" s="296"/>
      <c r="AY11" s="296"/>
      <c r="AZ11" s="296"/>
      <c r="BA11" s="296"/>
      <c r="BB11" s="296"/>
      <c r="BC11" s="296"/>
    </row>
    <row r="12" spans="1:55" s="167" customFormat="1" x14ac:dyDescent="0.2">
      <c r="B12" s="1314"/>
      <c r="C12" s="1314"/>
      <c r="D12" s="1314"/>
      <c r="E12" s="1314"/>
      <c r="F12" s="1314"/>
      <c r="G12" s="982"/>
      <c r="H12" s="982"/>
      <c r="I12" s="982"/>
      <c r="J12" s="982"/>
      <c r="K12" s="982"/>
      <c r="M12" s="74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296"/>
      <c r="BC12" s="296"/>
    </row>
    <row r="13" spans="1:55" s="167" customFormat="1" x14ac:dyDescent="0.2">
      <c r="M13" s="74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6"/>
      <c r="AQ13" s="296"/>
      <c r="AR13" s="296"/>
      <c r="AS13" s="296"/>
      <c r="AT13" s="296"/>
      <c r="AU13" s="296"/>
      <c r="AV13" s="296"/>
      <c r="AW13" s="296"/>
      <c r="AX13" s="296"/>
      <c r="AY13" s="296"/>
      <c r="AZ13" s="296"/>
      <c r="BA13" s="296"/>
      <c r="BB13" s="296"/>
      <c r="BC13" s="296"/>
    </row>
    <row r="14" spans="1:55" ht="13.5" thickBot="1" x14ac:dyDescent="0.25">
      <c r="A14" s="359"/>
      <c r="Q14" s="520"/>
      <c r="R14" s="520"/>
      <c r="S14" s="520"/>
      <c r="T14" s="518"/>
      <c r="U14" s="518"/>
      <c r="V14" s="520"/>
      <c r="W14" s="520"/>
      <c r="X14" s="520"/>
      <c r="Y14" s="520"/>
      <c r="Z14" s="520"/>
      <c r="AA14" s="520"/>
      <c r="AB14" s="520"/>
      <c r="AC14" s="520"/>
      <c r="AD14" s="520"/>
      <c r="AE14" s="520"/>
      <c r="AF14" s="520"/>
      <c r="AG14" s="520"/>
      <c r="AH14" s="520"/>
      <c r="AI14" s="520"/>
      <c r="AJ14" s="520"/>
      <c r="AK14" s="520"/>
      <c r="AL14" s="520"/>
      <c r="AM14" s="520"/>
      <c r="AN14" s="520"/>
      <c r="AO14" s="520"/>
      <c r="AP14" s="520"/>
      <c r="AQ14" s="520"/>
      <c r="AR14" s="520"/>
      <c r="AS14" s="520"/>
      <c r="AT14" s="520"/>
      <c r="AU14" s="520"/>
      <c r="AV14" s="520"/>
      <c r="AW14" s="520"/>
      <c r="AX14" s="520"/>
      <c r="AY14" s="520"/>
      <c r="AZ14" s="520"/>
      <c r="BA14" s="520"/>
      <c r="BB14" s="520"/>
      <c r="BC14" s="520"/>
    </row>
    <row r="15" spans="1:55" s="366" customFormat="1" ht="75.75" customHeight="1" thickBot="1" x14ac:dyDescent="0.25">
      <c r="A15" s="362"/>
      <c r="B15" s="363"/>
      <c r="C15" s="363"/>
      <c r="D15" s="364"/>
      <c r="E15" s="94"/>
      <c r="F15" s="1315" t="str">
        <f>"Werkelijke opbrengsten uit periodieke distributienettarieven in boekjaar "&amp;TITELBLAD!E16&amp;" (elektriciteit- afname)"</f>
        <v>Werkelijke opbrengsten uit periodieke distributienettarieven in boekjaar 2021 (elektriciteit- afname)</v>
      </c>
      <c r="G15" s="1316"/>
      <c r="H15" s="1316"/>
      <c r="I15" s="1316"/>
      <c r="J15" s="1316"/>
      <c r="K15" s="1317"/>
      <c r="L15" s="726" t="s">
        <v>116</v>
      </c>
      <c r="M15" s="739"/>
      <c r="N15" s="125" t="str">
        <f>"Werkelijke opbrengsten m.b.t. endogene kosten in boekjaar "&amp;TITELBLAD!E16&amp;" (elektriciteit-afname)"</f>
        <v>Werkelijke opbrengsten m.b.t. endogene kosten in boekjaar 2021 (elektriciteit-afname)</v>
      </c>
      <c r="O15" s="365"/>
      <c r="P15" s="125" t="str">
        <f>"Werkelijke opbrengsten m.b.t. exogene kosten in boekjaar "&amp;TITELBLAD!E16&amp;" (elektriciteit-afname)"</f>
        <v>Werkelijke opbrengsten m.b.t. exogene kosten in boekjaar 2021 (elektriciteit-afname)</v>
      </c>
      <c r="Q15" s="521"/>
      <c r="R15" s="521"/>
      <c r="S15" s="521"/>
      <c r="T15" s="521"/>
      <c r="U15" s="522"/>
      <c r="V15" s="522"/>
      <c r="W15" s="522"/>
      <c r="X15" s="522"/>
      <c r="Y15" s="522"/>
      <c r="Z15" s="522"/>
      <c r="AA15" s="522"/>
      <c r="AB15" s="522"/>
      <c r="AC15" s="522"/>
      <c r="AD15" s="522"/>
      <c r="AE15" s="522"/>
      <c r="AF15" s="522"/>
      <c r="AG15" s="522"/>
      <c r="AH15" s="522"/>
      <c r="AI15" s="522"/>
      <c r="AJ15" s="522"/>
      <c r="AK15" s="522"/>
      <c r="AL15" s="522"/>
      <c r="AM15" s="522"/>
      <c r="AN15" s="522"/>
      <c r="AO15" s="522"/>
      <c r="AP15" s="522"/>
      <c r="AQ15" s="522"/>
      <c r="AR15" s="522"/>
      <c r="AS15" s="522"/>
      <c r="AT15" s="522"/>
      <c r="AU15" s="522"/>
      <c r="AV15" s="522"/>
      <c r="AW15" s="522"/>
      <c r="AX15" s="522"/>
      <c r="AY15" s="522"/>
      <c r="AZ15" s="522"/>
      <c r="BA15" s="522"/>
      <c r="BB15" s="522"/>
      <c r="BC15" s="522"/>
    </row>
    <row r="16" spans="1:55" s="349" customFormat="1" ht="27" customHeight="1" thickBot="1" x14ac:dyDescent="0.25">
      <c r="A16" s="346"/>
      <c r="B16" s="347"/>
      <c r="C16" s="347"/>
      <c r="D16" s="348"/>
      <c r="F16" s="350" t="s">
        <v>252</v>
      </c>
      <c r="G16" s="351" t="s">
        <v>253</v>
      </c>
      <c r="H16" s="351" t="s">
        <v>254</v>
      </c>
      <c r="I16" s="351" t="s">
        <v>255</v>
      </c>
      <c r="J16" s="351" t="s">
        <v>256</v>
      </c>
      <c r="K16" s="352" t="s">
        <v>20</v>
      </c>
      <c r="L16" s="727"/>
      <c r="M16" s="747"/>
      <c r="N16" s="725" t="s">
        <v>380</v>
      </c>
      <c r="P16" s="725" t="s">
        <v>381</v>
      </c>
      <c r="Q16" s="523"/>
      <c r="R16" s="523"/>
      <c r="S16" s="523"/>
      <c r="T16" s="523"/>
      <c r="U16" s="523"/>
      <c r="V16" s="523"/>
      <c r="W16" s="523"/>
      <c r="X16" s="523"/>
      <c r="Y16" s="523"/>
      <c r="Z16" s="523"/>
      <c r="AA16" s="523"/>
      <c r="AB16" s="523"/>
      <c r="AC16" s="523"/>
      <c r="AD16" s="523"/>
      <c r="AE16" s="523"/>
      <c r="AF16" s="523"/>
      <c r="AG16" s="523"/>
      <c r="AH16" s="523"/>
      <c r="AI16" s="523"/>
      <c r="AJ16" s="523"/>
      <c r="AK16" s="523"/>
      <c r="AL16" s="523"/>
      <c r="AM16" s="523"/>
      <c r="AN16" s="523"/>
      <c r="AO16" s="523"/>
      <c r="AP16" s="523"/>
      <c r="AQ16" s="523"/>
      <c r="AR16" s="523"/>
      <c r="AS16" s="523"/>
      <c r="AT16" s="523"/>
      <c r="AU16" s="523"/>
      <c r="AV16" s="523"/>
      <c r="AW16" s="523"/>
      <c r="AX16" s="523"/>
      <c r="AY16" s="523"/>
      <c r="AZ16" s="523"/>
      <c r="BA16" s="523"/>
      <c r="BB16" s="523"/>
      <c r="BC16" s="523"/>
    </row>
    <row r="17" spans="1:16" s="96" customFormat="1" ht="16.5" customHeight="1" x14ac:dyDescent="0.2">
      <c r="A17" s="367" t="s">
        <v>77</v>
      </c>
      <c r="B17" s="368" t="s">
        <v>78</v>
      </c>
      <c r="C17" s="368"/>
      <c r="D17" s="369"/>
      <c r="F17" s="370">
        <f t="shared" ref="F17:K17" si="0">SUM(F18,F21,F24)</f>
        <v>0</v>
      </c>
      <c r="G17" s="371">
        <f t="shared" si="0"/>
        <v>0</v>
      </c>
      <c r="H17" s="371">
        <f t="shared" si="0"/>
        <v>0</v>
      </c>
      <c r="I17" s="371">
        <f t="shared" si="0"/>
        <v>0</v>
      </c>
      <c r="J17" s="371">
        <f t="shared" si="0"/>
        <v>0</v>
      </c>
      <c r="K17" s="372">
        <f t="shared" si="0"/>
        <v>0</v>
      </c>
      <c r="L17" s="728"/>
      <c r="M17" s="748"/>
      <c r="N17" s="374">
        <f>SUM(N18,N21,N24)</f>
        <v>0</v>
      </c>
      <c r="O17" s="373"/>
      <c r="P17" s="374">
        <f>SUM(P18,P21,P24)</f>
        <v>0</v>
      </c>
    </row>
    <row r="18" spans="1:16" s="96" customFormat="1" ht="16.5" customHeight="1" x14ac:dyDescent="0.2">
      <c r="A18" s="367"/>
      <c r="B18" s="368" t="s">
        <v>79</v>
      </c>
      <c r="C18" s="368" t="s">
        <v>257</v>
      </c>
      <c r="D18" s="369"/>
      <c r="F18" s="1011">
        <v>0</v>
      </c>
      <c r="G18" s="1012">
        <v>0</v>
      </c>
      <c r="H18" s="1012">
        <v>0</v>
      </c>
      <c r="I18" s="1012">
        <v>0</v>
      </c>
      <c r="J18" s="1012">
        <v>0</v>
      </c>
      <c r="K18" s="353">
        <f>SUM(F18:J18)</f>
        <v>0</v>
      </c>
      <c r="L18" s="1013">
        <v>0</v>
      </c>
      <c r="M18" s="749"/>
      <c r="N18" s="144">
        <f>K18*L18</f>
        <v>0</v>
      </c>
      <c r="O18" s="373"/>
      <c r="P18" s="144">
        <f>K18-N18</f>
        <v>0</v>
      </c>
    </row>
    <row r="19" spans="1:16" s="96" customFormat="1" ht="16.5" customHeight="1" x14ac:dyDescent="0.2">
      <c r="A19" s="375"/>
      <c r="B19" s="368"/>
      <c r="C19" s="368"/>
      <c r="D19" s="376"/>
      <c r="E19" s="377"/>
      <c r="F19" s="378"/>
      <c r="G19" s="379"/>
      <c r="H19" s="379"/>
      <c r="I19" s="379"/>
      <c r="J19" s="379"/>
      <c r="K19" s="380"/>
      <c r="L19" s="729"/>
      <c r="M19" s="750"/>
      <c r="N19" s="381"/>
      <c r="O19" s="373"/>
      <c r="P19" s="381"/>
    </row>
    <row r="20" spans="1:16" s="96" customFormat="1" ht="16.5" customHeight="1" x14ac:dyDescent="0.2">
      <c r="A20" s="375"/>
      <c r="B20" s="368"/>
      <c r="C20" s="368"/>
      <c r="D20" s="376"/>
      <c r="E20" s="377"/>
      <c r="F20" s="378"/>
      <c r="G20" s="379"/>
      <c r="H20" s="379"/>
      <c r="I20" s="379"/>
      <c r="J20" s="379"/>
      <c r="K20" s="380"/>
      <c r="L20" s="729"/>
      <c r="M20" s="750"/>
      <c r="N20" s="381"/>
      <c r="O20" s="373"/>
      <c r="P20" s="381"/>
    </row>
    <row r="21" spans="1:16" s="96" customFormat="1" ht="16.5" customHeight="1" x14ac:dyDescent="0.2">
      <c r="A21" s="375"/>
      <c r="B21" s="368" t="s">
        <v>80</v>
      </c>
      <c r="C21" s="368" t="s">
        <v>258</v>
      </c>
      <c r="D21" s="382"/>
      <c r="E21" s="377"/>
      <c r="F21" s="1011">
        <v>0</v>
      </c>
      <c r="G21" s="1012">
        <v>0</v>
      </c>
      <c r="H21" s="1012">
        <v>0</v>
      </c>
      <c r="I21" s="1012">
        <v>0</v>
      </c>
      <c r="J21" s="1012">
        <v>0</v>
      </c>
      <c r="K21" s="353">
        <f>SUM(F21:J21)</f>
        <v>0</v>
      </c>
      <c r="L21" s="1013">
        <v>0</v>
      </c>
      <c r="M21" s="749"/>
      <c r="N21" s="144">
        <f>K21*L21</f>
        <v>0</v>
      </c>
      <c r="O21" s="373"/>
      <c r="P21" s="144">
        <f>K21-N21</f>
        <v>0</v>
      </c>
    </row>
    <row r="22" spans="1:16" s="96" customFormat="1" ht="16.5" customHeight="1" x14ac:dyDescent="0.2">
      <c r="A22" s="375"/>
      <c r="B22" s="368"/>
      <c r="C22" s="383"/>
      <c r="D22" s="384"/>
      <c r="E22" s="377"/>
      <c r="F22" s="385"/>
      <c r="G22" s="386"/>
      <c r="H22" s="386"/>
      <c r="I22" s="386"/>
      <c r="J22" s="386"/>
      <c r="K22" s="387"/>
      <c r="L22" s="730"/>
      <c r="M22" s="751"/>
      <c r="N22" s="388"/>
      <c r="O22" s="373"/>
      <c r="P22" s="388"/>
    </row>
    <row r="23" spans="1:16" s="96" customFormat="1" ht="16.5" customHeight="1" x14ac:dyDescent="0.2">
      <c r="A23" s="375"/>
      <c r="B23" s="368"/>
      <c r="C23" s="383"/>
      <c r="D23" s="382"/>
      <c r="E23" s="377"/>
      <c r="F23" s="378"/>
      <c r="G23" s="379"/>
      <c r="H23" s="379"/>
      <c r="I23" s="379"/>
      <c r="J23" s="379"/>
      <c r="K23" s="380"/>
      <c r="L23" s="729"/>
      <c r="M23" s="750"/>
      <c r="N23" s="381"/>
      <c r="O23" s="373"/>
      <c r="P23" s="381"/>
    </row>
    <row r="24" spans="1:16" s="96" customFormat="1" ht="16.5" customHeight="1" x14ac:dyDescent="0.2">
      <c r="A24" s="375"/>
      <c r="B24" s="368" t="s">
        <v>81</v>
      </c>
      <c r="C24" s="368" t="s">
        <v>259</v>
      </c>
      <c r="D24" s="382"/>
      <c r="E24" s="377"/>
      <c r="F24" s="1011">
        <v>0</v>
      </c>
      <c r="G24" s="1012">
        <v>0</v>
      </c>
      <c r="H24" s="1012">
        <v>0</v>
      </c>
      <c r="I24" s="1012">
        <v>0</v>
      </c>
      <c r="J24" s="1012">
        <v>0</v>
      </c>
      <c r="K24" s="353">
        <f>SUM(F24:J24)</f>
        <v>0</v>
      </c>
      <c r="L24" s="1013">
        <v>0</v>
      </c>
      <c r="M24" s="749"/>
      <c r="N24" s="144">
        <f>K24*L24</f>
        <v>0</v>
      </c>
      <c r="O24" s="373"/>
      <c r="P24" s="144">
        <f>K24-N24</f>
        <v>0</v>
      </c>
    </row>
    <row r="25" spans="1:16" s="394" customFormat="1" ht="16.5" customHeight="1" x14ac:dyDescent="0.2">
      <c r="A25" s="389"/>
      <c r="B25" s="390"/>
      <c r="C25" s="391"/>
      <c r="D25" s="384"/>
      <c r="E25" s="392"/>
      <c r="F25" s="385"/>
      <c r="G25" s="386"/>
      <c r="H25" s="386"/>
      <c r="I25" s="386"/>
      <c r="J25" s="386"/>
      <c r="K25" s="387"/>
      <c r="L25" s="730"/>
      <c r="M25" s="751"/>
      <c r="N25" s="388"/>
      <c r="O25" s="393"/>
      <c r="P25" s="388"/>
    </row>
    <row r="26" spans="1:16" s="394" customFormat="1" ht="16.5" customHeight="1" x14ac:dyDescent="0.2">
      <c r="A26" s="389"/>
      <c r="B26" s="390"/>
      <c r="C26" s="391"/>
      <c r="D26" s="395"/>
      <c r="E26" s="392"/>
      <c r="F26" s="396"/>
      <c r="G26" s="397"/>
      <c r="H26" s="397"/>
      <c r="I26" s="397"/>
      <c r="J26" s="397"/>
      <c r="K26" s="398"/>
      <c r="L26" s="731"/>
      <c r="M26" s="752"/>
      <c r="N26" s="399"/>
      <c r="O26" s="393"/>
      <c r="P26" s="399"/>
    </row>
    <row r="27" spans="1:16" s="96" customFormat="1" ht="16.5" customHeight="1" x14ac:dyDescent="0.2">
      <c r="A27" s="367" t="s">
        <v>82</v>
      </c>
      <c r="B27" s="368" t="s">
        <v>83</v>
      </c>
      <c r="C27" s="368"/>
      <c r="D27" s="400"/>
      <c r="F27" s="1015">
        <v>0</v>
      </c>
      <c r="G27" s="1016">
        <v>0</v>
      </c>
      <c r="H27" s="1016">
        <v>0</v>
      </c>
      <c r="I27" s="1016">
        <v>0</v>
      </c>
      <c r="J27" s="1016">
        <v>0</v>
      </c>
      <c r="K27" s="353">
        <f>SUM(F27:J27)</f>
        <v>0</v>
      </c>
      <c r="L27" s="1014">
        <v>0</v>
      </c>
      <c r="M27" s="748"/>
      <c r="N27" s="143">
        <f>K27*L27</f>
        <v>0</v>
      </c>
      <c r="O27" s="373"/>
      <c r="P27" s="143">
        <f>K27-N27</f>
        <v>0</v>
      </c>
    </row>
    <row r="28" spans="1:16" s="96" customFormat="1" ht="16.5" customHeight="1" x14ac:dyDescent="0.2">
      <c r="A28" s="375"/>
      <c r="B28" s="368"/>
      <c r="C28" s="1322"/>
      <c r="D28" s="1323"/>
      <c r="E28" s="401"/>
      <c r="F28" s="343"/>
      <c r="G28" s="344"/>
      <c r="H28" s="344"/>
      <c r="I28" s="344"/>
      <c r="J28" s="344"/>
      <c r="K28" s="353"/>
      <c r="L28" s="732"/>
      <c r="M28" s="749"/>
      <c r="N28" s="144"/>
      <c r="O28" s="373"/>
      <c r="P28" s="144"/>
    </row>
    <row r="29" spans="1:16" s="96" customFormat="1" ht="16.5" customHeight="1" x14ac:dyDescent="0.2">
      <c r="A29" s="375"/>
      <c r="B29" s="368"/>
      <c r="C29" s="1322"/>
      <c r="D29" s="1323"/>
      <c r="E29" s="401"/>
      <c r="F29" s="385"/>
      <c r="G29" s="386"/>
      <c r="H29" s="386"/>
      <c r="I29" s="386"/>
      <c r="J29" s="386"/>
      <c r="K29" s="387"/>
      <c r="L29" s="730"/>
      <c r="M29" s="751"/>
      <c r="N29" s="388"/>
      <c r="O29" s="373"/>
      <c r="P29" s="388"/>
    </row>
    <row r="30" spans="1:16" s="96" customFormat="1" ht="16.5" customHeight="1" x14ac:dyDescent="0.2">
      <c r="A30" s="367" t="s">
        <v>84</v>
      </c>
      <c r="B30" s="368" t="s">
        <v>85</v>
      </c>
      <c r="C30" s="368"/>
      <c r="D30" s="400"/>
      <c r="F30" s="402">
        <f t="shared" ref="F30:K30" si="1">SUM(F31,F33,F35)</f>
        <v>0</v>
      </c>
      <c r="G30" s="403">
        <f t="shared" si="1"/>
        <v>0</v>
      </c>
      <c r="H30" s="403">
        <f t="shared" si="1"/>
        <v>0</v>
      </c>
      <c r="I30" s="403">
        <f t="shared" si="1"/>
        <v>0</v>
      </c>
      <c r="J30" s="403">
        <f t="shared" si="1"/>
        <v>0</v>
      </c>
      <c r="K30" s="353">
        <f t="shared" si="1"/>
        <v>0</v>
      </c>
      <c r="L30" s="730"/>
      <c r="M30" s="751"/>
      <c r="N30" s="143">
        <f>SUM(N31,N33,N35)</f>
        <v>0</v>
      </c>
      <c r="O30" s="373"/>
      <c r="P30" s="143">
        <f>SUM(P31,P33,P35)</f>
        <v>0</v>
      </c>
    </row>
    <row r="31" spans="1:16" s="96" customFormat="1" ht="16.5" customHeight="1" x14ac:dyDescent="0.2">
      <c r="A31" s="375"/>
      <c r="B31" s="368" t="s">
        <v>86</v>
      </c>
      <c r="C31" s="368" t="s">
        <v>89</v>
      </c>
      <c r="D31" s="404"/>
      <c r="E31" s="401"/>
      <c r="F31" s="1011">
        <v>0</v>
      </c>
      <c r="G31" s="1012">
        <v>0</v>
      </c>
      <c r="H31" s="1012">
        <v>0</v>
      </c>
      <c r="I31" s="1012">
        <v>0</v>
      </c>
      <c r="J31" s="1012">
        <v>0</v>
      </c>
      <c r="K31" s="353">
        <f>SUM(F31:J31)</f>
        <v>0</v>
      </c>
      <c r="L31" s="1013">
        <v>0</v>
      </c>
      <c r="M31" s="749"/>
      <c r="N31" s="144">
        <f>K31*L31</f>
        <v>0</v>
      </c>
      <c r="O31" s="373"/>
      <c r="P31" s="144">
        <f>K31-N31</f>
        <v>0</v>
      </c>
    </row>
    <row r="32" spans="1:16" s="96" customFormat="1" ht="16.5" customHeight="1" x14ac:dyDescent="0.2">
      <c r="A32" s="375"/>
      <c r="B32" s="368"/>
      <c r="C32" s="368"/>
      <c r="D32" s="384"/>
      <c r="E32" s="401"/>
      <c r="F32" s="385"/>
      <c r="G32" s="386"/>
      <c r="H32" s="386"/>
      <c r="I32" s="386"/>
      <c r="J32" s="386"/>
      <c r="K32" s="387"/>
      <c r="L32" s="730"/>
      <c r="M32" s="751"/>
      <c r="N32" s="388"/>
      <c r="O32" s="373"/>
      <c r="P32" s="388"/>
    </row>
    <row r="33" spans="1:20" s="96" customFormat="1" ht="16.5" customHeight="1" x14ac:dyDescent="0.2">
      <c r="A33" s="375"/>
      <c r="B33" s="368" t="s">
        <v>88</v>
      </c>
      <c r="C33" s="368" t="s">
        <v>87</v>
      </c>
      <c r="D33" s="400"/>
      <c r="F33" s="1011">
        <v>0</v>
      </c>
      <c r="G33" s="1012">
        <v>0</v>
      </c>
      <c r="H33" s="1012">
        <v>0</v>
      </c>
      <c r="I33" s="1012">
        <v>0</v>
      </c>
      <c r="J33" s="1012">
        <v>0</v>
      </c>
      <c r="K33" s="353">
        <f>SUM(F33:J33)</f>
        <v>0</v>
      </c>
      <c r="L33" s="1013">
        <v>0</v>
      </c>
      <c r="M33" s="749"/>
      <c r="N33" s="144">
        <f>K33*L33</f>
        <v>0</v>
      </c>
      <c r="O33" s="373"/>
      <c r="P33" s="144">
        <f>K33-N33</f>
        <v>0</v>
      </c>
    </row>
    <row r="34" spans="1:20" s="96" customFormat="1" ht="16.5" customHeight="1" x14ac:dyDescent="0.2">
      <c r="A34" s="375"/>
      <c r="B34" s="368"/>
      <c r="C34" s="368"/>
      <c r="D34" s="384"/>
      <c r="E34" s="401"/>
      <c r="F34" s="385"/>
      <c r="G34" s="386"/>
      <c r="H34" s="386"/>
      <c r="I34" s="386"/>
      <c r="J34" s="386"/>
      <c r="K34" s="387"/>
      <c r="L34" s="730"/>
      <c r="M34" s="751"/>
      <c r="N34" s="388"/>
      <c r="O34" s="373"/>
      <c r="P34" s="388"/>
    </row>
    <row r="35" spans="1:20" s="96" customFormat="1" ht="16.5" customHeight="1" x14ac:dyDescent="0.2">
      <c r="A35" s="405"/>
      <c r="B35" s="406" t="s">
        <v>115</v>
      </c>
      <c r="C35" s="406" t="s">
        <v>114</v>
      </c>
      <c r="D35" s="407"/>
      <c r="F35" s="408"/>
      <c r="G35" s="409"/>
      <c r="H35" s="409"/>
      <c r="I35" s="409"/>
      <c r="J35" s="409"/>
      <c r="K35" s="410"/>
      <c r="L35" s="733"/>
      <c r="M35" s="749"/>
      <c r="N35" s="411"/>
      <c r="O35" s="373"/>
      <c r="P35" s="411"/>
    </row>
    <row r="36" spans="1:20" s="96" customFormat="1" ht="16.5" customHeight="1" x14ac:dyDescent="0.2">
      <c r="A36" s="375"/>
      <c r="B36" s="412"/>
      <c r="C36" s="412"/>
      <c r="D36" s="384"/>
      <c r="F36" s="385"/>
      <c r="G36" s="386"/>
      <c r="H36" s="386"/>
      <c r="I36" s="386"/>
      <c r="J36" s="386"/>
      <c r="K36" s="387"/>
      <c r="L36" s="730"/>
      <c r="M36" s="751"/>
      <c r="N36" s="388"/>
      <c r="O36" s="373"/>
      <c r="P36" s="388"/>
    </row>
    <row r="37" spans="1:20" s="96" customFormat="1" ht="16.5" customHeight="1" x14ac:dyDescent="0.2">
      <c r="A37" s="375"/>
      <c r="B37" s="412"/>
      <c r="C37" s="413"/>
      <c r="D37" s="404"/>
      <c r="E37" s="414"/>
      <c r="F37" s="415"/>
      <c r="G37" s="416"/>
      <c r="H37" s="416"/>
      <c r="I37" s="416"/>
      <c r="J37" s="416"/>
      <c r="K37" s="417"/>
      <c r="L37" s="729"/>
      <c r="M37" s="750"/>
      <c r="N37" s="418"/>
      <c r="O37" s="373"/>
      <c r="P37" s="418"/>
    </row>
    <row r="38" spans="1:20" s="96" customFormat="1" ht="16.5" customHeight="1" x14ac:dyDescent="0.2">
      <c r="A38" s="367" t="s">
        <v>90</v>
      </c>
      <c r="B38" s="368" t="s">
        <v>91</v>
      </c>
      <c r="C38" s="368"/>
      <c r="D38" s="404"/>
      <c r="F38" s="1015">
        <v>0</v>
      </c>
      <c r="G38" s="1016">
        <v>0</v>
      </c>
      <c r="H38" s="1016">
        <v>0</v>
      </c>
      <c r="I38" s="1016">
        <v>0</v>
      </c>
      <c r="J38" s="1016">
        <v>0</v>
      </c>
      <c r="K38" s="353">
        <f>SUM(F38:J38)</f>
        <v>0</v>
      </c>
      <c r="L38" s="1014">
        <v>0</v>
      </c>
      <c r="M38" s="748"/>
      <c r="N38" s="143">
        <f>K38*L38</f>
        <v>0</v>
      </c>
      <c r="O38" s="373"/>
      <c r="P38" s="143">
        <f>K38-N38</f>
        <v>0</v>
      </c>
    </row>
    <row r="39" spans="1:20" s="96" customFormat="1" ht="16.5" customHeight="1" x14ac:dyDescent="0.2">
      <c r="A39" s="419"/>
      <c r="B39" s="97"/>
      <c r="C39" s="1324"/>
      <c r="D39" s="1325"/>
      <c r="F39" s="343"/>
      <c r="G39" s="344"/>
      <c r="H39" s="344"/>
      <c r="I39" s="344"/>
      <c r="J39" s="344"/>
      <c r="K39" s="353"/>
      <c r="L39" s="732"/>
      <c r="M39" s="749"/>
      <c r="N39" s="144"/>
      <c r="O39" s="373"/>
      <c r="P39" s="144"/>
    </row>
    <row r="40" spans="1:20" s="423" customFormat="1" x14ac:dyDescent="0.2">
      <c r="A40" s="420"/>
      <c r="B40" s="421"/>
      <c r="C40" s="140"/>
      <c r="D40" s="422"/>
      <c r="F40" s="424"/>
      <c r="G40" s="425"/>
      <c r="H40" s="425"/>
      <c r="I40" s="425"/>
      <c r="J40" s="425"/>
      <c r="K40" s="426"/>
      <c r="L40" s="734"/>
      <c r="M40" s="751"/>
      <c r="N40" s="427"/>
      <c r="P40" s="427"/>
    </row>
    <row r="41" spans="1:20" s="423" customFormat="1" ht="17.25" customHeight="1" x14ac:dyDescent="0.2">
      <c r="A41" s="190" t="s">
        <v>92</v>
      </c>
      <c r="B41" s="1320" t="s">
        <v>97</v>
      </c>
      <c r="C41" s="1320"/>
      <c r="D41" s="1321"/>
      <c r="F41" s="428"/>
      <c r="G41" s="429"/>
      <c r="H41" s="429"/>
      <c r="I41" s="429"/>
      <c r="J41" s="429"/>
      <c r="K41" s="410"/>
      <c r="L41" s="735"/>
      <c r="M41" s="748"/>
      <c r="N41" s="430"/>
      <c r="P41" s="430"/>
    </row>
    <row r="42" spans="1:20" s="96" customFormat="1" ht="16.5" customHeight="1" x14ac:dyDescent="0.2">
      <c r="A42" s="375"/>
      <c r="B42" s="412"/>
      <c r="C42" s="412"/>
      <c r="D42" s="384"/>
      <c r="F42" s="385"/>
      <c r="G42" s="386"/>
      <c r="H42" s="386"/>
      <c r="I42" s="386"/>
      <c r="J42" s="386"/>
      <c r="K42" s="387"/>
      <c r="L42" s="730"/>
      <c r="M42" s="751"/>
      <c r="N42" s="388"/>
      <c r="O42" s="373"/>
      <c r="P42" s="388"/>
    </row>
    <row r="43" spans="1:20" s="96" customFormat="1" ht="16.5" customHeight="1" x14ac:dyDescent="0.2">
      <c r="A43" s="375"/>
      <c r="B43" s="412"/>
      <c r="C43" s="413"/>
      <c r="D43" s="404"/>
      <c r="E43" s="414"/>
      <c r="F43" s="415"/>
      <c r="G43" s="416"/>
      <c r="H43" s="416"/>
      <c r="I43" s="416"/>
      <c r="J43" s="416"/>
      <c r="K43" s="417"/>
      <c r="L43" s="729"/>
      <c r="M43" s="750"/>
      <c r="N43" s="418"/>
      <c r="O43" s="373"/>
      <c r="P43" s="418"/>
    </row>
    <row r="44" spans="1:20" s="96" customFormat="1" ht="27.6" customHeight="1" x14ac:dyDescent="0.2">
      <c r="A44" s="367" t="s">
        <v>171</v>
      </c>
      <c r="B44" s="1318" t="s">
        <v>260</v>
      </c>
      <c r="C44" s="1318"/>
      <c r="D44" s="1319"/>
      <c r="F44" s="1015">
        <v>0</v>
      </c>
      <c r="G44" s="1016">
        <v>0</v>
      </c>
      <c r="H44" s="1016">
        <v>0</v>
      </c>
      <c r="I44" s="1016">
        <v>0</v>
      </c>
      <c r="J44" s="1016">
        <v>0</v>
      </c>
      <c r="K44" s="353">
        <f>SUM(F44:J44)</f>
        <v>0</v>
      </c>
      <c r="L44" s="736">
        <v>0</v>
      </c>
      <c r="M44" s="748"/>
      <c r="N44" s="143">
        <f>K44*L44</f>
        <v>0</v>
      </c>
      <c r="O44" s="373"/>
      <c r="P44" s="143">
        <f>K44-N44</f>
        <v>0</v>
      </c>
    </row>
    <row r="45" spans="1:20" s="423" customFormat="1" x14ac:dyDescent="0.2">
      <c r="A45" s="420"/>
      <c r="B45" s="421"/>
      <c r="C45" s="140"/>
      <c r="D45" s="422"/>
      <c r="F45" s="424"/>
      <c r="G45" s="425"/>
      <c r="H45" s="425"/>
      <c r="I45" s="425"/>
      <c r="J45" s="425"/>
      <c r="K45" s="426"/>
      <c r="L45" s="734"/>
      <c r="M45" s="751"/>
      <c r="N45" s="427"/>
      <c r="P45" s="427"/>
    </row>
    <row r="46" spans="1:20" s="423" customFormat="1" ht="13.5" thickBot="1" x14ac:dyDescent="0.25">
      <c r="A46" s="420"/>
      <c r="B46" s="421"/>
      <c r="C46" s="140"/>
      <c r="D46" s="422"/>
      <c r="F46" s="424"/>
      <c r="G46" s="425"/>
      <c r="H46" s="425"/>
      <c r="I46" s="425"/>
      <c r="J46" s="425"/>
      <c r="K46" s="426"/>
      <c r="L46" s="737"/>
      <c r="M46" s="753"/>
      <c r="N46" s="427"/>
      <c r="P46" s="427"/>
    </row>
    <row r="47" spans="1:20" s="345" customFormat="1" ht="16.5" customHeight="1" thickBot="1" x14ac:dyDescent="0.25">
      <c r="A47" s="431"/>
      <c r="B47" s="432" t="s">
        <v>372</v>
      </c>
      <c r="C47" s="433"/>
      <c r="D47" s="434"/>
      <c r="F47" s="435">
        <f t="shared" ref="F47:K47" si="2">SUM(F38,F30,F27,F17,F44)</f>
        <v>0</v>
      </c>
      <c r="G47" s="436">
        <f t="shared" si="2"/>
        <v>0</v>
      </c>
      <c r="H47" s="436">
        <f t="shared" si="2"/>
        <v>0</v>
      </c>
      <c r="I47" s="436">
        <f t="shared" si="2"/>
        <v>0</v>
      </c>
      <c r="J47" s="436">
        <f t="shared" si="2"/>
        <v>0</v>
      </c>
      <c r="K47" s="437">
        <f t="shared" si="2"/>
        <v>0</v>
      </c>
      <c r="L47" s="738"/>
      <c r="M47" s="754"/>
      <c r="N47" s="439">
        <f>SUM(N38,N30,N27,N17,N44)</f>
        <v>0</v>
      </c>
      <c r="O47" s="438"/>
      <c r="P47" s="439">
        <f>SUM(P38,P30,P27,P17,P44)</f>
        <v>0</v>
      </c>
    </row>
    <row r="48" spans="1:20" s="440" customFormat="1" ht="13.5" customHeight="1" x14ac:dyDescent="0.2">
      <c r="D48" s="441"/>
      <c r="F48" s="442"/>
      <c r="G48" s="442"/>
      <c r="H48" s="442"/>
      <c r="I48" s="442"/>
      <c r="J48" s="442"/>
      <c r="K48" s="442"/>
      <c r="L48" s="442"/>
      <c r="M48" s="743"/>
      <c r="N48" s="442"/>
      <c r="T48" s="95"/>
    </row>
    <row r="49" spans="2:14" s="440" customFormat="1" ht="13.5" customHeight="1" x14ac:dyDescent="0.2">
      <c r="B49" s="443"/>
      <c r="D49" s="441"/>
      <c r="F49" s="444"/>
      <c r="G49" s="444"/>
      <c r="H49" s="444"/>
      <c r="I49" s="444"/>
      <c r="J49" s="444"/>
      <c r="K49" s="444"/>
      <c r="L49" s="444"/>
      <c r="M49" s="744"/>
      <c r="N49" s="444"/>
    </row>
    <row r="50" spans="2:14" s="440" customFormat="1" ht="13.5" customHeight="1" x14ac:dyDescent="0.2">
      <c r="D50" s="441"/>
      <c r="M50" s="745"/>
    </row>
    <row r="51" spans="2:14" ht="13.5" customHeight="1" x14ac:dyDescent="0.2"/>
    <row r="52" spans="2:14" ht="13.5" customHeight="1" x14ac:dyDescent="0.2"/>
    <row r="53" spans="2:14" ht="13.5" customHeight="1" x14ac:dyDescent="0.2"/>
    <row r="54" spans="2:14" ht="17.25" customHeight="1" x14ac:dyDescent="0.2"/>
    <row r="55" spans="2:14" ht="17.25" customHeight="1" x14ac:dyDescent="0.2"/>
  </sheetData>
  <sheetProtection algorithmName="SHA-512" hashValue="A9vLh9Vjwj8OlwW4vmDWafOsP1rWaMWKXl35uZFOWyvHTatrDZp0uiZUbbUd10DGNCfbnxsgC3fXrh1JGWOU0w==" saltValue="vaIn+MsSkEUYWwB5+zLRcA==" spinCount="100000" sheet="1" objects="1" scenarios="1"/>
  <mergeCells count="8">
    <mergeCell ref="A1:P1"/>
    <mergeCell ref="B5:F12"/>
    <mergeCell ref="F15:K15"/>
    <mergeCell ref="B44:D44"/>
    <mergeCell ref="B41:D41"/>
    <mergeCell ref="C28:D28"/>
    <mergeCell ref="C29:D29"/>
    <mergeCell ref="C39:D39"/>
  </mergeCells>
  <conditionalFormatting sqref="A1:XFD1048576">
    <cfRule type="expression" dxfId="36" priority="1">
      <formula>$U$2="ex-ante"</formula>
    </cfRule>
    <cfRule type="expression" dxfId="35" priority="2">
      <formula>$R$1="gas"</formula>
    </cfRule>
  </conditionalFormatting>
  <pageMargins left="0.55118110236220474" right="0.23622047244094491" top="0.43307086614173229" bottom="0.43307086614173229" header="0.27559055118110237" footer="0.27559055118110237"/>
  <pageSetup paperSize="8" scale="85" orientation="landscape" r:id="rId1"/>
  <headerFooter scaleWithDoc="0" alignWithMargins="0">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4">
    <pageSetUpPr fitToPage="1"/>
  </sheetPr>
  <dimension ref="A1:BF42"/>
  <sheetViews>
    <sheetView zoomScale="80" zoomScaleNormal="80" workbookViewId="0">
      <selection activeCell="O32" sqref="O32"/>
    </sheetView>
  </sheetViews>
  <sheetFormatPr defaultColWidth="9.140625" defaultRowHeight="12.75" x14ac:dyDescent="0.2"/>
  <cols>
    <col min="1" max="1" width="7.28515625" style="451" customWidth="1"/>
    <col min="2" max="2" width="7" style="451" customWidth="1"/>
    <col min="3" max="3" width="30.140625" style="451" customWidth="1"/>
    <col min="4" max="4" width="10.140625" style="493" customWidth="1"/>
    <col min="5" max="11" width="20.7109375" style="493" customWidth="1"/>
    <col min="12" max="12" width="2.28515625" style="771" customWidth="1"/>
    <col min="13" max="13" width="25.7109375" style="493" customWidth="1"/>
    <col min="14" max="14" width="2.28515625" style="451" customWidth="1"/>
    <col min="15" max="15" width="25.7109375" style="451" customWidth="1"/>
    <col min="16" max="16384" width="9.140625" style="451"/>
  </cols>
  <sheetData>
    <row r="1" spans="1:58" s="445" customFormat="1" ht="18.75" thickBot="1" x14ac:dyDescent="0.25">
      <c r="A1" s="1232" t="str">
        <f>"TABEL 5D: Werkelijke opbrengsten uit periodieke distributienettarieven in boekjaar "&amp;TITELBLAD!E16&amp;" (elektriciteit-injectie)"</f>
        <v>TABEL 5D: Werkelijke opbrengsten uit periodieke distributienettarieven in boekjaar 2021 (elektriciteit-injectie)</v>
      </c>
      <c r="B1" s="1233"/>
      <c r="C1" s="1233"/>
      <c r="D1" s="1233"/>
      <c r="E1" s="1233"/>
      <c r="F1" s="1233"/>
      <c r="G1" s="1233"/>
      <c r="H1" s="1233"/>
      <c r="I1" s="1233"/>
      <c r="J1" s="1233"/>
      <c r="K1" s="1233"/>
      <c r="L1" s="1233"/>
      <c r="M1" s="1233"/>
      <c r="N1" s="1233"/>
      <c r="O1" s="1234"/>
      <c r="P1" s="524"/>
      <c r="Q1" s="524"/>
      <c r="R1" s="524"/>
      <c r="S1" s="524"/>
      <c r="T1" s="524"/>
      <c r="U1" s="524"/>
      <c r="V1" s="524"/>
      <c r="W1" s="524"/>
      <c r="X1" s="524"/>
    </row>
    <row r="2" spans="1:58" s="448" customFormat="1" ht="11.25" x14ac:dyDescent="0.2">
      <c r="A2" s="446"/>
      <c r="B2" s="446"/>
      <c r="C2" s="446"/>
      <c r="D2" s="447"/>
      <c r="E2" s="447"/>
      <c r="F2" s="447"/>
      <c r="G2" s="447"/>
      <c r="H2" s="447"/>
      <c r="I2" s="447"/>
      <c r="J2" s="447"/>
      <c r="K2" s="447"/>
      <c r="L2" s="755"/>
      <c r="M2" s="447"/>
      <c r="P2" s="525"/>
      <c r="Q2" s="525"/>
      <c r="R2" s="525"/>
      <c r="S2" s="525"/>
      <c r="T2" s="525"/>
      <c r="U2" s="525"/>
      <c r="V2" s="525"/>
      <c r="W2" s="525"/>
      <c r="X2" s="525"/>
    </row>
    <row r="3" spans="1:58" s="167" customFormat="1" x14ac:dyDescent="0.2">
      <c r="L3" s="301"/>
      <c r="P3" s="296"/>
      <c r="Q3" s="296"/>
      <c r="R3" s="296"/>
      <c r="S3" s="296"/>
      <c r="T3" s="296"/>
      <c r="U3" s="296"/>
      <c r="V3" s="296"/>
      <c r="W3" s="296"/>
      <c r="X3" s="296"/>
    </row>
    <row r="4" spans="1:58" s="167" customFormat="1" x14ac:dyDescent="0.2">
      <c r="B4" s="358" t="s">
        <v>124</v>
      </c>
      <c r="K4" s="296"/>
      <c r="L4" s="75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296"/>
      <c r="BA4" s="296"/>
      <c r="BB4" s="296"/>
      <c r="BC4" s="296"/>
      <c r="BD4" s="296"/>
      <c r="BE4" s="296"/>
      <c r="BF4" s="296"/>
    </row>
    <row r="5" spans="1:58" s="167" customFormat="1" ht="12.6" customHeight="1" x14ac:dyDescent="0.2">
      <c r="B5" s="1314" t="s">
        <v>262</v>
      </c>
      <c r="C5" s="1314"/>
      <c r="D5" s="1314"/>
      <c r="E5" s="1314"/>
      <c r="F5" s="1314"/>
      <c r="G5" s="1314"/>
      <c r="H5" s="494"/>
      <c r="I5" s="494"/>
      <c r="J5" s="494"/>
      <c r="K5" s="529"/>
      <c r="L5" s="757"/>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6"/>
      <c r="AT5" s="296"/>
      <c r="AU5" s="296"/>
      <c r="AV5" s="296"/>
      <c r="AW5" s="296"/>
      <c r="AX5" s="296"/>
      <c r="AY5" s="296"/>
      <c r="AZ5" s="296"/>
      <c r="BA5" s="296"/>
      <c r="BB5" s="296"/>
      <c r="BC5" s="296"/>
      <c r="BD5" s="296"/>
      <c r="BE5" s="296"/>
      <c r="BF5" s="296"/>
    </row>
    <row r="6" spans="1:58" s="167" customFormat="1" ht="12.6" customHeight="1" x14ac:dyDescent="0.2">
      <c r="B6" s="1314"/>
      <c r="C6" s="1314"/>
      <c r="D6" s="1314"/>
      <c r="E6" s="1314"/>
      <c r="F6" s="1314"/>
      <c r="G6" s="1314"/>
      <c r="H6" s="494"/>
      <c r="I6" s="494"/>
      <c r="J6" s="494"/>
      <c r="K6" s="529"/>
      <c r="L6" s="757"/>
      <c r="M6" s="296"/>
      <c r="N6" s="296"/>
      <c r="O6" s="296"/>
      <c r="P6" s="296"/>
      <c r="Q6" s="296"/>
      <c r="R6" s="296"/>
      <c r="S6" s="296"/>
      <c r="T6" s="296"/>
      <c r="U6" s="296"/>
      <c r="V6" s="296"/>
      <c r="W6" s="296"/>
      <c r="X6" s="296"/>
      <c r="Y6" s="296"/>
      <c r="Z6" s="296"/>
      <c r="AA6" s="296"/>
      <c r="AB6" s="296"/>
      <c r="AC6" s="296"/>
      <c r="AD6" s="296"/>
      <c r="AE6" s="296"/>
      <c r="AF6" s="296"/>
      <c r="AG6" s="296"/>
      <c r="AH6" s="296"/>
      <c r="AI6" s="296"/>
      <c r="AJ6" s="296"/>
      <c r="AK6" s="296"/>
      <c r="AL6" s="296"/>
      <c r="AM6" s="296"/>
      <c r="AN6" s="296"/>
      <c r="AO6" s="296"/>
      <c r="AP6" s="296"/>
      <c r="AQ6" s="296"/>
      <c r="AR6" s="296"/>
      <c r="AS6" s="296"/>
      <c r="AT6" s="296"/>
      <c r="AU6" s="296"/>
      <c r="AV6" s="296"/>
      <c r="AW6" s="296"/>
      <c r="AX6" s="296"/>
      <c r="AY6" s="296"/>
      <c r="AZ6" s="296"/>
      <c r="BA6" s="296"/>
      <c r="BB6" s="296"/>
      <c r="BC6" s="296"/>
      <c r="BD6" s="296"/>
      <c r="BE6" s="296"/>
      <c r="BF6" s="296"/>
    </row>
    <row r="7" spans="1:58" s="167" customFormat="1" ht="12.6" customHeight="1" x14ac:dyDescent="0.2">
      <c r="B7" s="1314"/>
      <c r="C7" s="1314"/>
      <c r="D7" s="1314"/>
      <c r="E7" s="1314"/>
      <c r="F7" s="1314"/>
      <c r="G7" s="1314"/>
      <c r="H7" s="494"/>
      <c r="I7" s="494"/>
      <c r="J7" s="494"/>
      <c r="K7" s="529"/>
      <c r="L7" s="757"/>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c r="AP7" s="296"/>
      <c r="AQ7" s="296"/>
      <c r="AR7" s="296"/>
      <c r="AS7" s="296"/>
      <c r="AT7" s="296"/>
      <c r="AU7" s="296"/>
      <c r="AV7" s="296"/>
      <c r="AW7" s="296"/>
      <c r="AX7" s="296"/>
      <c r="AY7" s="296"/>
      <c r="AZ7" s="296"/>
      <c r="BA7" s="296"/>
      <c r="BB7" s="296"/>
      <c r="BC7" s="296"/>
      <c r="BD7" s="296"/>
      <c r="BE7" s="296"/>
      <c r="BF7" s="296"/>
    </row>
    <row r="8" spans="1:58" s="167" customFormat="1" ht="12.6" customHeight="1" x14ac:dyDescent="0.2">
      <c r="B8" s="1314"/>
      <c r="C8" s="1314"/>
      <c r="D8" s="1314"/>
      <c r="E8" s="1314"/>
      <c r="F8" s="1314"/>
      <c r="G8" s="1314"/>
      <c r="H8" s="529"/>
      <c r="I8" s="529"/>
      <c r="J8" s="529"/>
      <c r="K8" s="529"/>
      <c r="L8" s="757"/>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6"/>
      <c r="AP8" s="296"/>
      <c r="AQ8" s="296"/>
      <c r="AR8" s="296"/>
      <c r="AS8" s="296"/>
      <c r="AT8" s="296"/>
      <c r="AU8" s="296"/>
      <c r="AV8" s="296"/>
      <c r="AW8" s="296"/>
      <c r="AX8" s="296"/>
      <c r="AY8" s="296"/>
      <c r="AZ8" s="296"/>
      <c r="BA8" s="296"/>
      <c r="BB8" s="296"/>
      <c r="BC8" s="296"/>
      <c r="BD8" s="296"/>
      <c r="BE8" s="296"/>
      <c r="BF8" s="296"/>
    </row>
    <row r="9" spans="1:58" s="167" customFormat="1" ht="12.6" customHeight="1" x14ac:dyDescent="0.2">
      <c r="B9" s="1314"/>
      <c r="C9" s="1314"/>
      <c r="D9" s="1314"/>
      <c r="E9" s="1314"/>
      <c r="F9" s="1314"/>
      <c r="G9" s="1314"/>
      <c r="H9" s="529"/>
      <c r="I9" s="529"/>
      <c r="J9" s="529"/>
      <c r="K9" s="529"/>
      <c r="L9" s="757"/>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296"/>
      <c r="AP9" s="296"/>
      <c r="AQ9" s="296"/>
      <c r="AR9" s="296"/>
      <c r="AS9" s="296"/>
      <c r="AT9" s="296"/>
      <c r="AU9" s="296"/>
      <c r="AV9" s="296"/>
      <c r="AW9" s="296"/>
      <c r="AX9" s="296"/>
      <c r="AY9" s="296"/>
      <c r="AZ9" s="296"/>
      <c r="BA9" s="296"/>
      <c r="BB9" s="296"/>
      <c r="BC9" s="296"/>
      <c r="BD9" s="296"/>
      <c r="BE9" s="296"/>
      <c r="BF9" s="296"/>
    </row>
    <row r="10" spans="1:58" s="167" customFormat="1" ht="12.6" customHeight="1" x14ac:dyDescent="0.2">
      <c r="B10" s="1314"/>
      <c r="C10" s="1314"/>
      <c r="D10" s="1314"/>
      <c r="E10" s="1314"/>
      <c r="F10" s="1314"/>
      <c r="G10" s="1314"/>
      <c r="H10" s="529"/>
      <c r="I10" s="529"/>
      <c r="J10" s="529"/>
      <c r="K10" s="529"/>
      <c r="L10" s="757"/>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96"/>
      <c r="BC10" s="296"/>
      <c r="BD10" s="296"/>
      <c r="BE10" s="296"/>
      <c r="BF10" s="296"/>
    </row>
    <row r="11" spans="1:58" s="167" customFormat="1" ht="12.6" customHeight="1" x14ac:dyDescent="0.2">
      <c r="B11" s="1314"/>
      <c r="C11" s="1314"/>
      <c r="D11" s="1314"/>
      <c r="E11" s="1314"/>
      <c r="F11" s="1314"/>
      <c r="G11" s="1314"/>
      <c r="H11" s="529"/>
      <c r="I11" s="529"/>
      <c r="J11" s="529"/>
      <c r="K11" s="529"/>
      <c r="L11" s="757"/>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6"/>
      <c r="AQ11" s="296"/>
      <c r="AR11" s="296"/>
      <c r="AS11" s="296"/>
      <c r="AT11" s="296"/>
      <c r="AU11" s="296"/>
      <c r="AV11" s="296"/>
      <c r="AW11" s="296"/>
      <c r="AX11" s="296"/>
      <c r="AY11" s="296"/>
      <c r="AZ11" s="296"/>
      <c r="BA11" s="296"/>
      <c r="BB11" s="296"/>
      <c r="BC11" s="296"/>
      <c r="BD11" s="296"/>
      <c r="BE11" s="296"/>
      <c r="BF11" s="296"/>
    </row>
    <row r="12" spans="1:58" s="167" customFormat="1" ht="12.6" customHeight="1" x14ac:dyDescent="0.2">
      <c r="B12" s="1314"/>
      <c r="C12" s="1314"/>
      <c r="D12" s="1314"/>
      <c r="E12" s="1314"/>
      <c r="F12" s="1314"/>
      <c r="G12" s="1314"/>
      <c r="H12" s="494"/>
      <c r="I12" s="494"/>
      <c r="J12" s="494"/>
      <c r="K12" s="529"/>
      <c r="L12" s="757"/>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296"/>
      <c r="BC12" s="296"/>
      <c r="BD12" s="296"/>
      <c r="BE12" s="296"/>
      <c r="BF12" s="296"/>
    </row>
    <row r="13" spans="1:58" s="167" customFormat="1" ht="41.25" customHeight="1" x14ac:dyDescent="0.2">
      <c r="B13" s="1314"/>
      <c r="C13" s="1314"/>
      <c r="D13" s="1314"/>
      <c r="E13" s="1314"/>
      <c r="F13" s="1314"/>
      <c r="G13" s="1314"/>
      <c r="H13" s="494"/>
      <c r="I13" s="494"/>
      <c r="J13" s="494"/>
      <c r="K13" s="529"/>
      <c r="L13" s="757"/>
      <c r="M13" s="296"/>
      <c r="N13" s="296"/>
      <c r="O13" s="296"/>
      <c r="P13" s="296"/>
      <c r="Q13" s="209"/>
      <c r="R13" s="209"/>
      <c r="S13" s="209"/>
      <c r="T13" s="209"/>
      <c r="U13" s="209"/>
      <c r="V13" s="296"/>
      <c r="W13" s="296"/>
      <c r="X13" s="296"/>
      <c r="Y13" s="296"/>
      <c r="Z13" s="296"/>
      <c r="AA13" s="296"/>
      <c r="AB13" s="296"/>
      <c r="AC13" s="296"/>
      <c r="AD13" s="296"/>
      <c r="AE13" s="296"/>
      <c r="AF13" s="296"/>
      <c r="AG13" s="296"/>
      <c r="AH13" s="296"/>
      <c r="AI13" s="296"/>
      <c r="AJ13" s="296"/>
      <c r="AK13" s="296"/>
      <c r="AL13" s="296"/>
      <c r="AM13" s="296"/>
      <c r="AN13" s="296"/>
      <c r="AO13" s="296"/>
      <c r="AP13" s="296"/>
      <c r="AQ13" s="296"/>
      <c r="AR13" s="296"/>
      <c r="AS13" s="296"/>
      <c r="AT13" s="296"/>
      <c r="AU13" s="296"/>
      <c r="AV13" s="296"/>
      <c r="AW13" s="296"/>
      <c r="AX13" s="296"/>
      <c r="AY13" s="296"/>
      <c r="AZ13" s="296"/>
      <c r="BA13" s="296"/>
      <c r="BB13" s="296"/>
      <c r="BC13" s="296"/>
      <c r="BD13" s="296"/>
      <c r="BE13" s="296"/>
      <c r="BF13" s="296"/>
    </row>
    <row r="14" spans="1:58" s="167" customFormat="1" x14ac:dyDescent="0.2">
      <c r="L14" s="301"/>
      <c r="P14" s="296"/>
      <c r="Q14" s="209" t="str">
        <f>+TITELBLAD!C10</f>
        <v>gas</v>
      </c>
      <c r="R14" s="452"/>
      <c r="S14" s="209"/>
      <c r="T14" s="209"/>
      <c r="U14" s="209"/>
      <c r="V14" s="296"/>
      <c r="W14" s="296"/>
      <c r="X14" s="296"/>
    </row>
    <row r="15" spans="1:58" ht="18.75" thickBot="1" x14ac:dyDescent="0.25">
      <c r="A15" s="449"/>
      <c r="B15" s="101"/>
      <c r="C15" s="101"/>
      <c r="D15" s="450"/>
      <c r="E15" s="450"/>
      <c r="F15" s="450"/>
      <c r="G15" s="450"/>
      <c r="H15" s="450"/>
      <c r="I15" s="450"/>
      <c r="J15" s="450"/>
      <c r="K15" s="450"/>
      <c r="L15" s="758"/>
      <c r="M15" s="450"/>
      <c r="N15" s="101"/>
      <c r="P15" s="526"/>
      <c r="Q15" s="452" t="str">
        <f>+TITELBLAD!B16</f>
        <v>Rapportering over boekjaar:</v>
      </c>
      <c r="R15" s="452"/>
      <c r="S15" s="452"/>
      <c r="T15" s="452">
        <f>+TITELBLAD!E16</f>
        <v>2021</v>
      </c>
      <c r="U15" s="452" t="str">
        <f>+TITELBLAD!F16</f>
        <v>ex-ante</v>
      </c>
      <c r="V15" s="526"/>
      <c r="W15" s="526"/>
      <c r="X15" s="526"/>
    </row>
    <row r="16" spans="1:58" s="456" customFormat="1" ht="56.25" customHeight="1" thickBot="1" x14ac:dyDescent="0.25">
      <c r="A16" s="453"/>
      <c r="B16" s="454"/>
      <c r="C16" s="454"/>
      <c r="D16" s="455"/>
      <c r="E16" s="1315" t="str">
        <f>"Werkelijke opbrengsten uit periodieke distributienettarieven in boekjaar "&amp;TITELBLAD!E16&amp;" (elektriciteit- injectie)"</f>
        <v>Werkelijke opbrengsten uit periodieke distributienettarieven in boekjaar 2021 (elektriciteit- injectie)</v>
      </c>
      <c r="F16" s="1316"/>
      <c r="G16" s="1316"/>
      <c r="H16" s="1316"/>
      <c r="I16" s="1316"/>
      <c r="J16" s="1316"/>
      <c r="K16" s="772" t="s">
        <v>116</v>
      </c>
      <c r="L16" s="759"/>
      <c r="M16" s="217" t="str">
        <f>"Werkelijke opbrengsten m.b.t. endogene kosten in boekjaar "&amp;TITELBLAD!E16&amp;" (elektriciteit-injectie)"</f>
        <v>Werkelijke opbrengsten m.b.t. endogene kosten in boekjaar 2021 (elektriciteit-injectie)</v>
      </c>
      <c r="N16" s="101"/>
      <c r="O16" s="217" t="str">
        <f>"Werkelijke opbrengsten m.b.t. exogene kosten in boekjaar "&amp;TITELBLAD!E16&amp;" (elektriciteit-injectie)"</f>
        <v>Werkelijke opbrengsten m.b.t. exogene kosten in boekjaar 2021 (elektriciteit-injectie)</v>
      </c>
      <c r="P16" s="527"/>
      <c r="Q16" s="457"/>
      <c r="R16" s="457"/>
      <c r="S16" s="457"/>
      <c r="T16" s="452"/>
      <c r="U16" s="452"/>
      <c r="V16" s="527"/>
      <c r="W16" s="527"/>
      <c r="X16" s="527"/>
    </row>
    <row r="17" spans="1:22" s="98" customFormat="1" ht="28.5" customHeight="1" thickBot="1" x14ac:dyDescent="0.25">
      <c r="A17" s="458"/>
      <c r="B17" s="459"/>
      <c r="C17" s="459"/>
      <c r="D17" s="460"/>
      <c r="E17" s="350" t="s">
        <v>252</v>
      </c>
      <c r="F17" s="351" t="s">
        <v>253</v>
      </c>
      <c r="G17" s="351" t="s">
        <v>254</v>
      </c>
      <c r="H17" s="351" t="s">
        <v>255</v>
      </c>
      <c r="I17" s="351" t="s">
        <v>256</v>
      </c>
      <c r="J17" s="516" t="s">
        <v>20</v>
      </c>
      <c r="K17" s="773"/>
      <c r="L17" s="760"/>
      <c r="M17" s="781" t="s">
        <v>380</v>
      </c>
      <c r="N17" s="101"/>
      <c r="O17" s="781" t="s">
        <v>381</v>
      </c>
      <c r="P17" s="528"/>
      <c r="Q17" s="528"/>
      <c r="R17" s="528"/>
      <c r="S17" s="528"/>
      <c r="T17" s="528"/>
      <c r="U17" s="528"/>
      <c r="V17" s="528"/>
    </row>
    <row r="18" spans="1:22" s="101" customFormat="1" ht="16.5" customHeight="1" x14ac:dyDescent="0.2">
      <c r="A18" s="461"/>
      <c r="B18" s="462"/>
      <c r="C18" s="463"/>
      <c r="D18" s="464"/>
      <c r="E18" s="502"/>
      <c r="F18" s="509"/>
      <c r="G18" s="509"/>
      <c r="H18" s="509"/>
      <c r="I18" s="509"/>
      <c r="J18" s="496"/>
      <c r="K18" s="774"/>
      <c r="L18" s="761"/>
      <c r="M18" s="495"/>
      <c r="O18" s="495"/>
      <c r="P18" s="526"/>
      <c r="Q18" s="526"/>
      <c r="R18" s="526"/>
      <c r="S18" s="526"/>
      <c r="T18" s="526"/>
      <c r="U18" s="526"/>
      <c r="V18" s="526"/>
    </row>
    <row r="19" spans="1:22" s="101" customFormat="1" ht="16.5" customHeight="1" x14ac:dyDescent="0.2">
      <c r="A19" s="465"/>
      <c r="B19" s="466"/>
      <c r="C19" s="467"/>
      <c r="D19" s="100"/>
      <c r="E19" s="503"/>
      <c r="F19" s="510"/>
      <c r="G19" s="510"/>
      <c r="H19" s="510"/>
      <c r="I19" s="510"/>
      <c r="J19" s="497"/>
      <c r="K19" s="775"/>
      <c r="L19" s="762"/>
      <c r="M19" s="468"/>
      <c r="O19" s="468"/>
      <c r="P19" s="526"/>
      <c r="Q19" s="526"/>
      <c r="R19" s="526"/>
      <c r="S19" s="526"/>
      <c r="T19" s="526"/>
      <c r="U19" s="526"/>
      <c r="V19" s="526"/>
    </row>
    <row r="20" spans="1:22" s="101" customFormat="1" ht="16.5" customHeight="1" x14ac:dyDescent="0.2">
      <c r="A20" s="465" t="s">
        <v>77</v>
      </c>
      <c r="B20" s="462" t="s">
        <v>258</v>
      </c>
      <c r="C20" s="469"/>
      <c r="D20" s="100"/>
      <c r="E20" s="1015">
        <v>0</v>
      </c>
      <c r="F20" s="1016">
        <v>0</v>
      </c>
      <c r="G20" s="1016">
        <v>0</v>
      </c>
      <c r="H20" s="1016">
        <v>0</v>
      </c>
      <c r="I20" s="1016">
        <v>0</v>
      </c>
      <c r="J20" s="353">
        <f>SUM(E20:I20)</f>
        <v>0</v>
      </c>
      <c r="K20" s="1017">
        <v>0</v>
      </c>
      <c r="L20" s="763"/>
      <c r="M20" s="143">
        <f>+J20*K20</f>
        <v>0</v>
      </c>
      <c r="O20" s="143">
        <f>+J20-M20</f>
        <v>0</v>
      </c>
      <c r="P20" s="526"/>
      <c r="Q20" s="526"/>
      <c r="R20" s="526"/>
      <c r="S20" s="526"/>
      <c r="T20" s="526"/>
      <c r="U20" s="526"/>
      <c r="V20" s="526"/>
    </row>
    <row r="21" spans="1:22" s="101" customFormat="1" ht="16.5" customHeight="1" x14ac:dyDescent="0.2">
      <c r="A21" s="99"/>
      <c r="B21" s="470"/>
      <c r="C21" s="470"/>
      <c r="D21" s="384"/>
      <c r="E21" s="504"/>
      <c r="F21" s="511"/>
      <c r="G21" s="511"/>
      <c r="H21" s="511"/>
      <c r="I21" s="511"/>
      <c r="J21" s="517"/>
      <c r="K21" s="736"/>
      <c r="L21" s="742"/>
      <c r="M21" s="145"/>
      <c r="O21" s="145"/>
      <c r="P21" s="526"/>
      <c r="Q21" s="526"/>
      <c r="R21" s="526"/>
      <c r="S21" s="526"/>
      <c r="T21" s="526"/>
      <c r="U21" s="526"/>
      <c r="V21" s="526"/>
    </row>
    <row r="22" spans="1:22" s="101" customFormat="1" ht="16.5" customHeight="1" x14ac:dyDescent="0.2">
      <c r="A22" s="99"/>
      <c r="B22" s="470"/>
      <c r="C22" s="470"/>
      <c r="D22" s="384"/>
      <c r="E22" s="505"/>
      <c r="F22" s="512"/>
      <c r="G22" s="512"/>
      <c r="H22" s="512"/>
      <c r="I22" s="512"/>
      <c r="J22" s="498"/>
      <c r="K22" s="776"/>
      <c r="L22" s="764"/>
      <c r="M22" s="471"/>
      <c r="O22" s="471"/>
      <c r="P22" s="526"/>
      <c r="Q22" s="526"/>
      <c r="R22" s="526"/>
      <c r="S22" s="526"/>
      <c r="T22" s="526"/>
      <c r="U22" s="526"/>
      <c r="V22" s="526"/>
    </row>
    <row r="23" spans="1:22" s="101" customFormat="1" ht="14.25" customHeight="1" x14ac:dyDescent="0.2">
      <c r="A23" s="99" t="s">
        <v>82</v>
      </c>
      <c r="B23" s="1326" t="s">
        <v>259</v>
      </c>
      <c r="C23" s="1326"/>
      <c r="D23" s="1327"/>
      <c r="E23" s="1015">
        <v>0</v>
      </c>
      <c r="F23" s="1016">
        <v>0</v>
      </c>
      <c r="G23" s="1016">
        <v>0</v>
      </c>
      <c r="H23" s="1016">
        <v>0</v>
      </c>
      <c r="I23" s="1016">
        <v>0</v>
      </c>
      <c r="J23" s="353">
        <f>SUM(E23:I23)</f>
        <v>0</v>
      </c>
      <c r="K23" s="1017">
        <v>0</v>
      </c>
      <c r="L23" s="763"/>
      <c r="M23" s="143">
        <f>+J23*K23</f>
        <v>0</v>
      </c>
      <c r="N23" s="472"/>
      <c r="O23" s="143">
        <f>+J23-M23</f>
        <v>0</v>
      </c>
      <c r="P23" s="526"/>
      <c r="Q23" s="526"/>
      <c r="R23" s="526"/>
      <c r="S23" s="526"/>
      <c r="T23" s="526"/>
      <c r="U23" s="526"/>
      <c r="V23" s="526"/>
    </row>
    <row r="24" spans="1:22" s="101" customFormat="1" ht="16.5" customHeight="1" x14ac:dyDescent="0.2">
      <c r="A24" s="473"/>
      <c r="B24" s="474"/>
      <c r="C24" s="475"/>
      <c r="D24" s="476"/>
      <c r="E24" s="504"/>
      <c r="F24" s="511"/>
      <c r="G24" s="511"/>
      <c r="H24" s="511"/>
      <c r="I24" s="511"/>
      <c r="J24" s="517"/>
      <c r="K24" s="736"/>
      <c r="L24" s="742"/>
      <c r="M24" s="145"/>
      <c r="O24" s="145"/>
      <c r="P24" s="526"/>
      <c r="Q24" s="526"/>
      <c r="R24" s="526"/>
      <c r="S24" s="526"/>
      <c r="T24" s="526"/>
      <c r="U24" s="526"/>
      <c r="V24" s="526"/>
    </row>
    <row r="25" spans="1:22" s="101" customFormat="1" ht="16.5" customHeight="1" x14ac:dyDescent="0.2">
      <c r="A25" s="473"/>
      <c r="B25" s="474"/>
      <c r="C25" s="475"/>
      <c r="D25" s="477"/>
      <c r="E25" s="506"/>
      <c r="F25" s="513"/>
      <c r="G25" s="513"/>
      <c r="H25" s="513"/>
      <c r="I25" s="513"/>
      <c r="J25" s="499"/>
      <c r="K25" s="777"/>
      <c r="L25" s="765"/>
      <c r="M25" s="478"/>
      <c r="N25" s="479"/>
      <c r="O25" s="478"/>
    </row>
    <row r="26" spans="1:22" s="101" customFormat="1" ht="16.5" customHeight="1" x14ac:dyDescent="0.2">
      <c r="A26" s="99" t="s">
        <v>84</v>
      </c>
      <c r="B26" s="474" t="s">
        <v>87</v>
      </c>
      <c r="C26" s="474"/>
      <c r="D26" s="477"/>
      <c r="E26" s="1015">
        <v>0</v>
      </c>
      <c r="F26" s="1016">
        <v>0</v>
      </c>
      <c r="G26" s="1016">
        <v>0</v>
      </c>
      <c r="H26" s="1016">
        <v>0</v>
      </c>
      <c r="I26" s="1016">
        <v>0</v>
      </c>
      <c r="J26" s="353">
        <f>SUM(E26:I26)</f>
        <v>0</v>
      </c>
      <c r="K26" s="1017">
        <v>0</v>
      </c>
      <c r="L26" s="763"/>
      <c r="M26" s="143">
        <f>+J26*K26</f>
        <v>0</v>
      </c>
      <c r="O26" s="143">
        <f>+J26-M26</f>
        <v>0</v>
      </c>
    </row>
    <row r="27" spans="1:22" s="101" customFormat="1" ht="16.5" customHeight="1" x14ac:dyDescent="0.2">
      <c r="A27" s="473"/>
      <c r="B27" s="470"/>
      <c r="C27" s="470"/>
      <c r="D27" s="100"/>
      <c r="E27" s="504"/>
      <c r="F27" s="511"/>
      <c r="G27" s="511"/>
      <c r="H27" s="511"/>
      <c r="I27" s="511"/>
      <c r="J27" s="517"/>
      <c r="K27" s="736"/>
      <c r="L27" s="742"/>
      <c r="M27" s="145"/>
      <c r="O27" s="145"/>
    </row>
    <row r="28" spans="1:22" s="101" customFormat="1" ht="16.5" customHeight="1" x14ac:dyDescent="0.2">
      <c r="A28" s="473"/>
      <c r="B28" s="474"/>
      <c r="C28" s="474"/>
      <c r="D28" s="384"/>
      <c r="E28" s="505"/>
      <c r="F28" s="512"/>
      <c r="G28" s="512"/>
      <c r="H28" s="512"/>
      <c r="I28" s="512"/>
      <c r="J28" s="498"/>
      <c r="K28" s="776"/>
      <c r="L28" s="764"/>
      <c r="M28" s="471"/>
      <c r="N28" s="472"/>
      <c r="O28" s="471"/>
    </row>
    <row r="29" spans="1:22" s="101" customFormat="1" ht="16.5" customHeight="1" x14ac:dyDescent="0.2">
      <c r="A29" s="99" t="s">
        <v>90</v>
      </c>
      <c r="B29" s="474" t="s">
        <v>91</v>
      </c>
      <c r="C29" s="474"/>
      <c r="D29" s="477"/>
      <c r="E29" s="1015">
        <v>0</v>
      </c>
      <c r="F29" s="1016">
        <v>0</v>
      </c>
      <c r="G29" s="1016">
        <v>0</v>
      </c>
      <c r="H29" s="1016">
        <v>0</v>
      </c>
      <c r="I29" s="1016">
        <v>0</v>
      </c>
      <c r="J29" s="353">
        <f>SUM(E29:I29)</f>
        <v>0</v>
      </c>
      <c r="K29" s="1017">
        <v>0</v>
      </c>
      <c r="L29" s="763"/>
      <c r="M29" s="143">
        <f>+J29*K29</f>
        <v>0</v>
      </c>
      <c r="O29" s="143">
        <f>+J29-M29</f>
        <v>0</v>
      </c>
    </row>
    <row r="30" spans="1:22" s="101" customFormat="1" ht="16.5" customHeight="1" x14ac:dyDescent="0.2">
      <c r="A30" s="473"/>
      <c r="B30" s="139"/>
      <c r="C30" s="140"/>
      <c r="D30" s="100"/>
      <c r="E30" s="504"/>
      <c r="F30" s="511"/>
      <c r="G30" s="511"/>
      <c r="H30" s="511"/>
      <c r="I30" s="511"/>
      <c r="J30" s="517"/>
      <c r="K30" s="778"/>
      <c r="L30" s="766"/>
      <c r="M30" s="145"/>
      <c r="O30" s="145"/>
    </row>
    <row r="31" spans="1:22" s="98" customFormat="1" ht="16.5" customHeight="1" thickBot="1" x14ac:dyDescent="0.25">
      <c r="A31" s="480"/>
      <c r="B31" s="481"/>
      <c r="C31" s="481"/>
      <c r="D31" s="482"/>
      <c r="E31" s="507"/>
      <c r="F31" s="514"/>
      <c r="G31" s="514"/>
      <c r="H31" s="514"/>
      <c r="I31" s="514"/>
      <c r="J31" s="500"/>
      <c r="K31" s="779"/>
      <c r="L31" s="767"/>
      <c r="M31" s="483"/>
      <c r="O31" s="483"/>
    </row>
    <row r="32" spans="1:22" s="489" customFormat="1" ht="16.5" customHeight="1" thickBot="1" x14ac:dyDescent="0.25">
      <c r="A32" s="484"/>
      <c r="B32" s="485" t="s">
        <v>373</v>
      </c>
      <c r="C32" s="486"/>
      <c r="D32" s="487"/>
      <c r="E32" s="508">
        <f>SUM(E29,E26,E23,E20)</f>
        <v>0</v>
      </c>
      <c r="F32" s="515">
        <f t="shared" ref="F32:J32" si="0">SUM(F29,F26,F23,F20)</f>
        <v>0</v>
      </c>
      <c r="G32" s="515">
        <f t="shared" si="0"/>
        <v>0</v>
      </c>
      <c r="H32" s="515">
        <f t="shared" si="0"/>
        <v>0</v>
      </c>
      <c r="I32" s="515">
        <f t="shared" si="0"/>
        <v>0</v>
      </c>
      <c r="J32" s="501">
        <f t="shared" si="0"/>
        <v>0</v>
      </c>
      <c r="K32" s="780"/>
      <c r="L32" s="768"/>
      <c r="M32" s="488">
        <f>SUM(M29,M26,M23,M20)</f>
        <v>0</v>
      </c>
      <c r="N32" s="98"/>
      <c r="O32" s="488">
        <f>SUM(O29,O26,O23,O20)</f>
        <v>0</v>
      </c>
    </row>
    <row r="33" spans="3:14" s="490" customFormat="1" ht="13.5" customHeight="1" x14ac:dyDescent="0.2">
      <c r="C33" s="491"/>
      <c r="L33" s="769"/>
      <c r="N33" s="98"/>
    </row>
    <row r="34" spans="3:14" s="490" customFormat="1" ht="13.5" customHeight="1" x14ac:dyDescent="0.2">
      <c r="D34" s="492"/>
      <c r="E34" s="492"/>
      <c r="F34" s="492"/>
      <c r="G34" s="492"/>
      <c r="H34" s="492"/>
      <c r="I34" s="492"/>
      <c r="J34" s="492"/>
      <c r="K34" s="492"/>
      <c r="L34" s="770"/>
      <c r="M34" s="492"/>
    </row>
    <row r="35" spans="3:14" s="490" customFormat="1" ht="13.5" customHeight="1" x14ac:dyDescent="0.2">
      <c r="D35" s="492"/>
      <c r="E35" s="492"/>
      <c r="F35" s="492"/>
      <c r="G35" s="492"/>
      <c r="H35" s="492"/>
      <c r="I35" s="492"/>
      <c r="J35" s="492"/>
      <c r="K35" s="492"/>
      <c r="L35" s="770"/>
      <c r="M35" s="492"/>
    </row>
    <row r="36" spans="3:14" s="490" customFormat="1" ht="13.5" customHeight="1" x14ac:dyDescent="0.2">
      <c r="D36" s="492"/>
      <c r="E36" s="492"/>
      <c r="F36" s="492"/>
      <c r="G36" s="492"/>
      <c r="H36" s="492"/>
      <c r="I36" s="492"/>
      <c r="J36" s="492"/>
      <c r="K36" s="492"/>
      <c r="L36" s="770"/>
      <c r="M36" s="492"/>
    </row>
    <row r="37" spans="3:14" s="490" customFormat="1" ht="13.5" customHeight="1" x14ac:dyDescent="0.2">
      <c r="D37" s="492"/>
      <c r="E37" s="492"/>
      <c r="F37" s="492"/>
      <c r="G37" s="492"/>
      <c r="H37" s="492"/>
      <c r="I37" s="492"/>
      <c r="J37" s="492"/>
      <c r="K37" s="492"/>
      <c r="L37" s="770"/>
      <c r="M37" s="492"/>
    </row>
    <row r="38" spans="3:14" ht="13.5" customHeight="1" x14ac:dyDescent="0.2">
      <c r="N38" s="490"/>
    </row>
    <row r="39" spans="3:14" ht="13.5" customHeight="1" x14ac:dyDescent="0.2">
      <c r="N39" s="490"/>
    </row>
    <row r="40" spans="3:14" ht="13.5" customHeight="1" x14ac:dyDescent="0.2">
      <c r="N40" s="490"/>
    </row>
    <row r="41" spans="3:14" ht="17.25" customHeight="1" x14ac:dyDescent="0.2"/>
    <row r="42" spans="3:14" ht="17.25" customHeight="1" x14ac:dyDescent="0.2"/>
  </sheetData>
  <sheetProtection algorithmName="SHA-512" hashValue="G3uoPSyUlMtEpvITTpOpKdRDfvaV7nTDd2yeVqVZRynLXQzEDNcB5H6EWQ7rEaDeCcQhv7M01LST/vwGrCSdbg==" saltValue="ZTp0htzK7kSRG19bsZyoGQ==" spinCount="100000" sheet="1" objects="1" scenarios="1"/>
  <mergeCells count="4">
    <mergeCell ref="B23:D23"/>
    <mergeCell ref="A1:O1"/>
    <mergeCell ref="E16:J16"/>
    <mergeCell ref="B5:G13"/>
  </mergeCells>
  <conditionalFormatting sqref="A1:XFD1048576">
    <cfRule type="expression" dxfId="34" priority="1">
      <formula>$U$15="ex-ante"</formula>
    </cfRule>
    <cfRule type="expression" dxfId="33" priority="2">
      <formula>$Q$14="gas"</formula>
    </cfRule>
  </conditionalFormatting>
  <pageMargins left="7.874015748031496E-2" right="7.874015748031496E-2" top="0.39370078740157483" bottom="0.39370078740157483" header="0.31496062992125984" footer="0.31496062992125984"/>
  <pageSetup paperSize="8" orientation="landscape" r:id="rId1"/>
  <headerFooter alignWithMargins="0">
    <oddFooter>&amp;L&amp;"Arial,Bold Italic"&amp;8&amp;F&amp;C&amp;"Arial,Bold Italic"&amp;8&amp;A&amp;"Arial,Regular"&amp;10
&amp;R&amp;"Arial,Bold Italic"&amp;8&amp;D
Pagina 1 / 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5">
    <pageSetUpPr fitToPage="1"/>
  </sheetPr>
  <dimension ref="A1:Y38"/>
  <sheetViews>
    <sheetView tabSelected="1" zoomScale="80" zoomScaleNormal="80" workbookViewId="0">
      <selection activeCell="E15" sqref="E15"/>
    </sheetView>
  </sheetViews>
  <sheetFormatPr defaultColWidth="9.140625" defaultRowHeight="12.75" x14ac:dyDescent="0.2"/>
  <cols>
    <col min="1" max="1" width="8.5703125" style="531" customWidth="1"/>
    <col min="2" max="2" width="52.140625" style="531" customWidth="1"/>
    <col min="3" max="3" width="8.5703125" style="531" customWidth="1"/>
    <col min="4" max="4" width="3.7109375" style="531" customWidth="1"/>
    <col min="5" max="13" width="20.7109375" style="531" customWidth="1"/>
    <col min="14" max="14" width="2.28515625" style="783" customWidth="1"/>
    <col min="15" max="15" width="25.7109375" style="531" customWidth="1"/>
    <col min="16" max="16" width="2.28515625" style="531" customWidth="1"/>
    <col min="17" max="17" width="25.7109375" style="531" customWidth="1"/>
    <col min="18" max="16384" width="9.140625" style="531"/>
  </cols>
  <sheetData>
    <row r="1" spans="1:25" ht="18.75" thickBot="1" x14ac:dyDescent="0.25">
      <c r="A1" s="1232" t="str">
        <f>"TABEL 5E: Werkelijke opbrengsten uit periodieke distributienettarieven in boekjaar "&amp;TITELBLAD!E16&amp;" (gas - afname)"</f>
        <v>TABEL 5E: Werkelijke opbrengsten uit periodieke distributienettarieven in boekjaar 2021 (gas - afname)</v>
      </c>
      <c r="B1" s="1233"/>
      <c r="C1" s="1233"/>
      <c r="D1" s="1233"/>
      <c r="E1" s="1233"/>
      <c r="F1" s="1233"/>
      <c r="G1" s="1233"/>
      <c r="H1" s="1233"/>
      <c r="I1" s="1233"/>
      <c r="J1" s="1233"/>
      <c r="K1" s="1233"/>
      <c r="L1" s="1233"/>
      <c r="M1" s="1233"/>
      <c r="N1" s="1233"/>
      <c r="O1" s="1234"/>
      <c r="P1" s="530"/>
      <c r="Q1" s="555"/>
      <c r="R1" s="555"/>
      <c r="S1" s="556"/>
      <c r="T1" s="556"/>
      <c r="U1" s="556"/>
      <c r="V1" s="556"/>
      <c r="W1" s="556"/>
      <c r="X1" s="556"/>
      <c r="Y1" s="556"/>
    </row>
    <row r="2" spans="1:25" x14ac:dyDescent="0.2">
      <c r="Q2" s="556"/>
      <c r="R2" s="556"/>
      <c r="S2" s="556"/>
      <c r="T2" s="556"/>
      <c r="U2" s="556"/>
      <c r="V2" s="556"/>
      <c r="W2" s="556"/>
      <c r="X2" s="556"/>
      <c r="Y2" s="556"/>
    </row>
    <row r="3" spans="1:25" s="167" customFormat="1" x14ac:dyDescent="0.2">
      <c r="N3" s="301"/>
      <c r="Q3" s="296"/>
      <c r="R3" s="296"/>
      <c r="S3" s="296"/>
      <c r="T3" s="296"/>
      <c r="U3" s="296"/>
      <c r="V3" s="296"/>
      <c r="W3" s="296"/>
      <c r="X3" s="296"/>
      <c r="Y3" s="296"/>
    </row>
    <row r="4" spans="1:25" s="167" customFormat="1" x14ac:dyDescent="0.2">
      <c r="B4" s="358" t="s">
        <v>124</v>
      </c>
      <c r="N4" s="301"/>
      <c r="Q4" s="296"/>
      <c r="R4" s="296"/>
      <c r="S4" s="296"/>
      <c r="T4" s="296"/>
      <c r="U4" s="296"/>
      <c r="V4" s="296"/>
      <c r="W4" s="296"/>
      <c r="X4" s="296"/>
      <c r="Y4" s="296"/>
    </row>
    <row r="5" spans="1:25" s="167" customFormat="1" ht="12.6" customHeight="1" x14ac:dyDescent="0.2">
      <c r="B5" s="1314" t="s">
        <v>263</v>
      </c>
      <c r="C5" s="1314"/>
      <c r="D5" s="1314"/>
      <c r="E5" s="1314"/>
      <c r="F5" s="1314"/>
      <c r="G5" s="982"/>
      <c r="H5" s="494"/>
      <c r="I5" s="494"/>
      <c r="J5" s="494"/>
      <c r="K5" s="494"/>
      <c r="L5" s="494"/>
      <c r="M5" s="494"/>
      <c r="N5" s="784"/>
      <c r="Q5" s="296"/>
      <c r="R5" s="296"/>
      <c r="S5" s="296"/>
      <c r="T5" s="296"/>
      <c r="U5" s="296"/>
      <c r="V5" s="296"/>
      <c r="W5" s="296"/>
      <c r="X5" s="296"/>
      <c r="Y5" s="296"/>
    </row>
    <row r="6" spans="1:25" s="167" customFormat="1" ht="12.6" customHeight="1" x14ac:dyDescent="0.2">
      <c r="B6" s="1314"/>
      <c r="C6" s="1314"/>
      <c r="D6" s="1314"/>
      <c r="E6" s="1314"/>
      <c r="F6" s="1314"/>
      <c r="G6" s="982"/>
      <c r="H6" s="494"/>
      <c r="I6" s="494"/>
      <c r="J6" s="494"/>
      <c r="K6" s="494"/>
      <c r="L6" s="494"/>
      <c r="M6" s="494"/>
      <c r="N6" s="784"/>
      <c r="Q6" s="296"/>
      <c r="R6" s="296"/>
      <c r="S6" s="209"/>
      <c r="T6" s="209"/>
      <c r="U6" s="209"/>
      <c r="V6" s="209"/>
      <c r="W6" s="209"/>
      <c r="X6" s="296"/>
      <c r="Y6" s="296"/>
    </row>
    <row r="7" spans="1:25" s="167" customFormat="1" ht="12.6" customHeight="1" x14ac:dyDescent="0.2">
      <c r="B7" s="1314"/>
      <c r="C7" s="1314"/>
      <c r="D7" s="1314"/>
      <c r="E7" s="1314"/>
      <c r="F7" s="1314"/>
      <c r="G7" s="982"/>
      <c r="H7" s="494"/>
      <c r="I7" s="494"/>
      <c r="J7" s="494"/>
      <c r="K7" s="494"/>
      <c r="L7" s="494"/>
      <c r="M7" s="494"/>
      <c r="N7" s="784"/>
      <c r="Q7" s="296"/>
      <c r="R7" s="296"/>
      <c r="S7" s="209"/>
      <c r="T7" s="209"/>
      <c r="U7" s="209"/>
      <c r="V7" s="209"/>
      <c r="W7" s="209"/>
      <c r="X7" s="296"/>
      <c r="Y7" s="296"/>
    </row>
    <row r="8" spans="1:25" s="167" customFormat="1" ht="12.6" customHeight="1" x14ac:dyDescent="0.2">
      <c r="B8" s="1314"/>
      <c r="C8" s="1314"/>
      <c r="D8" s="1314"/>
      <c r="E8" s="1314"/>
      <c r="F8" s="1314"/>
      <c r="G8" s="982"/>
      <c r="H8" s="494"/>
      <c r="I8" s="494"/>
      <c r="J8" s="494"/>
      <c r="K8" s="494"/>
      <c r="L8" s="494"/>
      <c r="M8" s="494"/>
      <c r="N8" s="784"/>
      <c r="Q8" s="296"/>
      <c r="R8" s="296"/>
      <c r="S8" s="209"/>
      <c r="T8" s="209"/>
      <c r="U8" s="209"/>
      <c r="V8" s="209"/>
      <c r="W8" s="209"/>
      <c r="X8" s="296"/>
      <c r="Y8" s="296"/>
    </row>
    <row r="9" spans="1:25" s="167" customFormat="1" ht="12.6" customHeight="1" x14ac:dyDescent="0.2">
      <c r="B9" s="1314"/>
      <c r="C9" s="1314"/>
      <c r="D9" s="1314"/>
      <c r="E9" s="1314"/>
      <c r="F9" s="1314"/>
      <c r="G9" s="982"/>
      <c r="H9" s="494"/>
      <c r="I9" s="494"/>
      <c r="J9" s="494"/>
      <c r="K9" s="494"/>
      <c r="L9" s="494"/>
      <c r="M9" s="494"/>
      <c r="N9" s="784"/>
      <c r="Q9" s="296"/>
      <c r="R9" s="296"/>
      <c r="S9" s="209"/>
      <c r="T9" s="209"/>
      <c r="U9" s="209"/>
      <c r="V9" s="209"/>
      <c r="W9" s="209"/>
      <c r="X9" s="296"/>
      <c r="Y9" s="296"/>
    </row>
    <row r="10" spans="1:25" s="167" customFormat="1" ht="12.6" customHeight="1" x14ac:dyDescent="0.2">
      <c r="B10" s="1314"/>
      <c r="C10" s="1314"/>
      <c r="D10" s="1314"/>
      <c r="E10" s="1314"/>
      <c r="F10" s="1314"/>
      <c r="G10" s="982"/>
      <c r="H10" s="494"/>
      <c r="I10" s="494"/>
      <c r="J10" s="494"/>
      <c r="K10" s="494"/>
      <c r="L10" s="494"/>
      <c r="M10" s="494"/>
      <c r="N10" s="784"/>
      <c r="Q10" s="296"/>
      <c r="R10" s="296"/>
      <c r="S10" s="209"/>
      <c r="T10" s="209"/>
      <c r="U10" s="209"/>
      <c r="V10" s="209"/>
      <c r="W10" s="209"/>
      <c r="X10" s="296"/>
      <c r="Y10" s="296"/>
    </row>
    <row r="11" spans="1:25" s="167" customFormat="1" ht="12.6" customHeight="1" x14ac:dyDescent="0.2">
      <c r="B11" s="1314"/>
      <c r="C11" s="1314"/>
      <c r="D11" s="1314"/>
      <c r="E11" s="1314"/>
      <c r="F11" s="1314"/>
      <c r="G11" s="982"/>
      <c r="H11" s="494"/>
      <c r="I11" s="494"/>
      <c r="J11" s="494"/>
      <c r="K11" s="494"/>
      <c r="L11" s="494"/>
      <c r="M11" s="494"/>
      <c r="N11" s="784"/>
      <c r="Q11" s="296"/>
      <c r="R11" s="296"/>
      <c r="S11" s="209"/>
      <c r="T11" s="209"/>
      <c r="U11" s="209"/>
      <c r="V11" s="209"/>
      <c r="W11" s="209"/>
      <c r="X11" s="296"/>
      <c r="Y11" s="296"/>
    </row>
    <row r="12" spans="1:25" s="167" customFormat="1" ht="12.6" customHeight="1" x14ac:dyDescent="0.2">
      <c r="B12" s="1314"/>
      <c r="C12" s="1314"/>
      <c r="D12" s="1314"/>
      <c r="E12" s="1314"/>
      <c r="F12" s="1314"/>
      <c r="G12" s="982"/>
      <c r="H12" s="494"/>
      <c r="I12" s="494"/>
      <c r="J12" s="494"/>
      <c r="K12" s="494"/>
      <c r="L12" s="494"/>
      <c r="M12" s="494"/>
      <c r="N12" s="784"/>
      <c r="Q12" s="296"/>
      <c r="R12" s="296"/>
      <c r="S12" s="209"/>
      <c r="T12" s="209"/>
      <c r="U12" s="209"/>
      <c r="V12" s="209"/>
      <c r="W12" s="209"/>
      <c r="X12" s="296"/>
      <c r="Y12" s="296"/>
    </row>
    <row r="13" spans="1:25" s="167" customFormat="1" ht="39.75" customHeight="1" x14ac:dyDescent="0.2">
      <c r="B13" s="1314"/>
      <c r="C13" s="1314"/>
      <c r="D13" s="1314"/>
      <c r="E13" s="1314"/>
      <c r="F13" s="1314"/>
      <c r="G13" s="982"/>
      <c r="H13" s="494"/>
      <c r="I13" s="494"/>
      <c r="J13" s="494"/>
      <c r="K13" s="494"/>
      <c r="L13" s="494"/>
      <c r="M13" s="494"/>
      <c r="N13" s="784"/>
      <c r="Q13" s="296"/>
      <c r="R13" s="296"/>
      <c r="S13" s="209"/>
      <c r="T13" s="209"/>
      <c r="U13" s="209"/>
      <c r="V13" s="209"/>
      <c r="W13" s="209"/>
      <c r="X13" s="296"/>
      <c r="Y13" s="296"/>
    </row>
    <row r="14" spans="1:25" s="167" customFormat="1" x14ac:dyDescent="0.2">
      <c r="N14" s="301"/>
      <c r="Q14" s="296"/>
      <c r="R14" s="296"/>
      <c r="S14" s="209"/>
      <c r="T14" s="209"/>
      <c r="U14" s="209"/>
      <c r="V14" s="209"/>
      <c r="W14" s="209"/>
      <c r="X14" s="296"/>
      <c r="Y14" s="296"/>
    </row>
    <row r="15" spans="1:25" x14ac:dyDescent="0.2">
      <c r="Q15" s="556"/>
      <c r="R15" s="556"/>
      <c r="S15" s="532" t="str">
        <f>+TITELBLAD!C10</f>
        <v>gas</v>
      </c>
      <c r="T15" s="532"/>
      <c r="U15" s="532"/>
      <c r="V15" s="532"/>
      <c r="W15" s="532"/>
      <c r="X15" s="556"/>
      <c r="Y15" s="556"/>
    </row>
    <row r="16" spans="1:25" ht="15" customHeight="1" thickBot="1" x14ac:dyDescent="0.25">
      <c r="R16" s="532"/>
      <c r="S16" s="532" t="str">
        <f>+TITELBLAD!B16</f>
        <v>Rapportering over boekjaar:</v>
      </c>
      <c r="T16" s="532"/>
      <c r="U16" s="532"/>
      <c r="V16" s="532">
        <f>+TITELBLAD!E16</f>
        <v>2021</v>
      </c>
      <c r="W16" s="532" t="str">
        <f>+TITELBLAD!F16</f>
        <v>ex-ante</v>
      </c>
    </row>
    <row r="17" spans="1:23" ht="57.75" customHeight="1" thickBot="1" x14ac:dyDescent="0.25">
      <c r="A17" s="1328"/>
      <c r="B17" s="1329"/>
      <c r="C17" s="1330"/>
      <c r="D17" s="218"/>
      <c r="E17" s="1334" t="str">
        <f>"Werkelijke opbrengsten uit periodieke distributienettarieven in boekjaar "&amp;TITELBLAD!E16&amp;" (gas-afname)"</f>
        <v>Werkelijke opbrengsten uit periodieke distributienettarieven in boekjaar 2021 (gas-afname)</v>
      </c>
      <c r="F17" s="1335"/>
      <c r="G17" s="1335"/>
      <c r="H17" s="1335"/>
      <c r="I17" s="1335"/>
      <c r="J17" s="1335"/>
      <c r="K17" s="1335"/>
      <c r="L17" s="1336"/>
      <c r="M17" s="790" t="s">
        <v>116</v>
      </c>
      <c r="N17" s="785"/>
      <c r="O17" s="217" t="str">
        <f>"Werkelijke opbrengsten m.b.t. endogene kosten in boekjaar "&amp;TITELBLAD!E16&amp;" (gas-afname)"</f>
        <v>Werkelijke opbrengsten m.b.t. endogene kosten in boekjaar 2021 (gas-afname)</v>
      </c>
      <c r="Q17" s="217" t="str">
        <f>"Werkelijke opbrengsten m.b.t. exogene kosten in boekjaar "&amp;TITELBLAD!E16&amp;" (gas-afname)"</f>
        <v>Werkelijke opbrengsten m.b.t. exogene kosten in boekjaar 2021 (gas-afname)</v>
      </c>
      <c r="R17" s="532"/>
      <c r="S17" s="532"/>
      <c r="T17" s="532"/>
      <c r="U17" s="532"/>
      <c r="V17" s="532"/>
      <c r="W17" s="532"/>
    </row>
    <row r="18" spans="1:23" s="122" customFormat="1" ht="23.45" customHeight="1" thickBot="1" x14ac:dyDescent="0.25">
      <c r="A18" s="1331"/>
      <c r="B18" s="1332"/>
      <c r="C18" s="1333"/>
      <c r="D18" s="218"/>
      <c r="E18" s="539" t="s">
        <v>268</v>
      </c>
      <c r="F18" s="538" t="s">
        <v>269</v>
      </c>
      <c r="G18" s="538" t="s">
        <v>270</v>
      </c>
      <c r="H18" s="538" t="s">
        <v>271</v>
      </c>
      <c r="I18" s="538" t="s">
        <v>272</v>
      </c>
      <c r="J18" s="538" t="s">
        <v>273</v>
      </c>
      <c r="K18" s="538" t="s">
        <v>274</v>
      </c>
      <c r="L18" s="102" t="s">
        <v>20</v>
      </c>
      <c r="M18" s="791"/>
      <c r="N18" s="786"/>
      <c r="O18" s="781" t="s">
        <v>380</v>
      </c>
      <c r="Q18" s="781" t="s">
        <v>381</v>
      </c>
      <c r="S18" s="532"/>
      <c r="T18" s="532"/>
      <c r="U18" s="532"/>
      <c r="V18" s="532"/>
      <c r="W18" s="532"/>
    </row>
    <row r="19" spans="1:23" s="122" customFormat="1" ht="18.75" customHeight="1" x14ac:dyDescent="0.2">
      <c r="A19" s="536" t="s">
        <v>264</v>
      </c>
      <c r="B19" s="103"/>
      <c r="C19" s="104"/>
      <c r="D19" s="105"/>
      <c r="E19" s="540">
        <f t="shared" ref="E19:L19" si="0">SUM(E21,E27,E24)</f>
        <v>0</v>
      </c>
      <c r="F19" s="549">
        <f t="shared" si="0"/>
        <v>0</v>
      </c>
      <c r="G19" s="549">
        <f t="shared" si="0"/>
        <v>0</v>
      </c>
      <c r="H19" s="549">
        <f t="shared" si="0"/>
        <v>0</v>
      </c>
      <c r="I19" s="549">
        <f t="shared" si="0"/>
        <v>0</v>
      </c>
      <c r="J19" s="549">
        <f t="shared" si="0"/>
        <v>0</v>
      </c>
      <c r="K19" s="549">
        <f t="shared" si="0"/>
        <v>0</v>
      </c>
      <c r="L19" s="542">
        <f t="shared" si="0"/>
        <v>0</v>
      </c>
      <c r="M19" s="792"/>
      <c r="N19" s="742"/>
      <c r="O19" s="151">
        <f>SUM(O21,O27,O24)</f>
        <v>0</v>
      </c>
      <c r="Q19" s="151">
        <f>SUM(Q21,Q27,Q24)</f>
        <v>0</v>
      </c>
      <c r="S19" s="532"/>
      <c r="T19" s="532"/>
      <c r="U19" s="532"/>
      <c r="V19" s="532"/>
      <c r="W19" s="532"/>
    </row>
    <row r="20" spans="1:23" s="533" customFormat="1" ht="18" customHeight="1" x14ac:dyDescent="0.2">
      <c r="A20" s="106"/>
      <c r="B20" s="103"/>
      <c r="C20" s="104"/>
      <c r="D20" s="105"/>
      <c r="E20" s="106"/>
      <c r="F20" s="550"/>
      <c r="G20" s="550"/>
      <c r="H20" s="550"/>
      <c r="I20" s="550"/>
      <c r="J20" s="550"/>
      <c r="K20" s="550"/>
      <c r="L20" s="543"/>
      <c r="M20" s="793"/>
      <c r="N20" s="740"/>
      <c r="O20" s="152"/>
      <c r="Q20" s="152"/>
      <c r="S20" s="557"/>
      <c r="T20" s="557"/>
      <c r="U20" s="557"/>
      <c r="V20" s="557"/>
      <c r="W20" s="557"/>
    </row>
    <row r="21" spans="1:23" s="122" customFormat="1" ht="18" customHeight="1" x14ac:dyDescent="0.2">
      <c r="A21" s="107"/>
      <c r="B21" s="537" t="s">
        <v>280</v>
      </c>
      <c r="C21" s="109"/>
      <c r="D21" s="110"/>
      <c r="E21" s="1018">
        <v>0</v>
      </c>
      <c r="F21" s="1019">
        <v>0</v>
      </c>
      <c r="G21" s="1019">
        <v>0</v>
      </c>
      <c r="H21" s="1019">
        <v>0</v>
      </c>
      <c r="I21" s="1019">
        <v>0</v>
      </c>
      <c r="J21" s="1019">
        <v>0</v>
      </c>
      <c r="K21" s="1019">
        <v>0</v>
      </c>
      <c r="L21" s="552">
        <f>SUM(E21:K21)</f>
        <v>0</v>
      </c>
      <c r="M21" s="1020">
        <v>0</v>
      </c>
      <c r="N21" s="789"/>
      <c r="O21" s="153">
        <f>L21*M21</f>
        <v>0</v>
      </c>
      <c r="Q21" s="153">
        <f>L21-O21</f>
        <v>0</v>
      </c>
    </row>
    <row r="22" spans="1:23" s="122" customFormat="1" ht="18" customHeight="1" x14ac:dyDescent="0.2">
      <c r="A22" s="106"/>
      <c r="B22" s="111"/>
      <c r="C22" s="112"/>
      <c r="D22" s="113"/>
      <c r="E22" s="162"/>
      <c r="F22" s="544"/>
      <c r="G22" s="544"/>
      <c r="H22" s="544"/>
      <c r="I22" s="544"/>
      <c r="J22" s="544"/>
      <c r="K22" s="544"/>
      <c r="L22" s="544"/>
      <c r="M22" s="794"/>
      <c r="N22" s="741"/>
      <c r="O22" s="154"/>
      <c r="Q22" s="154"/>
    </row>
    <row r="23" spans="1:23" s="122" customFormat="1" ht="18" customHeight="1" x14ac:dyDescent="0.2">
      <c r="A23" s="106"/>
      <c r="B23" s="103"/>
      <c r="C23" s="114"/>
      <c r="D23" s="115"/>
      <c r="E23" s="163"/>
      <c r="F23" s="545"/>
      <c r="G23" s="545"/>
      <c r="H23" s="545"/>
      <c r="I23" s="545"/>
      <c r="J23" s="545"/>
      <c r="K23" s="545"/>
      <c r="L23" s="545"/>
      <c r="M23" s="795"/>
      <c r="N23" s="740"/>
      <c r="O23" s="155"/>
      <c r="Q23" s="155"/>
    </row>
    <row r="24" spans="1:23" s="122" customFormat="1" ht="19.5" customHeight="1" x14ac:dyDescent="0.2">
      <c r="A24" s="107"/>
      <c r="B24" s="537" t="s">
        <v>265</v>
      </c>
      <c r="C24" s="112"/>
      <c r="D24" s="113"/>
      <c r="E24" s="1018">
        <v>0</v>
      </c>
      <c r="F24" s="1019">
        <v>0</v>
      </c>
      <c r="G24" s="1019">
        <v>0</v>
      </c>
      <c r="H24" s="1019">
        <v>0</v>
      </c>
      <c r="I24" s="1019">
        <v>0</v>
      </c>
      <c r="J24" s="1019">
        <v>0</v>
      </c>
      <c r="K24" s="1019">
        <v>0</v>
      </c>
      <c r="L24" s="552">
        <f>SUM(E24:K24)</f>
        <v>0</v>
      </c>
      <c r="M24" s="1020">
        <v>0</v>
      </c>
      <c r="N24" s="789"/>
      <c r="O24" s="153">
        <f>L24*M24</f>
        <v>0</v>
      </c>
      <c r="Q24" s="153">
        <f>L24-O24</f>
        <v>0</v>
      </c>
    </row>
    <row r="25" spans="1:23" s="122" customFormat="1" ht="14.25" customHeight="1" x14ac:dyDescent="0.2">
      <c r="A25" s="106"/>
      <c r="B25" s="103"/>
      <c r="C25" s="114"/>
      <c r="D25" s="115"/>
      <c r="E25" s="164"/>
      <c r="F25" s="545"/>
      <c r="G25" s="545"/>
      <c r="H25" s="545"/>
      <c r="I25" s="545"/>
      <c r="J25" s="545"/>
      <c r="K25" s="545"/>
      <c r="L25" s="545"/>
      <c r="M25" s="795"/>
      <c r="N25" s="740"/>
      <c r="O25" s="155"/>
      <c r="Q25" s="155"/>
    </row>
    <row r="26" spans="1:23" s="122" customFormat="1" ht="14.25" customHeight="1" x14ac:dyDescent="0.2">
      <c r="A26" s="106"/>
      <c r="B26" s="103"/>
      <c r="C26" s="114"/>
      <c r="D26" s="115"/>
      <c r="E26" s="164"/>
      <c r="F26" s="545"/>
      <c r="G26" s="545"/>
      <c r="H26" s="545"/>
      <c r="I26" s="545"/>
      <c r="J26" s="545"/>
      <c r="K26" s="545"/>
      <c r="L26" s="545"/>
      <c r="M26" s="795"/>
      <c r="N26" s="740"/>
      <c r="O26" s="155"/>
      <c r="Q26" s="155"/>
    </row>
    <row r="27" spans="1:23" s="122" customFormat="1" ht="18" customHeight="1" x14ac:dyDescent="0.2">
      <c r="A27" s="107"/>
      <c r="B27" s="537" t="s">
        <v>266</v>
      </c>
      <c r="C27" s="114"/>
      <c r="D27" s="115"/>
      <c r="E27" s="1018">
        <v>0</v>
      </c>
      <c r="F27" s="1019">
        <v>0</v>
      </c>
      <c r="G27" s="1019">
        <v>0</v>
      </c>
      <c r="H27" s="1019">
        <v>0</v>
      </c>
      <c r="I27" s="1019">
        <v>0</v>
      </c>
      <c r="J27" s="1019">
        <v>0</v>
      </c>
      <c r="K27" s="1019">
        <v>0</v>
      </c>
      <c r="L27" s="552">
        <f>SUM(E27:K27)</f>
        <v>0</v>
      </c>
      <c r="M27" s="1020">
        <v>0</v>
      </c>
      <c r="N27" s="789"/>
      <c r="O27" s="153">
        <f>L27*M27</f>
        <v>0</v>
      </c>
      <c r="Q27" s="153">
        <f>L27-O27</f>
        <v>0</v>
      </c>
    </row>
    <row r="28" spans="1:23" s="122" customFormat="1" ht="21" customHeight="1" x14ac:dyDescent="0.2">
      <c r="A28" s="106"/>
      <c r="B28" s="111"/>
      <c r="C28" s="112"/>
      <c r="D28" s="113"/>
      <c r="E28" s="162"/>
      <c r="F28" s="544"/>
      <c r="G28" s="544"/>
      <c r="H28" s="544"/>
      <c r="I28" s="544"/>
      <c r="J28" s="544"/>
      <c r="K28" s="544"/>
      <c r="L28" s="544"/>
      <c r="M28" s="794"/>
      <c r="N28" s="741"/>
      <c r="O28" s="154"/>
      <c r="Q28" s="154"/>
    </row>
    <row r="29" spans="1:23" s="122" customFormat="1" ht="18" customHeight="1" x14ac:dyDescent="0.2">
      <c r="A29" s="106"/>
      <c r="B29" s="103"/>
      <c r="C29" s="114"/>
      <c r="D29" s="115"/>
      <c r="E29" s="163"/>
      <c r="F29" s="545"/>
      <c r="G29" s="545"/>
      <c r="H29" s="545"/>
      <c r="I29" s="545"/>
      <c r="J29" s="545"/>
      <c r="K29" s="545"/>
      <c r="L29" s="545"/>
      <c r="M29" s="795"/>
      <c r="N29" s="740"/>
      <c r="O29" s="155"/>
      <c r="Q29" s="155"/>
    </row>
    <row r="30" spans="1:23" s="122" customFormat="1" ht="18" customHeight="1" x14ac:dyDescent="0.2">
      <c r="A30" s="536" t="s">
        <v>284</v>
      </c>
      <c r="B30" s="103"/>
      <c r="C30" s="112"/>
      <c r="D30" s="113"/>
      <c r="E30" s="1021">
        <v>0</v>
      </c>
      <c r="F30" s="1022">
        <v>0</v>
      </c>
      <c r="G30" s="1022">
        <v>0</v>
      </c>
      <c r="H30" s="1022">
        <v>0</v>
      </c>
      <c r="I30" s="1022">
        <v>0</v>
      </c>
      <c r="J30" s="1022">
        <v>0</v>
      </c>
      <c r="K30" s="1022">
        <v>0</v>
      </c>
      <c r="L30" s="553">
        <f>SUM(E30:K30)</f>
        <v>0</v>
      </c>
      <c r="M30" s="1017">
        <v>0</v>
      </c>
      <c r="N30" s="763"/>
      <c r="O30" s="151">
        <f>L30*M30</f>
        <v>0</v>
      </c>
      <c r="Q30" s="151">
        <f>L30-O30</f>
        <v>0</v>
      </c>
    </row>
    <row r="31" spans="1:23" s="122" customFormat="1" ht="18" customHeight="1" x14ac:dyDescent="0.2">
      <c r="A31" s="106"/>
      <c r="B31" s="103"/>
      <c r="C31" s="114"/>
      <c r="D31" s="115"/>
      <c r="E31" s="163"/>
      <c r="F31" s="545"/>
      <c r="G31" s="545"/>
      <c r="H31" s="545"/>
      <c r="I31" s="545"/>
      <c r="J31" s="545"/>
      <c r="K31" s="545"/>
      <c r="L31" s="545"/>
      <c r="M31" s="795"/>
      <c r="N31" s="740"/>
      <c r="O31" s="155"/>
      <c r="Q31" s="155"/>
    </row>
    <row r="32" spans="1:23" s="122" customFormat="1" ht="18" customHeight="1" x14ac:dyDescent="0.2">
      <c r="A32" s="106"/>
      <c r="B32" s="103"/>
      <c r="C32" s="114"/>
      <c r="D32" s="115"/>
      <c r="E32" s="163"/>
      <c r="F32" s="545"/>
      <c r="G32" s="545"/>
      <c r="H32" s="545"/>
      <c r="I32" s="545"/>
      <c r="J32" s="545"/>
      <c r="K32" s="545"/>
      <c r="L32" s="545"/>
      <c r="M32" s="795"/>
      <c r="N32" s="740"/>
      <c r="O32" s="155"/>
      <c r="Q32" s="155"/>
    </row>
    <row r="33" spans="1:17" s="122" customFormat="1" ht="22.5" customHeight="1" x14ac:dyDescent="0.2">
      <c r="A33" s="536" t="s">
        <v>267</v>
      </c>
      <c r="B33" s="103"/>
      <c r="C33" s="114"/>
      <c r="D33" s="115"/>
      <c r="E33" s="1021">
        <v>0</v>
      </c>
      <c r="F33" s="1022">
        <v>0</v>
      </c>
      <c r="G33" s="1022">
        <v>0</v>
      </c>
      <c r="H33" s="1022">
        <v>0</v>
      </c>
      <c r="I33" s="1022">
        <v>0</v>
      </c>
      <c r="J33" s="1022">
        <v>0</v>
      </c>
      <c r="K33" s="1022">
        <v>0</v>
      </c>
      <c r="L33" s="553">
        <f>SUM(E33:K33)</f>
        <v>0</v>
      </c>
      <c r="M33" s="1017">
        <v>0</v>
      </c>
      <c r="N33" s="763"/>
      <c r="O33" s="151">
        <f>L33*M33</f>
        <v>0</v>
      </c>
      <c r="Q33" s="151">
        <f>L33-O33</f>
        <v>0</v>
      </c>
    </row>
    <row r="34" spans="1:17" s="122" customFormat="1" ht="18" customHeight="1" x14ac:dyDescent="0.2">
      <c r="A34" s="116"/>
      <c r="B34" s="108"/>
      <c r="C34" s="112"/>
      <c r="D34" s="113"/>
      <c r="E34" s="165"/>
      <c r="F34" s="546"/>
      <c r="G34" s="546"/>
      <c r="H34" s="546"/>
      <c r="I34" s="546"/>
      <c r="J34" s="546"/>
      <c r="K34" s="546"/>
      <c r="L34" s="554"/>
      <c r="M34" s="796"/>
      <c r="N34" s="740"/>
      <c r="O34" s="156"/>
      <c r="Q34" s="156"/>
    </row>
    <row r="35" spans="1:17" s="122" customFormat="1" ht="14.25" customHeight="1" thickBot="1" x14ac:dyDescent="0.25">
      <c r="A35" s="116"/>
      <c r="B35" s="117"/>
      <c r="C35" s="118"/>
      <c r="D35" s="113"/>
      <c r="E35" s="113"/>
      <c r="F35" s="551"/>
      <c r="G35" s="551"/>
      <c r="H35" s="551"/>
      <c r="I35" s="551"/>
      <c r="J35" s="551"/>
      <c r="K35" s="551"/>
      <c r="L35" s="547"/>
      <c r="M35" s="797"/>
      <c r="N35" s="741"/>
      <c r="O35" s="157"/>
      <c r="Q35" s="157"/>
    </row>
    <row r="36" spans="1:17" s="122" customFormat="1" ht="21" customHeight="1" thickBot="1" x14ac:dyDescent="0.25">
      <c r="A36" s="119"/>
      <c r="B36" s="120" t="s">
        <v>278</v>
      </c>
      <c r="C36" s="121"/>
      <c r="D36" s="113"/>
      <c r="E36" s="541">
        <f t="shared" ref="E36:L36" si="1">+SUM(E19,E30,E33)</f>
        <v>0</v>
      </c>
      <c r="F36" s="548">
        <f t="shared" si="1"/>
        <v>0</v>
      </c>
      <c r="G36" s="548">
        <f t="shared" si="1"/>
        <v>0</v>
      </c>
      <c r="H36" s="548">
        <f t="shared" si="1"/>
        <v>0</v>
      </c>
      <c r="I36" s="548">
        <f t="shared" si="1"/>
        <v>0</v>
      </c>
      <c r="J36" s="548">
        <f t="shared" si="1"/>
        <v>0</v>
      </c>
      <c r="K36" s="548">
        <f t="shared" si="1"/>
        <v>0</v>
      </c>
      <c r="L36" s="548">
        <f t="shared" si="1"/>
        <v>0</v>
      </c>
      <c r="M36" s="150"/>
      <c r="N36" s="787"/>
      <c r="O36" s="158">
        <f>+SUM(O19,O30,O33)</f>
        <v>0</v>
      </c>
      <c r="Q36" s="158">
        <f>+SUM(Q19,Q30,Q33)</f>
        <v>0</v>
      </c>
    </row>
    <row r="38" spans="1:17" x14ac:dyDescent="0.2">
      <c r="C38" s="534"/>
      <c r="E38" s="535"/>
      <c r="F38" s="535"/>
      <c r="G38" s="535"/>
      <c r="H38" s="535"/>
      <c r="I38" s="535"/>
      <c r="J38" s="535"/>
      <c r="K38" s="535"/>
      <c r="L38" s="535"/>
      <c r="M38" s="535"/>
      <c r="N38" s="788"/>
    </row>
  </sheetData>
  <sheetProtection algorithmName="SHA-512" hashValue="snMIWmD3CqQcqh/nwg8lXLZO3rGbXgXUykkp8BuByOuEpL3pa6/bGUIUAz4CdWMm9/R4dbB233yi+UDo9lzdhQ==" saltValue="eCOIQ050lc2bdXwUFbcMEQ==" spinCount="100000" sheet="1" objects="1" scenarios="1"/>
  <mergeCells count="4">
    <mergeCell ref="A1:O1"/>
    <mergeCell ref="A17:C18"/>
    <mergeCell ref="B5:F13"/>
    <mergeCell ref="E17:L17"/>
  </mergeCells>
  <conditionalFormatting sqref="A1:XFD1048576">
    <cfRule type="expression" dxfId="32" priority="1">
      <formula>$W$16="ex-ante"</formula>
    </cfRule>
    <cfRule type="expression" dxfId="31" priority="2">
      <formula>$S$15="elektriciteit"</formula>
    </cfRule>
  </conditionalFormatting>
  <pageMargins left="0.19685039370078741" right="0.19685039370078741" top="0.39370078740157483" bottom="0.39370078740157483" header="0.51181102362204722" footer="0.19685039370078741"/>
  <pageSetup paperSize="8" scale="81" orientation="landscape" r:id="rId1"/>
  <headerFooter alignWithMargins="0">
    <oddFooter>&amp;C&amp;8&amp;F&amp;R&amp;8&amp;A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30975-2D20-4D95-A879-AA50E15E71FF}">
  <sheetPr codeName="Blad10">
    <pageSetUpPr fitToPage="1"/>
  </sheetPr>
  <dimension ref="A1:R30"/>
  <sheetViews>
    <sheetView zoomScale="80" zoomScaleNormal="80" workbookViewId="0">
      <selection activeCell="H28" sqref="H28"/>
    </sheetView>
  </sheetViews>
  <sheetFormatPr defaultColWidth="9.140625" defaultRowHeight="12.75" x14ac:dyDescent="0.2"/>
  <cols>
    <col min="1" max="1" width="8.5703125" style="531" customWidth="1"/>
    <col min="2" max="2" width="46.5703125" style="531" customWidth="1"/>
    <col min="3" max="3" width="5.85546875" style="531" customWidth="1"/>
    <col min="4" max="4" width="3.7109375" style="531" customWidth="1"/>
    <col min="5" max="6" width="20.7109375" style="531" customWidth="1"/>
    <col min="7" max="7" width="2.28515625" style="783" customWidth="1"/>
    <col min="8" max="8" width="25.7109375" style="531" customWidth="1"/>
    <col min="9" max="9" width="2.28515625" style="531" customWidth="1"/>
    <col min="10" max="10" width="25.7109375" style="531" customWidth="1"/>
    <col min="11" max="16384" width="9.140625" style="531"/>
  </cols>
  <sheetData>
    <row r="1" spans="1:18" ht="18.75" thickBot="1" x14ac:dyDescent="0.25">
      <c r="A1" s="1232" t="str">
        <f>"TABEL 5F: Werkelijke opbrengsten uit periodieke distributienettarieven in boekjaar "&amp;TITELBLAD!E16&amp;" (gas - injectie)"</f>
        <v>TABEL 5F: Werkelijke opbrengsten uit periodieke distributienettarieven in boekjaar 2021 (gas - injectie)</v>
      </c>
      <c r="B1" s="1233"/>
      <c r="C1" s="1233"/>
      <c r="D1" s="1233"/>
      <c r="E1" s="1233"/>
      <c r="F1" s="1233"/>
      <c r="G1" s="1233"/>
      <c r="H1" s="1234"/>
      <c r="I1" s="530"/>
      <c r="J1" s="555"/>
      <c r="K1" s="555"/>
      <c r="L1" s="556"/>
      <c r="M1" s="556"/>
      <c r="N1" s="556"/>
      <c r="O1" s="556"/>
      <c r="P1" s="556"/>
      <c r="Q1" s="556"/>
      <c r="R1" s="556"/>
    </row>
    <row r="2" spans="1:18" x14ac:dyDescent="0.2">
      <c r="J2" s="556"/>
      <c r="K2" s="556"/>
      <c r="L2" s="556"/>
      <c r="M2" s="556"/>
      <c r="N2" s="556"/>
      <c r="O2" s="556"/>
      <c r="P2" s="556"/>
      <c r="Q2" s="556"/>
      <c r="R2" s="556"/>
    </row>
    <row r="3" spans="1:18" s="167" customFormat="1" x14ac:dyDescent="0.2">
      <c r="G3" s="301"/>
      <c r="J3" s="296"/>
      <c r="K3" s="296"/>
      <c r="L3" s="296"/>
      <c r="M3" s="296"/>
      <c r="N3" s="296"/>
      <c r="O3" s="296"/>
      <c r="P3" s="296"/>
      <c r="Q3" s="296"/>
      <c r="R3" s="296"/>
    </row>
    <row r="4" spans="1:18" s="167" customFormat="1" x14ac:dyDescent="0.2">
      <c r="B4" s="358" t="s">
        <v>124</v>
      </c>
      <c r="G4" s="301"/>
      <c r="J4" s="296"/>
      <c r="K4" s="296"/>
      <c r="L4" s="296"/>
      <c r="M4" s="296"/>
      <c r="N4" s="296"/>
      <c r="O4" s="296"/>
      <c r="P4" s="296"/>
      <c r="Q4" s="296"/>
      <c r="R4" s="296"/>
    </row>
    <row r="5" spans="1:18" s="167" customFormat="1" ht="12.6" customHeight="1" x14ac:dyDescent="0.2">
      <c r="B5" s="1314" t="s">
        <v>275</v>
      </c>
      <c r="C5" s="1314"/>
      <c r="D5" s="1314"/>
      <c r="E5" s="1314"/>
      <c r="F5" s="1314"/>
      <c r="G5" s="798"/>
      <c r="J5" s="296"/>
      <c r="K5" s="296"/>
      <c r="L5" s="296"/>
      <c r="M5" s="296"/>
      <c r="N5" s="296"/>
      <c r="O5" s="296"/>
      <c r="P5" s="296"/>
      <c r="Q5" s="296"/>
      <c r="R5" s="296"/>
    </row>
    <row r="6" spans="1:18" s="167" customFormat="1" ht="12.6" customHeight="1" x14ac:dyDescent="0.2">
      <c r="B6" s="1314"/>
      <c r="C6" s="1314"/>
      <c r="D6" s="1314"/>
      <c r="E6" s="1314"/>
      <c r="F6" s="1314"/>
      <c r="G6" s="798"/>
      <c r="J6" s="296"/>
      <c r="K6" s="296"/>
      <c r="L6" s="209"/>
      <c r="M6" s="209"/>
      <c r="N6" s="209"/>
      <c r="O6" s="209"/>
      <c r="P6" s="209"/>
      <c r="Q6" s="296"/>
      <c r="R6" s="296"/>
    </row>
    <row r="7" spans="1:18" s="167" customFormat="1" ht="12.6" customHeight="1" x14ac:dyDescent="0.2">
      <c r="B7" s="1314"/>
      <c r="C7" s="1314"/>
      <c r="D7" s="1314"/>
      <c r="E7" s="1314"/>
      <c r="F7" s="1314"/>
      <c r="G7" s="798"/>
      <c r="J7" s="296"/>
      <c r="K7" s="296"/>
      <c r="L7" s="209"/>
      <c r="M7" s="209"/>
      <c r="N7" s="209"/>
      <c r="O7" s="209"/>
      <c r="P7" s="209"/>
      <c r="Q7" s="296"/>
      <c r="R7" s="296"/>
    </row>
    <row r="8" spans="1:18" s="167" customFormat="1" ht="12.6" customHeight="1" x14ac:dyDescent="0.2">
      <c r="B8" s="1314"/>
      <c r="C8" s="1314"/>
      <c r="D8" s="1314"/>
      <c r="E8" s="1314"/>
      <c r="F8" s="1314"/>
      <c r="G8" s="798"/>
      <c r="J8" s="296"/>
      <c r="K8" s="296"/>
      <c r="L8" s="209"/>
      <c r="M8" s="209"/>
      <c r="N8" s="209"/>
      <c r="O8" s="209"/>
      <c r="P8" s="209"/>
      <c r="Q8" s="296"/>
      <c r="R8" s="296"/>
    </row>
    <row r="9" spans="1:18" s="167" customFormat="1" ht="12.6" customHeight="1" x14ac:dyDescent="0.2">
      <c r="B9" s="1314"/>
      <c r="C9" s="1314"/>
      <c r="D9" s="1314"/>
      <c r="E9" s="1314"/>
      <c r="F9" s="1314"/>
      <c r="G9" s="798"/>
      <c r="J9" s="296"/>
      <c r="K9" s="296"/>
      <c r="L9" s="209"/>
      <c r="M9" s="209"/>
      <c r="N9" s="209"/>
      <c r="O9" s="209"/>
      <c r="P9" s="209"/>
      <c r="Q9" s="296"/>
      <c r="R9" s="296"/>
    </row>
    <row r="10" spans="1:18" s="167" customFormat="1" ht="12.6" customHeight="1" x14ac:dyDescent="0.2">
      <c r="B10" s="1314"/>
      <c r="C10" s="1314"/>
      <c r="D10" s="1314"/>
      <c r="E10" s="1314"/>
      <c r="F10" s="1314"/>
      <c r="G10" s="798"/>
      <c r="J10" s="296"/>
      <c r="K10" s="296"/>
      <c r="L10" s="209"/>
      <c r="M10" s="209"/>
      <c r="N10" s="209"/>
      <c r="O10" s="209"/>
      <c r="P10" s="209"/>
      <c r="Q10" s="296"/>
      <c r="R10" s="296"/>
    </row>
    <row r="11" spans="1:18" s="167" customFormat="1" ht="12.6" customHeight="1" x14ac:dyDescent="0.2">
      <c r="B11" s="1314"/>
      <c r="C11" s="1314"/>
      <c r="D11" s="1314"/>
      <c r="E11" s="1314"/>
      <c r="F11" s="1314"/>
      <c r="G11" s="798"/>
      <c r="J11" s="296"/>
      <c r="K11" s="296"/>
      <c r="L11" s="209"/>
      <c r="M11" s="209"/>
      <c r="N11" s="209"/>
      <c r="O11" s="209"/>
      <c r="P11" s="209"/>
      <c r="Q11" s="296"/>
      <c r="R11" s="296"/>
    </row>
    <row r="12" spans="1:18" s="167" customFormat="1" ht="12.6" customHeight="1" x14ac:dyDescent="0.2">
      <c r="B12" s="1314"/>
      <c r="C12" s="1314"/>
      <c r="D12" s="1314"/>
      <c r="E12" s="1314"/>
      <c r="F12" s="1314"/>
      <c r="G12" s="798"/>
      <c r="J12" s="296"/>
      <c r="K12" s="296"/>
      <c r="L12" s="209"/>
      <c r="M12" s="209"/>
      <c r="N12" s="209"/>
      <c r="O12" s="209"/>
      <c r="P12" s="209"/>
      <c r="Q12" s="296"/>
      <c r="R12" s="296"/>
    </row>
    <row r="13" spans="1:18" s="167" customFormat="1" ht="12.6" customHeight="1" x14ac:dyDescent="0.2">
      <c r="B13" s="1314"/>
      <c r="C13" s="1314"/>
      <c r="D13" s="1314"/>
      <c r="E13" s="1314"/>
      <c r="F13" s="1314"/>
      <c r="G13" s="798"/>
      <c r="J13" s="296"/>
      <c r="K13" s="296"/>
      <c r="L13" s="209"/>
      <c r="M13" s="209"/>
      <c r="N13" s="209"/>
      <c r="O13" s="209"/>
      <c r="P13" s="209"/>
      <c r="Q13" s="296"/>
      <c r="R13" s="296"/>
    </row>
    <row r="14" spans="1:18" s="167" customFormat="1" ht="38.25" customHeight="1" x14ac:dyDescent="0.2">
      <c r="B14" s="1314"/>
      <c r="C14" s="1314"/>
      <c r="D14" s="1314"/>
      <c r="E14" s="1314"/>
      <c r="F14" s="1314"/>
      <c r="G14" s="798"/>
      <c r="J14" s="296"/>
      <c r="K14" s="296"/>
      <c r="L14" s="209"/>
      <c r="M14" s="209"/>
      <c r="N14" s="209"/>
      <c r="O14" s="209"/>
      <c r="P14" s="209"/>
      <c r="Q14" s="296"/>
      <c r="R14" s="296"/>
    </row>
    <row r="15" spans="1:18" s="167" customFormat="1" x14ac:dyDescent="0.2">
      <c r="G15" s="301"/>
      <c r="J15" s="296"/>
      <c r="K15" s="296"/>
      <c r="L15" s="209"/>
      <c r="M15" s="209"/>
      <c r="N15" s="209"/>
      <c r="O15" s="209"/>
      <c r="P15" s="209"/>
      <c r="Q15" s="296"/>
      <c r="R15" s="296"/>
    </row>
    <row r="16" spans="1:18" x14ac:dyDescent="0.2">
      <c r="J16" s="556"/>
      <c r="K16" s="556"/>
      <c r="L16" s="532" t="str">
        <f>+TITELBLAD!C10</f>
        <v>gas</v>
      </c>
      <c r="M16" s="532"/>
      <c r="N16" s="532"/>
      <c r="O16" s="532"/>
      <c r="P16" s="532"/>
      <c r="Q16" s="556"/>
      <c r="R16" s="556"/>
    </row>
    <row r="17" spans="1:16" ht="15" customHeight="1" thickBot="1" x14ac:dyDescent="0.25">
      <c r="K17" s="532"/>
      <c r="L17" s="532" t="str">
        <f>+TITELBLAD!B16</f>
        <v>Rapportering over boekjaar:</v>
      </c>
      <c r="M17" s="532"/>
      <c r="N17" s="532"/>
      <c r="O17" s="532">
        <f>+TITELBLAD!E16</f>
        <v>2021</v>
      </c>
      <c r="P17" s="532" t="str">
        <f>+TITELBLAD!F16</f>
        <v>ex-ante</v>
      </c>
    </row>
    <row r="18" spans="1:16" ht="83.25" customHeight="1" thickBot="1" x14ac:dyDescent="0.25">
      <c r="A18" s="1328"/>
      <c r="B18" s="1329"/>
      <c r="C18" s="1330"/>
      <c r="D18" s="218"/>
      <c r="E18" s="219" t="str">
        <f>"Werkelijke opbrengsten uit periodieke distributienettarieven in boekjaar "&amp;TITELBLAD!E16&amp;" (gas-injectie)"</f>
        <v>Werkelijke opbrengsten uit periodieke distributienettarieven in boekjaar 2021 (gas-injectie)</v>
      </c>
      <c r="F18" s="799" t="s">
        <v>116</v>
      </c>
      <c r="G18" s="785"/>
      <c r="H18" s="217" t="str">
        <f>"Werkelijke opbrengsten m.b.t. endogene kosten in boekjaar "&amp;TITELBLAD!E16&amp;" (gas-injectie)"</f>
        <v>Werkelijke opbrengsten m.b.t. endogene kosten in boekjaar 2021 (gas-injectie)</v>
      </c>
      <c r="J18" s="217" t="str">
        <f>"Werkelijke opbrengsten m.b.t. exogene kosten in boekjaar "&amp;TITELBLAD!E16&amp;" (gas-injectie)"</f>
        <v>Werkelijke opbrengsten m.b.t. exogene kosten in boekjaar 2021 (gas-injectie)</v>
      </c>
      <c r="K18" s="532"/>
      <c r="L18" s="532"/>
      <c r="M18" s="532"/>
      <c r="N18" s="532"/>
      <c r="O18" s="532"/>
      <c r="P18" s="532"/>
    </row>
    <row r="19" spans="1:16" s="122" customFormat="1" ht="23.45" customHeight="1" thickBot="1" x14ac:dyDescent="0.25">
      <c r="A19" s="1331"/>
      <c r="B19" s="1332"/>
      <c r="C19" s="1333"/>
      <c r="D19" s="218"/>
      <c r="E19" s="802" t="s">
        <v>20</v>
      </c>
      <c r="F19" s="800"/>
      <c r="G19" s="786"/>
      <c r="H19" s="781" t="s">
        <v>380</v>
      </c>
      <c r="I19" s="803"/>
      <c r="J19" s="781" t="s">
        <v>381</v>
      </c>
      <c r="L19" s="532"/>
      <c r="M19" s="532"/>
      <c r="N19" s="532"/>
      <c r="O19" s="532"/>
      <c r="P19" s="532"/>
    </row>
    <row r="20" spans="1:16" s="122" customFormat="1" ht="18.75" customHeight="1" x14ac:dyDescent="0.2">
      <c r="A20" s="536" t="s">
        <v>264</v>
      </c>
      <c r="B20" s="103"/>
      <c r="C20" s="104"/>
      <c r="D20" s="105"/>
      <c r="E20" s="146">
        <f>+SUM(E22,E25)</f>
        <v>0</v>
      </c>
      <c r="F20" s="792"/>
      <c r="G20" s="742"/>
      <c r="H20" s="151">
        <f>+SUM(H22,H25)</f>
        <v>0</v>
      </c>
      <c r="J20" s="151">
        <f>+SUM(J22,J25)</f>
        <v>0</v>
      </c>
      <c r="L20" s="532"/>
      <c r="M20" s="532"/>
      <c r="N20" s="532"/>
      <c r="O20" s="532"/>
      <c r="P20" s="532"/>
    </row>
    <row r="21" spans="1:16" s="533" customFormat="1" ht="18" customHeight="1" x14ac:dyDescent="0.2">
      <c r="A21" s="106"/>
      <c r="B21" s="103"/>
      <c r="C21" s="104"/>
      <c r="D21" s="105"/>
      <c r="E21" s="147"/>
      <c r="F21" s="793"/>
      <c r="G21" s="740"/>
      <c r="H21" s="152"/>
      <c r="J21" s="152"/>
      <c r="L21" s="557"/>
      <c r="M21" s="557"/>
      <c r="N21" s="557"/>
      <c r="O21" s="557"/>
      <c r="P21" s="557"/>
    </row>
    <row r="22" spans="1:16" s="122" customFormat="1" ht="19.5" customHeight="1" x14ac:dyDescent="0.2">
      <c r="A22" s="107"/>
      <c r="B22" s="537" t="s">
        <v>276</v>
      </c>
      <c r="C22" s="112"/>
      <c r="D22" s="113"/>
      <c r="E22" s="1011">
        <v>0</v>
      </c>
      <c r="F22" s="1023">
        <v>0</v>
      </c>
      <c r="G22" s="789"/>
      <c r="H22" s="153">
        <f>+E22*F22</f>
        <v>0</v>
      </c>
      <c r="J22" s="153">
        <f>+E22-H22</f>
        <v>0</v>
      </c>
    </row>
    <row r="23" spans="1:16" s="122" customFormat="1" ht="14.25" customHeight="1" x14ac:dyDescent="0.2">
      <c r="A23" s="106"/>
      <c r="B23" s="103"/>
      <c r="C23" s="114"/>
      <c r="D23" s="115"/>
      <c r="E23" s="558"/>
      <c r="F23" s="793"/>
      <c r="G23" s="740"/>
      <c r="H23" s="155"/>
      <c r="J23" s="155"/>
    </row>
    <row r="24" spans="1:16" s="122" customFormat="1" ht="14.25" customHeight="1" x14ac:dyDescent="0.2">
      <c r="A24" s="106"/>
      <c r="B24" s="103"/>
      <c r="C24" s="114"/>
      <c r="D24" s="115"/>
      <c r="E24" s="558"/>
      <c r="F24" s="793"/>
      <c r="G24" s="740"/>
      <c r="H24" s="155"/>
      <c r="J24" s="155"/>
    </row>
    <row r="25" spans="1:16" s="122" customFormat="1" ht="18" customHeight="1" x14ac:dyDescent="0.2">
      <c r="A25" s="107"/>
      <c r="B25" s="537" t="s">
        <v>277</v>
      </c>
      <c r="C25" s="114"/>
      <c r="D25" s="115"/>
      <c r="E25" s="1011">
        <v>0</v>
      </c>
      <c r="F25" s="1023">
        <v>0</v>
      </c>
      <c r="G25" s="789"/>
      <c r="H25" s="153">
        <f>+E25*F25</f>
        <v>0</v>
      </c>
      <c r="J25" s="153">
        <f>+E25-H25</f>
        <v>0</v>
      </c>
    </row>
    <row r="26" spans="1:16" s="122" customFormat="1" ht="18" customHeight="1" x14ac:dyDescent="0.2">
      <c r="A26" s="116"/>
      <c r="B26" s="108"/>
      <c r="C26" s="112"/>
      <c r="D26" s="113"/>
      <c r="E26" s="559"/>
      <c r="F26" s="801"/>
      <c r="G26" s="740"/>
      <c r="H26" s="156"/>
      <c r="J26" s="156"/>
    </row>
    <row r="27" spans="1:16" s="122" customFormat="1" ht="14.25" customHeight="1" thickBot="1" x14ac:dyDescent="0.25">
      <c r="A27" s="116"/>
      <c r="B27" s="117"/>
      <c r="C27" s="118"/>
      <c r="D27" s="113"/>
      <c r="E27" s="148"/>
      <c r="F27" s="797"/>
      <c r="G27" s="741"/>
      <c r="H27" s="157"/>
      <c r="J27" s="157"/>
    </row>
    <row r="28" spans="1:16" s="122" customFormat="1" ht="21" customHeight="1" thickBot="1" x14ac:dyDescent="0.25">
      <c r="A28" s="119"/>
      <c r="B28" s="120" t="s">
        <v>279</v>
      </c>
      <c r="C28" s="121"/>
      <c r="D28" s="113"/>
      <c r="E28" s="149">
        <f>+E20</f>
        <v>0</v>
      </c>
      <c r="F28" s="782"/>
      <c r="G28" s="787"/>
      <c r="H28" s="158">
        <f>+H20</f>
        <v>0</v>
      </c>
      <c r="J28" s="158">
        <f>+J20</f>
        <v>0</v>
      </c>
    </row>
    <row r="30" spans="1:16" x14ac:dyDescent="0.2">
      <c r="C30" s="534"/>
      <c r="E30" s="535"/>
      <c r="F30" s="535"/>
      <c r="G30" s="788"/>
    </row>
  </sheetData>
  <sheetProtection algorithmName="SHA-512" hashValue="VTX/qSCqlJNwLfXpZuKdfb30X7oeWQLxF5QclCN/zebrGV3xOsz8nvtZ1ycbi2d8A323pZUYkaVlFPJMLi33pA==" saltValue="qOpCTICmSkFDAxbmlHMXaA==" spinCount="100000" sheet="1" objects="1" scenarios="1"/>
  <mergeCells count="3">
    <mergeCell ref="A1:H1"/>
    <mergeCell ref="A18:C19"/>
    <mergeCell ref="B5:F14"/>
  </mergeCells>
  <conditionalFormatting sqref="A1:XFD1048576">
    <cfRule type="expression" dxfId="30" priority="19">
      <formula>$P$17="ex-ante"</formula>
    </cfRule>
    <cfRule type="expression" dxfId="29" priority="20">
      <formula>$L$16="elektriciteit"</formula>
    </cfRule>
  </conditionalFormatting>
  <pageMargins left="0.19685039370078741" right="0.19685039370078741" top="0.39370078740157483" bottom="0.39370078740157483" header="0.51181102362204722" footer="0.19685039370078741"/>
  <pageSetup paperSize="8" scale="81" orientation="landscape" r:id="rId1"/>
  <headerFooter alignWithMargins="0">
    <oddFooter>&amp;C&amp;8&amp;F&amp;R&amp;8&amp;A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pageSetUpPr fitToPage="1"/>
  </sheetPr>
  <dimension ref="A1:AE123"/>
  <sheetViews>
    <sheetView topLeftCell="A37" zoomScale="80" zoomScaleNormal="80" zoomScaleSheetLayoutView="80" workbookViewId="0">
      <selection activeCell="A44" sqref="A44:B44"/>
    </sheetView>
  </sheetViews>
  <sheetFormatPr defaultColWidth="11.42578125" defaultRowHeight="12.75" x14ac:dyDescent="0.2"/>
  <cols>
    <col min="1" max="1" width="25.42578125" style="178" customWidth="1"/>
    <col min="2" max="2" width="26.28515625" style="178" customWidth="1"/>
    <col min="3" max="10" width="20.7109375" style="178" customWidth="1"/>
    <col min="11" max="11" width="2.28515625" style="178" customWidth="1"/>
    <col min="12" max="12" width="17.7109375" style="178" customWidth="1"/>
    <col min="13" max="13" width="2" style="178" customWidth="1"/>
    <col min="14" max="14" width="17.7109375" style="178" customWidth="1"/>
    <col min="15" max="15" width="28.7109375" style="178" bestFit="1" customWidth="1"/>
    <col min="16" max="16" width="14" style="178" customWidth="1"/>
    <col min="17" max="17" width="11.42578125" style="178"/>
    <col min="18" max="18" width="12.28515625" style="178" bestFit="1" customWidth="1"/>
    <col min="19" max="16384" width="11.42578125" style="178"/>
  </cols>
  <sheetData>
    <row r="1" spans="1:19" ht="21.75" customHeight="1" thickBot="1" x14ac:dyDescent="0.25">
      <c r="A1" s="1294" t="s">
        <v>127</v>
      </c>
      <c r="B1" s="1295"/>
      <c r="C1" s="1295"/>
      <c r="D1" s="1295"/>
      <c r="E1" s="1295"/>
      <c r="F1" s="1295"/>
      <c r="G1" s="1295"/>
      <c r="H1" s="1295"/>
      <c r="I1" s="1295"/>
      <c r="J1" s="1295"/>
      <c r="K1" s="1295"/>
      <c r="L1" s="1296"/>
      <c r="M1" s="220"/>
      <c r="N1" s="296"/>
      <c r="O1" s="575"/>
      <c r="P1" s="237"/>
      <c r="Q1" s="237"/>
      <c r="R1" s="231"/>
      <c r="S1" s="231"/>
    </row>
    <row r="2" spans="1:19" x14ac:dyDescent="0.2">
      <c r="A2" s="233"/>
      <c r="B2" s="233"/>
      <c r="C2" s="233"/>
      <c r="D2" s="233"/>
      <c r="E2" s="233"/>
      <c r="F2" s="233"/>
      <c r="G2" s="233"/>
      <c r="H2" s="233"/>
      <c r="I2" s="233"/>
      <c r="J2" s="233"/>
      <c r="K2" s="233"/>
      <c r="L2" s="233"/>
      <c r="M2" s="220"/>
      <c r="N2" s="296"/>
      <c r="O2" s="288"/>
      <c r="P2" s="237"/>
      <c r="Q2" s="237"/>
      <c r="R2" s="231"/>
      <c r="S2" s="231"/>
    </row>
    <row r="3" spans="1:19" x14ac:dyDescent="0.2">
      <c r="A3" s="233"/>
      <c r="B3" s="233"/>
      <c r="C3" s="233"/>
      <c r="D3" s="233"/>
      <c r="E3" s="233"/>
      <c r="F3" s="233"/>
      <c r="G3" s="233"/>
      <c r="H3" s="233"/>
      <c r="I3" s="233"/>
      <c r="J3" s="233"/>
      <c r="K3" s="233"/>
      <c r="L3" s="233"/>
      <c r="M3" s="220"/>
      <c r="N3" s="296"/>
      <c r="O3" s="288" t="str">
        <f>+TITELBLAD!B16</f>
        <v>Rapportering over boekjaar:</v>
      </c>
      <c r="P3" s="237">
        <f>+TITELBLAD!E16</f>
        <v>2021</v>
      </c>
      <c r="Q3" s="237" t="str">
        <f>+TITELBLAD!F16</f>
        <v>ex-ante</v>
      </c>
      <c r="R3" s="231"/>
      <c r="S3" s="231"/>
    </row>
    <row r="4" spans="1:19" s="167" customFormat="1" ht="16.5" x14ac:dyDescent="0.2">
      <c r="A4" s="224"/>
      <c r="C4" s="1244" t="str">
        <f>+TITELBLAD!C7</f>
        <v>NAAM DNB</v>
      </c>
      <c r="D4" s="1245"/>
      <c r="E4" s="1245"/>
      <c r="F4" s="1245"/>
      <c r="G4" s="1245"/>
      <c r="H4" s="1245"/>
      <c r="I4" s="1245"/>
      <c r="J4" s="1246"/>
      <c r="K4" s="220"/>
      <c r="M4" s="209"/>
      <c r="N4" s="231"/>
      <c r="O4" s="237"/>
      <c r="P4" s="209"/>
      <c r="Q4" s="209"/>
      <c r="R4" s="296"/>
      <c r="S4" s="296"/>
    </row>
    <row r="5" spans="1:19" s="167" customFormat="1" ht="16.5" x14ac:dyDescent="0.2">
      <c r="A5" s="224"/>
      <c r="C5" s="1244" t="str">
        <f>+TITELBLAD!C10</f>
        <v>gas</v>
      </c>
      <c r="D5" s="1245"/>
      <c r="E5" s="1245"/>
      <c r="F5" s="1245"/>
      <c r="G5" s="1245"/>
      <c r="H5" s="1245"/>
      <c r="I5" s="1245"/>
      <c r="J5" s="1246"/>
      <c r="K5" s="220"/>
      <c r="M5" s="209"/>
      <c r="N5" s="296"/>
      <c r="O5" s="209"/>
      <c r="P5" s="209"/>
      <c r="Q5" s="209"/>
      <c r="R5" s="296"/>
      <c r="S5" s="296"/>
    </row>
    <row r="6" spans="1:19" s="167" customFormat="1" ht="17.25" thickBot="1" x14ac:dyDescent="0.25">
      <c r="A6" s="224"/>
      <c r="C6" s="1354" t="s">
        <v>19</v>
      </c>
      <c r="D6" s="1355"/>
      <c r="E6" s="1355"/>
      <c r="F6" s="1355"/>
      <c r="G6" s="1355"/>
      <c r="H6" s="1355"/>
      <c r="I6" s="1355"/>
      <c r="J6" s="1356"/>
      <c r="K6" s="220"/>
      <c r="N6" s="296"/>
      <c r="O6" s="209"/>
      <c r="P6" s="209"/>
      <c r="Q6" s="209"/>
      <c r="R6" s="296"/>
      <c r="S6" s="296"/>
    </row>
    <row r="7" spans="1:19" s="167" customFormat="1" ht="44.45" customHeight="1" thickBot="1" x14ac:dyDescent="0.25">
      <c r="A7" s="1349"/>
      <c r="B7" s="1350"/>
      <c r="C7" s="930">
        <v>2017</v>
      </c>
      <c r="D7" s="930">
        <v>2018</v>
      </c>
      <c r="E7" s="930">
        <v>2019</v>
      </c>
      <c r="F7" s="930">
        <v>2020</v>
      </c>
      <c r="G7" s="930">
        <v>2021</v>
      </c>
      <c r="H7" s="931">
        <v>2022</v>
      </c>
      <c r="I7" s="931">
        <v>2023</v>
      </c>
      <c r="J7" s="932">
        <v>2024</v>
      </c>
      <c r="K7" s="220"/>
      <c r="N7" s="296"/>
      <c r="O7" s="209"/>
      <c r="P7" s="209"/>
      <c r="Q7" s="209"/>
      <c r="R7" s="296"/>
      <c r="S7" s="296"/>
    </row>
    <row r="8" spans="1:19" s="167" customFormat="1" ht="39.6" customHeight="1" thickBot="1" x14ac:dyDescent="0.25">
      <c r="A8" s="1308" t="s">
        <v>154</v>
      </c>
      <c r="B8" s="1309"/>
      <c r="C8" s="880">
        <f t="shared" ref="C8:G8" si="0">SUM(C9:C15)</f>
        <v>0</v>
      </c>
      <c r="D8" s="880">
        <f t="shared" si="0"/>
        <v>0</v>
      </c>
      <c r="E8" s="880">
        <f t="shared" si="0"/>
        <v>0</v>
      </c>
      <c r="F8" s="880">
        <f t="shared" si="0"/>
        <v>0</v>
      </c>
      <c r="G8" s="880">
        <f t="shared" si="0"/>
        <v>0</v>
      </c>
      <c r="H8" s="881"/>
      <c r="I8" s="881"/>
      <c r="J8" s="882"/>
      <c r="K8" s="220"/>
      <c r="N8" s="296"/>
      <c r="O8" s="296"/>
      <c r="P8" s="296"/>
      <c r="Q8" s="296"/>
      <c r="R8" s="296"/>
      <c r="S8" s="296"/>
    </row>
    <row r="9" spans="1:19" s="167" customFormat="1" ht="22.5" customHeight="1" x14ac:dyDescent="0.2">
      <c r="A9" s="1339" t="s">
        <v>107</v>
      </c>
      <c r="B9" s="1340"/>
      <c r="C9" s="255">
        <f>+T5A!E9</f>
        <v>0</v>
      </c>
      <c r="D9" s="255">
        <f>+T5A!F9</f>
        <v>0</v>
      </c>
      <c r="E9" s="255">
        <f>+T5A!G9</f>
        <v>0</v>
      </c>
      <c r="F9" s="213">
        <v>0</v>
      </c>
      <c r="G9" s="213">
        <v>0</v>
      </c>
      <c r="H9" s="340"/>
      <c r="I9" s="340"/>
      <c r="J9" s="884"/>
      <c r="K9" s="220"/>
      <c r="N9" s="296"/>
      <c r="O9" s="296"/>
      <c r="P9" s="296"/>
      <c r="Q9" s="296"/>
      <c r="R9" s="296"/>
      <c r="S9" s="296"/>
    </row>
    <row r="10" spans="1:19" s="167" customFormat="1" ht="21" customHeight="1" x14ac:dyDescent="0.2">
      <c r="A10" s="1337" t="s">
        <v>108</v>
      </c>
      <c r="B10" s="1338"/>
      <c r="C10" s="255">
        <f>+T5A!E10</f>
        <v>0</v>
      </c>
      <c r="D10" s="255">
        <f>+T5A!F10</f>
        <v>0</v>
      </c>
      <c r="E10" s="255">
        <f>+T5A!G10</f>
        <v>0</v>
      </c>
      <c r="F10" s="213">
        <v>0</v>
      </c>
      <c r="G10" s="213">
        <v>0</v>
      </c>
      <c r="H10" s="340"/>
      <c r="I10" s="340"/>
      <c r="J10" s="884"/>
      <c r="K10" s="220"/>
    </row>
    <row r="11" spans="1:19" s="167" customFormat="1" ht="21" customHeight="1" x14ac:dyDescent="0.2">
      <c r="A11" s="1337" t="s">
        <v>204</v>
      </c>
      <c r="B11" s="1338"/>
      <c r="C11" s="213">
        <v>0</v>
      </c>
      <c r="D11" s="213">
        <v>0</v>
      </c>
      <c r="E11" s="213">
        <v>0</v>
      </c>
      <c r="F11" s="213">
        <v>0</v>
      </c>
      <c r="G11" s="213">
        <v>0</v>
      </c>
      <c r="H11" s="340"/>
      <c r="I11" s="340"/>
      <c r="J11" s="884"/>
      <c r="K11" s="220"/>
    </row>
    <row r="12" spans="1:19" s="167" customFormat="1" ht="21.75" customHeight="1" x14ac:dyDescent="0.2">
      <c r="A12" s="1337" t="s">
        <v>109</v>
      </c>
      <c r="B12" s="1338"/>
      <c r="C12" s="255">
        <f>+T5A!E12</f>
        <v>0</v>
      </c>
      <c r="D12" s="255">
        <f>+T5A!F12</f>
        <v>0</v>
      </c>
      <c r="E12" s="255">
        <f>+T5A!G12</f>
        <v>0</v>
      </c>
      <c r="F12" s="213">
        <v>0</v>
      </c>
      <c r="G12" s="213">
        <v>0</v>
      </c>
      <c r="H12" s="340"/>
      <c r="I12" s="340"/>
      <c r="J12" s="884"/>
      <c r="K12" s="220"/>
    </row>
    <row r="13" spans="1:19" s="167" customFormat="1" ht="35.25" customHeight="1" x14ac:dyDescent="0.2">
      <c r="A13" s="1337" t="s">
        <v>110</v>
      </c>
      <c r="B13" s="1338"/>
      <c r="C13" s="255">
        <f>+T5A!E13</f>
        <v>0</v>
      </c>
      <c r="D13" s="255">
        <f>+T5A!F13</f>
        <v>0</v>
      </c>
      <c r="E13" s="255">
        <f>+T5A!G13</f>
        <v>0</v>
      </c>
      <c r="F13" s="213">
        <v>0</v>
      </c>
      <c r="G13" s="213">
        <v>0</v>
      </c>
      <c r="H13" s="340"/>
      <c r="I13" s="340"/>
      <c r="J13" s="884"/>
      <c r="K13" s="220"/>
    </row>
    <row r="14" spans="1:19" s="167" customFormat="1" ht="30.75" customHeight="1" x14ac:dyDescent="0.2">
      <c r="A14" s="1337" t="s">
        <v>111</v>
      </c>
      <c r="B14" s="1338"/>
      <c r="C14" s="255">
        <f>+T5A!E14</f>
        <v>0</v>
      </c>
      <c r="D14" s="255">
        <f>+T5A!F14</f>
        <v>0</v>
      </c>
      <c r="E14" s="255">
        <f>+T5A!G14</f>
        <v>0</v>
      </c>
      <c r="F14" s="213">
        <v>0</v>
      </c>
      <c r="G14" s="213">
        <v>0</v>
      </c>
      <c r="H14" s="340"/>
      <c r="I14" s="340"/>
      <c r="J14" s="884"/>
      <c r="K14" s="220"/>
    </row>
    <row r="15" spans="1:19" s="167" customFormat="1" ht="35.25" customHeight="1" thickBot="1" x14ac:dyDescent="0.25">
      <c r="A15" s="1345" t="s">
        <v>112</v>
      </c>
      <c r="B15" s="1346"/>
      <c r="C15" s="900">
        <f>+T5A!E15</f>
        <v>0</v>
      </c>
      <c r="D15" s="900">
        <f>+T5A!F15</f>
        <v>0</v>
      </c>
      <c r="E15" s="900">
        <f>+T5A!G15</f>
        <v>0</v>
      </c>
      <c r="F15" s="1007">
        <v>0</v>
      </c>
      <c r="G15" s="1007">
        <v>0</v>
      </c>
      <c r="H15" s="885"/>
      <c r="I15" s="885"/>
      <c r="J15" s="886"/>
      <c r="K15" s="220"/>
    </row>
    <row r="16" spans="1:19" ht="10.5" customHeight="1" thickBot="1" x14ac:dyDescent="0.25"/>
    <row r="17" spans="1:11" s="167" customFormat="1" ht="66" customHeight="1" thickBot="1" x14ac:dyDescent="0.25">
      <c r="A17" s="1308" t="s">
        <v>281</v>
      </c>
      <c r="B17" s="1309"/>
      <c r="C17" s="880"/>
      <c r="D17" s="880"/>
      <c r="E17" s="880"/>
      <c r="F17" s="880"/>
      <c r="G17" s="880"/>
      <c r="H17" s="881"/>
      <c r="I17" s="881"/>
      <c r="J17" s="882"/>
      <c r="K17" s="220"/>
    </row>
    <row r="18" spans="1:11" s="167" customFormat="1" ht="24" customHeight="1" thickBot="1" x14ac:dyDescent="0.25">
      <c r="A18" s="1341" t="s">
        <v>107</v>
      </c>
      <c r="B18" s="1342"/>
      <c r="C18" s="1024">
        <v>0</v>
      </c>
      <c r="D18" s="1024">
        <v>0</v>
      </c>
      <c r="E18" s="1024">
        <v>0</v>
      </c>
      <c r="F18" s="1024">
        <v>0</v>
      </c>
      <c r="G18" s="1024">
        <v>0</v>
      </c>
      <c r="H18" s="898"/>
      <c r="I18" s="898"/>
      <c r="J18" s="899"/>
      <c r="K18" s="220"/>
    </row>
    <row r="19" spans="1:11" ht="10.5" customHeight="1" thickBot="1" x14ac:dyDescent="0.25"/>
    <row r="20" spans="1:11" s="167" customFormat="1" ht="85.5" customHeight="1" thickBot="1" x14ac:dyDescent="0.25">
      <c r="A20" s="1308" t="s">
        <v>282</v>
      </c>
      <c r="B20" s="1309"/>
      <c r="C20" s="880"/>
      <c r="D20" s="880"/>
      <c r="E20" s="880"/>
      <c r="F20" s="880"/>
      <c r="G20" s="880"/>
      <c r="H20" s="881"/>
      <c r="I20" s="881"/>
      <c r="J20" s="882"/>
      <c r="K20" s="220"/>
    </row>
    <row r="21" spans="1:11" s="167" customFormat="1" ht="24" customHeight="1" thickBot="1" x14ac:dyDescent="0.25">
      <c r="A21" s="1341" t="s">
        <v>107</v>
      </c>
      <c r="B21" s="1342"/>
      <c r="C21" s="898"/>
      <c r="D21" s="898"/>
      <c r="E21" s="898"/>
      <c r="F21" s="898"/>
      <c r="G21" s="1024">
        <v>0</v>
      </c>
      <c r="H21" s="898"/>
      <c r="I21" s="898"/>
      <c r="J21" s="899"/>
      <c r="K21" s="220"/>
    </row>
    <row r="22" spans="1:11" ht="10.5" customHeight="1" thickBot="1" x14ac:dyDescent="0.25"/>
    <row r="23" spans="1:11" s="167" customFormat="1" ht="70.5" customHeight="1" thickBot="1" x14ac:dyDescent="0.25">
      <c r="A23" s="1308" t="s">
        <v>283</v>
      </c>
      <c r="B23" s="1309"/>
      <c r="C23" s="880"/>
      <c r="D23" s="880"/>
      <c r="E23" s="880"/>
      <c r="F23" s="880"/>
      <c r="G23" s="880"/>
      <c r="H23" s="881"/>
      <c r="I23" s="881"/>
      <c r="J23" s="882"/>
      <c r="K23" s="220"/>
    </row>
    <row r="24" spans="1:11" s="167" customFormat="1" ht="24" customHeight="1" thickBot="1" x14ac:dyDescent="0.25">
      <c r="A24" s="1341" t="s">
        <v>107</v>
      </c>
      <c r="B24" s="1342"/>
      <c r="C24" s="898"/>
      <c r="D24" s="898"/>
      <c r="E24" s="898"/>
      <c r="F24" s="898"/>
      <c r="G24" s="1024">
        <v>0</v>
      </c>
      <c r="H24" s="898"/>
      <c r="I24" s="898"/>
      <c r="J24" s="899"/>
      <c r="K24" s="220"/>
    </row>
    <row r="25" spans="1:11" ht="10.5" customHeight="1" thickBot="1" x14ac:dyDescent="0.25"/>
    <row r="26" spans="1:11" s="167" customFormat="1" ht="62.25" customHeight="1" thickBot="1" x14ac:dyDescent="0.25">
      <c r="A26" s="1308" t="s">
        <v>168</v>
      </c>
      <c r="B26" s="1309"/>
      <c r="C26" s="880"/>
      <c r="D26" s="880">
        <f t="shared" ref="D26:G26" si="1">SUM(D27:D33)</f>
        <v>0</v>
      </c>
      <c r="E26" s="880">
        <f t="shared" si="1"/>
        <v>0</v>
      </c>
      <c r="F26" s="880">
        <f t="shared" si="1"/>
        <v>0</v>
      </c>
      <c r="G26" s="880">
        <f t="shared" si="1"/>
        <v>0</v>
      </c>
      <c r="H26" s="881"/>
      <c r="I26" s="881"/>
      <c r="J26" s="882"/>
      <c r="K26" s="220"/>
    </row>
    <row r="27" spans="1:11" s="167" customFormat="1" ht="22.5" customHeight="1" x14ac:dyDescent="0.2">
      <c r="A27" s="1339" t="s">
        <v>107</v>
      </c>
      <c r="B27" s="1340"/>
      <c r="C27" s="897"/>
      <c r="D27" s="897">
        <v>0</v>
      </c>
      <c r="E27" s="897">
        <v>0</v>
      </c>
      <c r="F27" s="897">
        <v>0</v>
      </c>
      <c r="G27" s="1006">
        <v>0</v>
      </c>
      <c r="H27" s="879"/>
      <c r="I27" s="879"/>
      <c r="J27" s="883"/>
      <c r="K27" s="220"/>
    </row>
    <row r="28" spans="1:11" s="167" customFormat="1" ht="21" customHeight="1" x14ac:dyDescent="0.2">
      <c r="A28" s="1337" t="s">
        <v>108</v>
      </c>
      <c r="B28" s="1338"/>
      <c r="C28" s="255"/>
      <c r="D28" s="255">
        <v>0</v>
      </c>
      <c r="E28" s="255">
        <v>0</v>
      </c>
      <c r="F28" s="255">
        <v>0</v>
      </c>
      <c r="G28" s="213">
        <v>0</v>
      </c>
      <c r="H28" s="340"/>
      <c r="I28" s="340"/>
      <c r="J28" s="884"/>
      <c r="K28" s="220"/>
    </row>
    <row r="29" spans="1:11" s="167" customFormat="1" ht="21" customHeight="1" x14ac:dyDescent="0.2">
      <c r="A29" s="1337" t="s">
        <v>204</v>
      </c>
      <c r="B29" s="1338"/>
      <c r="C29" s="255"/>
      <c r="D29" s="255">
        <v>0</v>
      </c>
      <c r="E29" s="255">
        <v>0</v>
      </c>
      <c r="F29" s="255">
        <v>0</v>
      </c>
      <c r="G29" s="213">
        <v>0</v>
      </c>
      <c r="H29" s="340"/>
      <c r="I29" s="340"/>
      <c r="J29" s="884"/>
      <c r="K29" s="220"/>
    </row>
    <row r="30" spans="1:11" s="167" customFormat="1" ht="21.75" customHeight="1" x14ac:dyDescent="0.2">
      <c r="A30" s="1337" t="s">
        <v>109</v>
      </c>
      <c r="B30" s="1338"/>
      <c r="C30" s="255"/>
      <c r="D30" s="255">
        <v>0</v>
      </c>
      <c r="E30" s="255">
        <v>0</v>
      </c>
      <c r="F30" s="255">
        <v>0</v>
      </c>
      <c r="G30" s="213">
        <v>0</v>
      </c>
      <c r="H30" s="340"/>
      <c r="I30" s="340"/>
      <c r="J30" s="884"/>
      <c r="K30" s="220"/>
    </row>
    <row r="31" spans="1:11" s="167" customFormat="1" ht="35.25" customHeight="1" x14ac:dyDescent="0.2">
      <c r="A31" s="1337" t="s">
        <v>110</v>
      </c>
      <c r="B31" s="1338"/>
      <c r="C31" s="255"/>
      <c r="D31" s="255">
        <v>0</v>
      </c>
      <c r="E31" s="255">
        <v>0</v>
      </c>
      <c r="F31" s="255">
        <v>0</v>
      </c>
      <c r="G31" s="213">
        <v>0</v>
      </c>
      <c r="H31" s="340"/>
      <c r="I31" s="340"/>
      <c r="J31" s="884"/>
      <c r="K31" s="220"/>
    </row>
    <row r="32" spans="1:11" s="167" customFormat="1" ht="30.75" customHeight="1" x14ac:dyDescent="0.2">
      <c r="A32" s="1337" t="s">
        <v>111</v>
      </c>
      <c r="B32" s="1338"/>
      <c r="C32" s="255"/>
      <c r="D32" s="255">
        <v>0</v>
      </c>
      <c r="E32" s="255">
        <v>0</v>
      </c>
      <c r="F32" s="255">
        <v>0</v>
      </c>
      <c r="G32" s="213">
        <v>0</v>
      </c>
      <c r="H32" s="340"/>
      <c r="I32" s="340"/>
      <c r="J32" s="884"/>
      <c r="K32" s="220"/>
    </row>
    <row r="33" spans="1:11" s="167" customFormat="1" ht="35.25" customHeight="1" thickBot="1" x14ac:dyDescent="0.25">
      <c r="A33" s="1345" t="s">
        <v>112</v>
      </c>
      <c r="B33" s="1346"/>
      <c r="C33" s="900"/>
      <c r="D33" s="900">
        <v>0</v>
      </c>
      <c r="E33" s="900">
        <v>0</v>
      </c>
      <c r="F33" s="900">
        <v>0</v>
      </c>
      <c r="G33" s="1007">
        <v>0</v>
      </c>
      <c r="H33" s="885"/>
      <c r="I33" s="885"/>
      <c r="J33" s="886"/>
      <c r="K33" s="220"/>
    </row>
    <row r="34" spans="1:11" ht="10.5" customHeight="1" thickBot="1" x14ac:dyDescent="0.25"/>
    <row r="35" spans="1:11" s="167" customFormat="1" ht="62.25" customHeight="1" thickBot="1" x14ac:dyDescent="0.25">
      <c r="A35" s="1308" t="s">
        <v>170</v>
      </c>
      <c r="B35" s="1309"/>
      <c r="C35" s="880"/>
      <c r="D35" s="880">
        <f t="shared" ref="D35:G35" si="2">SUM(D36:D42)</f>
        <v>0</v>
      </c>
      <c r="E35" s="880">
        <f t="shared" si="2"/>
        <v>0</v>
      </c>
      <c r="F35" s="880">
        <f t="shared" si="2"/>
        <v>0</v>
      </c>
      <c r="G35" s="880">
        <f t="shared" si="2"/>
        <v>0</v>
      </c>
      <c r="H35" s="881"/>
      <c r="I35" s="881"/>
      <c r="J35" s="882"/>
      <c r="K35" s="220"/>
    </row>
    <row r="36" spans="1:11" s="167" customFormat="1" ht="22.5" customHeight="1" x14ac:dyDescent="0.2">
      <c r="A36" s="1339" t="s">
        <v>107</v>
      </c>
      <c r="B36" s="1340"/>
      <c r="C36" s="897"/>
      <c r="D36" s="897">
        <v>0</v>
      </c>
      <c r="E36" s="897">
        <v>0</v>
      </c>
      <c r="F36" s="897">
        <v>0</v>
      </c>
      <c r="G36" s="1006">
        <v>0</v>
      </c>
      <c r="H36" s="879"/>
      <c r="I36" s="879"/>
      <c r="J36" s="883"/>
      <c r="K36" s="220"/>
    </row>
    <row r="37" spans="1:11" s="167" customFormat="1" ht="21" customHeight="1" x14ac:dyDescent="0.2">
      <c r="A37" s="1337" t="s">
        <v>108</v>
      </c>
      <c r="B37" s="1338"/>
      <c r="C37" s="255"/>
      <c r="D37" s="255">
        <v>0</v>
      </c>
      <c r="E37" s="255">
        <v>0</v>
      </c>
      <c r="F37" s="255">
        <v>0</v>
      </c>
      <c r="G37" s="213">
        <v>0</v>
      </c>
      <c r="H37" s="340"/>
      <c r="I37" s="340"/>
      <c r="J37" s="884"/>
      <c r="K37" s="220"/>
    </row>
    <row r="38" spans="1:11" s="167" customFormat="1" ht="21" customHeight="1" x14ac:dyDescent="0.2">
      <c r="A38" s="1337" t="s">
        <v>204</v>
      </c>
      <c r="B38" s="1338"/>
      <c r="C38" s="255"/>
      <c r="D38" s="255">
        <v>0</v>
      </c>
      <c r="E38" s="255">
        <v>0</v>
      </c>
      <c r="F38" s="255">
        <v>0</v>
      </c>
      <c r="G38" s="213">
        <v>0</v>
      </c>
      <c r="H38" s="340"/>
      <c r="I38" s="340"/>
      <c r="J38" s="884"/>
      <c r="K38" s="220"/>
    </row>
    <row r="39" spans="1:11" s="167" customFormat="1" ht="21.75" customHeight="1" x14ac:dyDescent="0.2">
      <c r="A39" s="1337" t="s">
        <v>109</v>
      </c>
      <c r="B39" s="1338"/>
      <c r="C39" s="255"/>
      <c r="D39" s="255">
        <v>0</v>
      </c>
      <c r="E39" s="255">
        <v>0</v>
      </c>
      <c r="F39" s="255">
        <v>0</v>
      </c>
      <c r="G39" s="213">
        <v>0</v>
      </c>
      <c r="H39" s="340"/>
      <c r="I39" s="340"/>
      <c r="J39" s="884"/>
      <c r="K39" s="220"/>
    </row>
    <row r="40" spans="1:11" s="167" customFormat="1" ht="35.25" customHeight="1" x14ac:dyDescent="0.2">
      <c r="A40" s="1337" t="s">
        <v>110</v>
      </c>
      <c r="B40" s="1338"/>
      <c r="C40" s="255"/>
      <c r="D40" s="255">
        <v>0</v>
      </c>
      <c r="E40" s="255">
        <v>0</v>
      </c>
      <c r="F40" s="255">
        <v>0</v>
      </c>
      <c r="G40" s="213">
        <v>0</v>
      </c>
      <c r="H40" s="340"/>
      <c r="I40" s="340"/>
      <c r="J40" s="884"/>
      <c r="K40" s="220"/>
    </row>
    <row r="41" spans="1:11" s="167" customFormat="1" ht="30.75" customHeight="1" x14ac:dyDescent="0.2">
      <c r="A41" s="1337" t="s">
        <v>111</v>
      </c>
      <c r="B41" s="1338"/>
      <c r="C41" s="255"/>
      <c r="D41" s="255">
        <v>0</v>
      </c>
      <c r="E41" s="255">
        <v>0</v>
      </c>
      <c r="F41" s="255">
        <v>0</v>
      </c>
      <c r="G41" s="213">
        <v>0</v>
      </c>
      <c r="H41" s="340"/>
      <c r="I41" s="340"/>
      <c r="J41" s="884"/>
      <c r="K41" s="220"/>
    </row>
    <row r="42" spans="1:11" s="167" customFormat="1" ht="35.25" customHeight="1" thickBot="1" x14ac:dyDescent="0.25">
      <c r="A42" s="1345" t="s">
        <v>112</v>
      </c>
      <c r="B42" s="1346"/>
      <c r="C42" s="900"/>
      <c r="D42" s="900">
        <v>0</v>
      </c>
      <c r="E42" s="900">
        <v>0</v>
      </c>
      <c r="F42" s="900">
        <v>0</v>
      </c>
      <c r="G42" s="1007">
        <v>0</v>
      </c>
      <c r="H42" s="885"/>
      <c r="I42" s="885"/>
      <c r="J42" s="886"/>
      <c r="K42" s="220"/>
    </row>
    <row r="43" spans="1:11" ht="10.5" customHeight="1" thickBot="1" x14ac:dyDescent="0.25"/>
    <row r="44" spans="1:11" s="167" customFormat="1" ht="64.5" customHeight="1" x14ac:dyDescent="0.2">
      <c r="A44" s="1352" t="s">
        <v>156</v>
      </c>
      <c r="B44" s="1353"/>
      <c r="C44" s="901">
        <v>1.3938631303842763E-2</v>
      </c>
      <c r="D44" s="901">
        <v>1.6452686638135816E-2</v>
      </c>
      <c r="E44" s="901">
        <v>1.7499767290328538E-2</v>
      </c>
      <c r="F44" s="902">
        <v>1.4225403817915039E-2</v>
      </c>
      <c r="G44" s="1025">
        <v>0</v>
      </c>
      <c r="H44" s="903"/>
      <c r="I44" s="903"/>
      <c r="J44" s="904"/>
      <c r="K44" s="220"/>
    </row>
    <row r="45" spans="1:11" s="167" customFormat="1" ht="33" customHeight="1" x14ac:dyDescent="0.2">
      <c r="A45" s="1351" t="s">
        <v>155</v>
      </c>
      <c r="B45" s="1284"/>
      <c r="C45" s="561">
        <v>1.7810473332688037E-2</v>
      </c>
      <c r="D45" s="561">
        <v>2.1683309557774644E-2</v>
      </c>
      <c r="E45" s="561">
        <v>1.4241831890533296E-2</v>
      </c>
      <c r="F45" s="984">
        <v>0</v>
      </c>
      <c r="G45" s="984">
        <v>0</v>
      </c>
      <c r="H45" s="576"/>
      <c r="I45" s="576"/>
      <c r="J45" s="905"/>
      <c r="K45" s="220"/>
    </row>
    <row r="46" spans="1:11" s="167" customFormat="1" ht="36.75" customHeight="1" x14ac:dyDescent="0.2">
      <c r="A46" s="1351" t="s">
        <v>128</v>
      </c>
      <c r="B46" s="1284"/>
      <c r="C46" s="562"/>
      <c r="D46" s="567">
        <f>IF($C$5="elektriciteit",0.000387594609710495,IF($C$5="gas",-0.0133592722464226,"FOUT"))</f>
        <v>-1.33592722464226E-2</v>
      </c>
      <c r="E46" s="567">
        <f>IF($C$5="elektriciteit",0.00904486401476334,IF($C$5="gas",-0.00477591609930217,"FOUT"))</f>
        <v>-4.7759160993021696E-3</v>
      </c>
      <c r="F46" s="567">
        <f>IF($C$5="elektriciteit",0.00916230782852157,IF($C$5="gas",-0.00478971333989509,"FOUT"))</f>
        <v>-4.7897133398950896E-3</v>
      </c>
      <c r="G46" s="560"/>
      <c r="H46" s="858"/>
      <c r="I46" s="858"/>
      <c r="J46" s="906"/>
      <c r="K46" s="220"/>
    </row>
    <row r="47" spans="1:11" s="167" customFormat="1" ht="56.45" customHeight="1" x14ac:dyDescent="0.2">
      <c r="A47" s="1347" t="str">
        <f>"ai-waarde in de relevante geactualiseerde endogene sectorkosten "&amp;C3&amp;" in de historische referentieperiode 2015-2019"</f>
        <v>ai-waarde in de relevante geactualiseerde endogene sectorkosten  in de historische referentieperiode 2015-2019</v>
      </c>
      <c r="B47" s="1348"/>
      <c r="C47" s="576"/>
      <c r="D47" s="576"/>
      <c r="E47" s="576"/>
      <c r="F47" s="576"/>
      <c r="G47" s="1026">
        <v>0</v>
      </c>
      <c r="H47" s="857"/>
      <c r="I47" s="857"/>
      <c r="J47" s="907"/>
      <c r="K47" s="220"/>
    </row>
    <row r="48" spans="1:11" s="167" customFormat="1" ht="31.5" customHeight="1" x14ac:dyDescent="0.2">
      <c r="A48" s="1347" t="str">
        <f>"Fl21-waarde voor aan "&amp;C5&amp;" opgelegde kostenbesparing in 2021 n.a.v. de fusie tot FSO"</f>
        <v>Fl21-waarde voor aan gas opgelegde kostenbesparing in 2021 n.a.v. de fusie tot FSO</v>
      </c>
      <c r="B48" s="1348"/>
      <c r="C48" s="560"/>
      <c r="D48" s="560"/>
      <c r="E48" s="560"/>
      <c r="F48" s="560"/>
      <c r="G48" s="876">
        <f>IF(C5="elektriciteit",14000000,IF(C5="gas",6875000,"FOUT"))</f>
        <v>6875000</v>
      </c>
      <c r="H48" s="560"/>
      <c r="I48" s="560"/>
      <c r="J48" s="908"/>
      <c r="K48" s="220"/>
    </row>
    <row r="49" spans="1:14" s="212" customFormat="1" ht="36.75" customHeight="1" x14ac:dyDescent="0.2">
      <c r="A49" s="1347" t="s">
        <v>285</v>
      </c>
      <c r="B49" s="1348"/>
      <c r="C49" s="560"/>
      <c r="D49" s="560"/>
      <c r="E49" s="560"/>
      <c r="F49" s="560"/>
      <c r="G49" s="933">
        <f>IF($C$5="elektriciteit",0,IF($C$5="gas",0.004,"FOUT"))</f>
        <v>4.0000000000000001E-3</v>
      </c>
      <c r="H49" s="859"/>
      <c r="I49" s="859"/>
      <c r="J49" s="909"/>
      <c r="K49" s="564"/>
    </row>
    <row r="50" spans="1:14" s="167" customFormat="1" ht="21" customHeight="1" thickBot="1" x14ac:dyDescent="0.25">
      <c r="A50" s="1357" t="s">
        <v>403</v>
      </c>
      <c r="B50" s="1358"/>
      <c r="C50" s="910"/>
      <c r="D50" s="911">
        <v>0</v>
      </c>
      <c r="E50" s="911">
        <v>0</v>
      </c>
      <c r="F50" s="911">
        <v>0</v>
      </c>
      <c r="G50" s="912"/>
      <c r="H50" s="912"/>
      <c r="I50" s="912"/>
      <c r="J50" s="913"/>
      <c r="K50" s="220"/>
    </row>
    <row r="51" spans="1:14" ht="10.5" customHeight="1" thickBot="1" x14ac:dyDescent="0.25"/>
    <row r="52" spans="1:14" s="167" customFormat="1" ht="29.25" customHeight="1" x14ac:dyDescent="0.2">
      <c r="A52" s="914"/>
      <c r="B52" s="915"/>
      <c r="C52" s="916">
        <f t="shared" ref="C52:J52" si="3">+C7</f>
        <v>2017</v>
      </c>
      <c r="D52" s="916">
        <f t="shared" si="3"/>
        <v>2018</v>
      </c>
      <c r="E52" s="916">
        <f t="shared" si="3"/>
        <v>2019</v>
      </c>
      <c r="F52" s="916">
        <f t="shared" si="3"/>
        <v>2020</v>
      </c>
      <c r="G52" s="916">
        <f t="shared" si="3"/>
        <v>2021</v>
      </c>
      <c r="H52" s="917">
        <f t="shared" si="3"/>
        <v>2022</v>
      </c>
      <c r="I52" s="917">
        <f t="shared" si="3"/>
        <v>2023</v>
      </c>
      <c r="J52" s="918">
        <f t="shared" si="3"/>
        <v>2024</v>
      </c>
      <c r="K52" s="220"/>
    </row>
    <row r="53" spans="1:14" s="167" customFormat="1" ht="30" customHeight="1" thickBot="1" x14ac:dyDescent="0.25">
      <c r="A53" s="1343" t="s">
        <v>382</v>
      </c>
      <c r="B53" s="1344"/>
      <c r="C53" s="926">
        <f t="shared" ref="C53:G53" si="4">SUM(C54:C60)</f>
        <v>0</v>
      </c>
      <c r="D53" s="927">
        <f t="shared" si="4"/>
        <v>0</v>
      </c>
      <c r="E53" s="927">
        <f t="shared" si="4"/>
        <v>0</v>
      </c>
      <c r="F53" s="927">
        <f t="shared" si="4"/>
        <v>0</v>
      </c>
      <c r="G53" s="926">
        <f t="shared" si="4"/>
        <v>0</v>
      </c>
      <c r="H53" s="928"/>
      <c r="I53" s="928"/>
      <c r="J53" s="929"/>
      <c r="K53" s="220"/>
    </row>
    <row r="54" spans="1:14" s="167" customFormat="1" ht="32.25" customHeight="1" x14ac:dyDescent="0.2">
      <c r="A54" s="1302" t="s">
        <v>107</v>
      </c>
      <c r="B54" s="1303"/>
      <c r="C54" s="923">
        <f>(C9-C18)*(((1+C45)/(1+C44))-1)</f>
        <v>0</v>
      </c>
      <c r="D54" s="887">
        <f>(D9-D18-D27+D36)*(((1+$D$45-$D$46+$D$50)/(1+$D$44-$D$46+$D$50))-1)</f>
        <v>0</v>
      </c>
      <c r="E54" s="887">
        <f>(E9-E18-E27+E36)*(((1+$E$45-$E$46+$E$50)/(1+$E$44-$E$46+$E$50))-1)</f>
        <v>0</v>
      </c>
      <c r="F54" s="887">
        <f>(F9-F18-F27+F36)*(((1+$F$45-$F$46+$F$50)/(1+$F$44-$F$46+$F$50))-1)</f>
        <v>0</v>
      </c>
      <c r="G54" s="923">
        <f>(((G9-(G18+G21+G24+(G27-G36)))+(G47*G48))*(((1+G$45-G$49)/(1+G$44-G$49))-1))+((G13-(G31-G40))*(((1+G$45-G$49)/(1+G$44-G$49))-1))+((G11-(G29-G38))*(((1+G$45-G$49)/(1+G$44-G$49))-1))</f>
        <v>0</v>
      </c>
      <c r="H54" s="924"/>
      <c r="I54" s="924"/>
      <c r="J54" s="925"/>
      <c r="K54" s="220"/>
    </row>
    <row r="55" spans="1:14" s="167" customFormat="1" ht="30.75" customHeight="1" x14ac:dyDescent="0.2">
      <c r="A55" s="1304" t="s">
        <v>108</v>
      </c>
      <c r="B55" s="1305"/>
      <c r="C55" s="566">
        <f t="shared" ref="C55:C60" si="5">+C10*(((1+$C$45)/(1+$C$44))-1)</f>
        <v>0</v>
      </c>
      <c r="D55" s="177">
        <f t="shared" ref="D55:D60" si="6">(D10-D28+D37)*(((1+$D$45-$D$46+$D$50)/(1+$D$44-$D$46+$D$50))-1)</f>
        <v>0</v>
      </c>
      <c r="E55" s="177">
        <f t="shared" ref="E55:E60" si="7">(E10-E28+E37)*(((1+$E$45-$E$46+$E$50)/(1+$E$44-$E$46+$E$50))-1)</f>
        <v>0</v>
      </c>
      <c r="F55" s="177">
        <f t="shared" ref="F55:F60" si="8">(F10-F28+F37)*(((1+$F$45-$F$46+$F$50)/(1+$F$44-$F$46+$F$50))-1)</f>
        <v>0</v>
      </c>
      <c r="G55" s="566">
        <f>(G10-(G28-G37))*(((1+G$45-G$49)/(1+G$44-G$49))-1)</f>
        <v>0</v>
      </c>
      <c r="H55" s="568"/>
      <c r="I55" s="568"/>
      <c r="J55" s="919"/>
      <c r="K55" s="220"/>
    </row>
    <row r="56" spans="1:14" s="167" customFormat="1" ht="21" customHeight="1" x14ac:dyDescent="0.2">
      <c r="A56" s="1304" t="s">
        <v>204</v>
      </c>
      <c r="B56" s="1305"/>
      <c r="C56" s="566">
        <f t="shared" si="5"/>
        <v>0</v>
      </c>
      <c r="D56" s="177">
        <f t="shared" si="6"/>
        <v>0</v>
      </c>
      <c r="E56" s="177">
        <f t="shared" si="7"/>
        <v>0</v>
      </c>
      <c r="F56" s="177">
        <f t="shared" si="8"/>
        <v>0</v>
      </c>
      <c r="G56" s="568"/>
      <c r="H56" s="568"/>
      <c r="I56" s="568"/>
      <c r="J56" s="919"/>
      <c r="K56" s="220"/>
    </row>
    <row r="57" spans="1:14" s="167" customFormat="1" ht="22.5" customHeight="1" x14ac:dyDescent="0.2">
      <c r="A57" s="1304" t="s">
        <v>109</v>
      </c>
      <c r="B57" s="1305"/>
      <c r="C57" s="566">
        <f t="shared" si="5"/>
        <v>0</v>
      </c>
      <c r="D57" s="177">
        <f t="shared" si="6"/>
        <v>0</v>
      </c>
      <c r="E57" s="177">
        <f t="shared" si="7"/>
        <v>0</v>
      </c>
      <c r="F57" s="177">
        <f t="shared" si="8"/>
        <v>0</v>
      </c>
      <c r="G57" s="566">
        <f>(G12-(G30-G39))*(((1+G$45-G$49)/(1+G$44-G$49))-1)</f>
        <v>0</v>
      </c>
      <c r="H57" s="568"/>
      <c r="I57" s="568"/>
      <c r="J57" s="919"/>
      <c r="K57" s="220"/>
    </row>
    <row r="58" spans="1:14" s="167" customFormat="1" ht="35.25" customHeight="1" x14ac:dyDescent="0.2">
      <c r="A58" s="1304" t="s">
        <v>110</v>
      </c>
      <c r="B58" s="1305"/>
      <c r="C58" s="566">
        <f t="shared" si="5"/>
        <v>0</v>
      </c>
      <c r="D58" s="177">
        <f t="shared" si="6"/>
        <v>0</v>
      </c>
      <c r="E58" s="177">
        <f t="shared" si="7"/>
        <v>0</v>
      </c>
      <c r="F58" s="177">
        <f t="shared" si="8"/>
        <v>0</v>
      </c>
      <c r="G58" s="568"/>
      <c r="H58" s="568"/>
      <c r="I58" s="568"/>
      <c r="J58" s="919"/>
      <c r="K58" s="220"/>
    </row>
    <row r="59" spans="1:14" s="167" customFormat="1" ht="30.75" customHeight="1" x14ac:dyDescent="0.2">
      <c r="A59" s="1304" t="s">
        <v>111</v>
      </c>
      <c r="B59" s="1305"/>
      <c r="C59" s="566">
        <f t="shared" si="5"/>
        <v>0</v>
      </c>
      <c r="D59" s="177">
        <f t="shared" si="6"/>
        <v>0</v>
      </c>
      <c r="E59" s="177">
        <f t="shared" si="7"/>
        <v>0</v>
      </c>
      <c r="F59" s="177">
        <f t="shared" si="8"/>
        <v>0</v>
      </c>
      <c r="G59" s="566">
        <f>(G14-(G32-G41))*(((1+G$45-G$49)/(1+G$44-G$49))-1)</f>
        <v>0</v>
      </c>
      <c r="H59" s="568"/>
      <c r="I59" s="568"/>
      <c r="J59" s="919"/>
      <c r="K59" s="220"/>
    </row>
    <row r="60" spans="1:14" s="167" customFormat="1" ht="35.25" customHeight="1" thickBot="1" x14ac:dyDescent="0.25">
      <c r="A60" s="1312" t="s">
        <v>112</v>
      </c>
      <c r="B60" s="1313"/>
      <c r="C60" s="920">
        <f t="shared" si="5"/>
        <v>0</v>
      </c>
      <c r="D60" s="894">
        <f t="shared" si="6"/>
        <v>0</v>
      </c>
      <c r="E60" s="894">
        <f t="shared" si="7"/>
        <v>0</v>
      </c>
      <c r="F60" s="894">
        <f t="shared" si="8"/>
        <v>0</v>
      </c>
      <c r="G60" s="920">
        <f>(G15-(G33-G42))*(((1+G$45-G$49)/(1+G$44-G$49))-1)</f>
        <v>0</v>
      </c>
      <c r="H60" s="921"/>
      <c r="I60" s="921"/>
      <c r="J60" s="922"/>
      <c r="K60" s="220"/>
    </row>
    <row r="61" spans="1:14" s="167" customFormat="1" x14ac:dyDescent="0.2">
      <c r="A61" s="224"/>
      <c r="C61" s="241" t="s">
        <v>160</v>
      </c>
      <c r="M61" s="220"/>
    </row>
    <row r="62" spans="1:14" s="167" customFormat="1" x14ac:dyDescent="0.2">
      <c r="A62" s="224"/>
      <c r="C62" s="243" t="s">
        <v>129</v>
      </c>
      <c r="M62" s="220"/>
    </row>
    <row r="63" spans="1:14" s="167" customFormat="1" x14ac:dyDescent="0.2">
      <c r="A63" s="224"/>
      <c r="C63" s="220"/>
      <c r="M63" s="220"/>
    </row>
    <row r="64" spans="1:14" ht="14.25" customHeight="1" thickBot="1" x14ac:dyDescent="0.25">
      <c r="A64" s="232"/>
      <c r="B64" s="333"/>
      <c r="C64" s="333"/>
      <c r="D64" s="333"/>
      <c r="E64" s="333"/>
      <c r="F64" s="333"/>
      <c r="G64" s="333"/>
      <c r="H64" s="333"/>
      <c r="I64" s="333"/>
      <c r="J64" s="333"/>
      <c r="K64" s="333"/>
      <c r="L64" s="333"/>
      <c r="M64" s="235"/>
      <c r="N64" s="235"/>
    </row>
    <row r="65" spans="1:31" s="179" customFormat="1" ht="18" customHeight="1" thickBot="1" x14ac:dyDescent="0.25">
      <c r="A65" s="1224" t="s">
        <v>136</v>
      </c>
      <c r="B65" s="1225"/>
      <c r="C65" s="1225"/>
      <c r="D65" s="1225"/>
      <c r="E65" s="1225"/>
      <c r="F65" s="1225"/>
      <c r="G65" s="1225"/>
      <c r="H65" s="1225"/>
      <c r="I65" s="1225"/>
      <c r="J65" s="1225"/>
      <c r="K65" s="1225"/>
      <c r="L65" s="1226"/>
      <c r="M65" s="235"/>
      <c r="N65" s="235"/>
      <c r="O65" s="178"/>
      <c r="P65" s="178"/>
      <c r="Q65" s="178"/>
      <c r="R65" s="178"/>
      <c r="S65" s="178"/>
      <c r="T65" s="178"/>
      <c r="U65" s="178"/>
      <c r="V65" s="178"/>
      <c r="W65" s="178"/>
      <c r="X65" s="178"/>
      <c r="Y65" s="178"/>
      <c r="Z65" s="178"/>
      <c r="AA65" s="178"/>
      <c r="AB65" s="178"/>
      <c r="AC65" s="178"/>
      <c r="AD65" s="178"/>
      <c r="AE65" s="178"/>
    </row>
    <row r="66" spans="1:31" ht="13.5" thickBot="1" x14ac:dyDescent="0.25"/>
    <row r="67" spans="1:31" s="179" customFormat="1" ht="17.25" thickBot="1" x14ac:dyDescent="0.25">
      <c r="A67" s="178"/>
      <c r="B67" s="178"/>
      <c r="C67" s="1227" t="s">
        <v>30</v>
      </c>
      <c r="D67" s="1228"/>
      <c r="E67" s="1228"/>
      <c r="F67" s="1228"/>
      <c r="G67" s="1228"/>
      <c r="H67" s="1228"/>
      <c r="I67" s="1228"/>
      <c r="J67" s="1229"/>
      <c r="K67" s="178"/>
      <c r="L67" s="178"/>
      <c r="M67" s="178"/>
      <c r="N67" s="178"/>
      <c r="O67" s="178"/>
      <c r="P67" s="178"/>
      <c r="Q67" s="178"/>
      <c r="R67" s="178"/>
      <c r="S67" s="178"/>
      <c r="T67" s="178"/>
      <c r="U67" s="178"/>
      <c r="V67" s="178"/>
      <c r="W67" s="178"/>
      <c r="X67" s="178"/>
      <c r="Y67" s="178"/>
      <c r="Z67" s="178"/>
      <c r="AA67" s="178"/>
      <c r="AB67" s="178"/>
      <c r="AC67" s="178"/>
      <c r="AD67" s="178"/>
      <c r="AE67" s="178"/>
    </row>
    <row r="68" spans="1:31" s="179" customFormat="1" ht="13.5" thickBot="1" x14ac:dyDescent="0.25">
      <c r="A68" s="178"/>
      <c r="B68" s="178"/>
      <c r="C68" s="334">
        <f t="shared" ref="C68:J68" si="9">+C7</f>
        <v>2017</v>
      </c>
      <c r="D68" s="335">
        <f t="shared" si="9"/>
        <v>2018</v>
      </c>
      <c r="E68" s="335">
        <f t="shared" si="9"/>
        <v>2019</v>
      </c>
      <c r="F68" s="335">
        <f t="shared" si="9"/>
        <v>2020</v>
      </c>
      <c r="G68" s="335">
        <f t="shared" si="9"/>
        <v>2021</v>
      </c>
      <c r="H68" s="850">
        <f t="shared" si="9"/>
        <v>2022</v>
      </c>
      <c r="I68" s="850">
        <f t="shared" si="9"/>
        <v>2023</v>
      </c>
      <c r="J68" s="850">
        <f t="shared" si="9"/>
        <v>2024</v>
      </c>
      <c r="K68" s="178"/>
      <c r="L68" s="178"/>
      <c r="M68" s="178"/>
      <c r="N68" s="178"/>
      <c r="O68" s="178"/>
      <c r="P68" s="178"/>
      <c r="Q68" s="178"/>
      <c r="R68" s="178"/>
      <c r="S68" s="178"/>
      <c r="T68" s="178"/>
      <c r="U68" s="178"/>
      <c r="V68" s="178"/>
      <c r="W68" s="178"/>
      <c r="X68" s="178"/>
      <c r="Y68" s="178"/>
      <c r="Z68" s="178"/>
      <c r="AA68" s="178"/>
      <c r="AB68" s="178"/>
      <c r="AC68" s="178"/>
      <c r="AD68" s="178"/>
      <c r="AE68" s="178"/>
    </row>
    <row r="69" spans="1:31" s="179" customFormat="1" x14ac:dyDescent="0.2">
      <c r="A69" s="178"/>
      <c r="B69" s="178"/>
      <c r="C69" s="986">
        <f t="shared" ref="C69:F69" si="10">+C53</f>
        <v>0</v>
      </c>
      <c r="D69" s="986">
        <f t="shared" si="10"/>
        <v>0</v>
      </c>
      <c r="E69" s="986">
        <f t="shared" si="10"/>
        <v>0</v>
      </c>
      <c r="F69" s="986">
        <f t="shared" si="10"/>
        <v>0</v>
      </c>
      <c r="G69" s="986">
        <f>+G53</f>
        <v>0</v>
      </c>
      <c r="H69" s="851">
        <v>0</v>
      </c>
      <c r="I69" s="851">
        <v>0</v>
      </c>
      <c r="J69" s="851">
        <v>0</v>
      </c>
      <c r="K69" s="178"/>
      <c r="L69" s="178"/>
      <c r="M69" s="178"/>
      <c r="N69" s="178"/>
      <c r="O69" s="178"/>
      <c r="P69" s="178"/>
      <c r="Q69" s="178"/>
      <c r="R69" s="178"/>
      <c r="S69" s="178"/>
      <c r="T69" s="178"/>
      <c r="U69" s="178"/>
      <c r="V69" s="178"/>
      <c r="W69" s="178"/>
      <c r="X69" s="178"/>
      <c r="Y69" s="178"/>
      <c r="Z69" s="178"/>
      <c r="AA69" s="178"/>
      <c r="AB69" s="178"/>
      <c r="AC69" s="178"/>
      <c r="AD69" s="178"/>
      <c r="AE69" s="178"/>
    </row>
    <row r="70" spans="1:31" x14ac:dyDescent="0.2">
      <c r="C70" s="241" t="s">
        <v>160</v>
      </c>
      <c r="F70" s="242"/>
      <c r="J70" s="242"/>
    </row>
    <row r="71" spans="1:31" x14ac:dyDescent="0.2">
      <c r="C71" s="243" t="s">
        <v>129</v>
      </c>
    </row>
    <row r="72" spans="1:31" x14ac:dyDescent="0.2">
      <c r="C72" s="244"/>
    </row>
    <row r="73" spans="1:31" ht="13.5" thickBot="1" x14ac:dyDescent="0.25">
      <c r="C73" s="244"/>
    </row>
    <row r="74" spans="1:31" ht="20.25" customHeight="1" thickBot="1" x14ac:dyDescent="0.25">
      <c r="A74" s="1224" t="s">
        <v>18</v>
      </c>
      <c r="B74" s="1225"/>
      <c r="C74" s="1225"/>
      <c r="D74" s="1225"/>
      <c r="E74" s="1225"/>
      <c r="F74" s="1225"/>
      <c r="G74" s="1225"/>
      <c r="H74" s="1225"/>
      <c r="I74" s="1225"/>
      <c r="J74" s="1225"/>
      <c r="K74" s="1225"/>
      <c r="L74" s="1226"/>
      <c r="M74" s="1298"/>
      <c r="N74" s="1298"/>
    </row>
    <row r="76" spans="1:31" x14ac:dyDescent="0.2">
      <c r="C76" s="241" t="s">
        <v>160</v>
      </c>
    </row>
    <row r="77" spans="1:31" x14ac:dyDescent="0.2">
      <c r="C77" s="243" t="s">
        <v>129</v>
      </c>
    </row>
    <row r="78" spans="1:31" ht="16.5" x14ac:dyDescent="0.2">
      <c r="C78" s="1244" t="s">
        <v>19</v>
      </c>
      <c r="D78" s="1245"/>
      <c r="E78" s="1245"/>
      <c r="F78" s="1245"/>
      <c r="G78" s="1245"/>
      <c r="H78" s="1245"/>
      <c r="I78" s="1245"/>
      <c r="J78" s="1246"/>
      <c r="L78" s="245" t="s">
        <v>20</v>
      </c>
    </row>
    <row r="79" spans="1:31" ht="13.5" thickBot="1" x14ac:dyDescent="0.25">
      <c r="A79" s="1247"/>
      <c r="B79" s="1247"/>
      <c r="C79" s="246">
        <f>C68</f>
        <v>2017</v>
      </c>
      <c r="D79" s="247">
        <f>D68</f>
        <v>2018</v>
      </c>
      <c r="E79" s="247">
        <f>E68</f>
        <v>2019</v>
      </c>
      <c r="F79" s="247">
        <f>F68</f>
        <v>2020</v>
      </c>
      <c r="G79" s="247">
        <f t="shared" ref="G79:I79" si="11">G68</f>
        <v>2021</v>
      </c>
      <c r="H79" s="809">
        <f t="shared" si="11"/>
        <v>2022</v>
      </c>
      <c r="I79" s="809">
        <f t="shared" si="11"/>
        <v>2023</v>
      </c>
      <c r="J79" s="809">
        <f>J68</f>
        <v>2024</v>
      </c>
      <c r="L79" s="248"/>
    </row>
    <row r="80" spans="1:31" s="179" customFormat="1" ht="13.5" thickBot="1" x14ac:dyDescent="0.25">
      <c r="A80" s="1238" t="s">
        <v>21</v>
      </c>
      <c r="B80" s="249">
        <f>C68</f>
        <v>2017</v>
      </c>
      <c r="C80" s="1027">
        <v>0</v>
      </c>
      <c r="D80" s="250"/>
      <c r="E80" s="250"/>
      <c r="F80" s="259"/>
      <c r="G80" s="259"/>
      <c r="H80" s="810"/>
      <c r="I80" s="810"/>
      <c r="J80" s="811"/>
      <c r="K80" s="252"/>
      <c r="L80" s="253">
        <f>SUM(C80:J80)</f>
        <v>0</v>
      </c>
      <c r="M80" s="178"/>
      <c r="N80" s="178"/>
      <c r="O80" s="178"/>
      <c r="P80" s="178"/>
      <c r="Q80" s="178"/>
      <c r="R80" s="178"/>
      <c r="S80" s="178"/>
      <c r="T80" s="178"/>
      <c r="U80" s="178"/>
      <c r="V80" s="178"/>
      <c r="W80" s="178"/>
      <c r="X80" s="178"/>
      <c r="Y80" s="178"/>
      <c r="Z80" s="178"/>
      <c r="AA80" s="178"/>
      <c r="AB80" s="178"/>
      <c r="AC80" s="178"/>
      <c r="AD80" s="178"/>
      <c r="AE80" s="178"/>
    </row>
    <row r="81" spans="1:31" s="179" customFormat="1" ht="13.5" thickBot="1" x14ac:dyDescent="0.25">
      <c r="A81" s="1300"/>
      <c r="B81" s="254">
        <f>D68</f>
        <v>2018</v>
      </c>
      <c r="C81" s="336">
        <f>+C$69-C80</f>
        <v>0</v>
      </c>
      <c r="D81" s="1027">
        <v>0</v>
      </c>
      <c r="E81" s="256"/>
      <c r="F81" s="259"/>
      <c r="G81" s="259"/>
      <c r="H81" s="812"/>
      <c r="I81" s="812"/>
      <c r="J81" s="813"/>
      <c r="K81" s="252"/>
      <c r="L81" s="253">
        <f t="shared" ref="L81:L87" si="12">SUM(C81:J81)</f>
        <v>0</v>
      </c>
      <c r="M81" s="178"/>
      <c r="N81" s="178"/>
      <c r="O81" s="178"/>
      <c r="P81" s="178"/>
      <c r="Q81" s="178"/>
      <c r="R81" s="178"/>
      <c r="S81" s="178"/>
      <c r="T81" s="178"/>
      <c r="U81" s="178"/>
      <c r="V81" s="178"/>
      <c r="W81" s="178"/>
      <c r="X81" s="178"/>
      <c r="Y81" s="178"/>
      <c r="Z81" s="178"/>
      <c r="AA81" s="178"/>
      <c r="AB81" s="178"/>
      <c r="AC81" s="178"/>
      <c r="AD81" s="178"/>
      <c r="AE81" s="178"/>
    </row>
    <row r="82" spans="1:31" s="179" customFormat="1" ht="13.5" thickBot="1" x14ac:dyDescent="0.25">
      <c r="A82" s="1300"/>
      <c r="B82" s="254">
        <f>E68</f>
        <v>2019</v>
      </c>
      <c r="C82" s="258"/>
      <c r="D82" s="336">
        <f>+D$69-D81</f>
        <v>0</v>
      </c>
      <c r="E82" s="1027">
        <v>0</v>
      </c>
      <c r="F82" s="259"/>
      <c r="G82" s="259"/>
      <c r="H82" s="815"/>
      <c r="I82" s="815"/>
      <c r="J82" s="860"/>
      <c r="K82" s="252"/>
      <c r="L82" s="253">
        <f t="shared" si="12"/>
        <v>0</v>
      </c>
      <c r="M82" s="178"/>
      <c r="N82" s="178"/>
      <c r="O82" s="178"/>
      <c r="P82" s="178"/>
      <c r="Q82" s="178"/>
      <c r="R82" s="178"/>
      <c r="S82" s="178"/>
      <c r="T82" s="178"/>
      <c r="U82" s="178"/>
      <c r="V82" s="178"/>
      <c r="W82" s="178"/>
      <c r="X82" s="178"/>
      <c r="Y82" s="178"/>
      <c r="Z82" s="178"/>
      <c r="AA82" s="178"/>
      <c r="AB82" s="178"/>
      <c r="AC82" s="178"/>
      <c r="AD82" s="178"/>
      <c r="AE82" s="178"/>
    </row>
    <row r="83" spans="1:31" s="179" customFormat="1" ht="13.5" thickBot="1" x14ac:dyDescent="0.25">
      <c r="A83" s="1300"/>
      <c r="B83" s="254">
        <f>+F68</f>
        <v>2020</v>
      </c>
      <c r="C83" s="258"/>
      <c r="D83" s="259"/>
      <c r="E83" s="336">
        <f>+E$69-E82</f>
        <v>0</v>
      </c>
      <c r="F83" s="1027">
        <v>0</v>
      </c>
      <c r="G83" s="259"/>
      <c r="H83" s="815"/>
      <c r="I83" s="815"/>
      <c r="J83" s="860"/>
      <c r="K83" s="252"/>
      <c r="L83" s="253">
        <f t="shared" si="12"/>
        <v>0</v>
      </c>
      <c r="M83" s="178"/>
      <c r="N83" s="178"/>
      <c r="O83" s="178"/>
      <c r="P83" s="178"/>
      <c r="Q83" s="178"/>
      <c r="R83" s="178"/>
      <c r="S83" s="178"/>
      <c r="T83" s="178"/>
      <c r="U83" s="178"/>
      <c r="V83" s="178"/>
      <c r="W83" s="178"/>
      <c r="X83" s="178"/>
      <c r="Y83" s="178"/>
      <c r="Z83" s="178"/>
      <c r="AA83" s="178"/>
      <c r="AB83" s="178"/>
      <c r="AC83" s="178"/>
      <c r="AD83" s="178"/>
      <c r="AE83" s="178"/>
    </row>
    <row r="84" spans="1:31" s="179" customFormat="1" ht="13.5" thickBot="1" x14ac:dyDescent="0.25">
      <c r="A84" s="1300"/>
      <c r="B84" s="254">
        <f>+G68</f>
        <v>2021</v>
      </c>
      <c r="C84" s="258"/>
      <c r="D84" s="259"/>
      <c r="E84" s="259"/>
      <c r="F84" s="336">
        <f>+F$69-F83</f>
        <v>0</v>
      </c>
      <c r="G84" s="1027">
        <v>0</v>
      </c>
      <c r="H84" s="815"/>
      <c r="I84" s="815"/>
      <c r="J84" s="813"/>
      <c r="K84" s="252"/>
      <c r="L84" s="253">
        <f t="shared" si="12"/>
        <v>0</v>
      </c>
      <c r="M84" s="178"/>
      <c r="N84" s="178"/>
      <c r="O84" s="178"/>
      <c r="P84" s="178"/>
      <c r="Q84" s="178"/>
      <c r="R84" s="178"/>
      <c r="S84" s="178"/>
      <c r="T84" s="178"/>
      <c r="U84" s="178"/>
      <c r="V84" s="178"/>
      <c r="W84" s="178"/>
      <c r="X84" s="178"/>
      <c r="Y84" s="178"/>
      <c r="Z84" s="178"/>
      <c r="AA84" s="178"/>
      <c r="AB84" s="178"/>
      <c r="AC84" s="178"/>
      <c r="AD84" s="178"/>
      <c r="AE84" s="178"/>
    </row>
    <row r="85" spans="1:31" s="179" customFormat="1" ht="13.5" thickBot="1" x14ac:dyDescent="0.25">
      <c r="A85" s="1300"/>
      <c r="B85" s="868">
        <f>+H68</f>
        <v>2022</v>
      </c>
      <c r="C85" s="869"/>
      <c r="D85" s="815"/>
      <c r="E85" s="815"/>
      <c r="F85" s="815"/>
      <c r="G85" s="852">
        <f>+G$69-G84</f>
        <v>0</v>
      </c>
      <c r="H85" s="861">
        <v>0</v>
      </c>
      <c r="I85" s="815"/>
      <c r="J85" s="813"/>
      <c r="K85" s="826"/>
      <c r="L85" s="827">
        <f t="shared" si="12"/>
        <v>0</v>
      </c>
      <c r="M85" s="178"/>
      <c r="N85" s="178"/>
      <c r="O85" s="178"/>
      <c r="P85" s="178"/>
      <c r="Q85" s="178"/>
      <c r="R85" s="178"/>
      <c r="S85" s="178"/>
      <c r="T85" s="178"/>
      <c r="U85" s="178"/>
      <c r="V85" s="178"/>
      <c r="W85" s="178"/>
      <c r="X85" s="178"/>
      <c r="Y85" s="178"/>
      <c r="Z85" s="178"/>
      <c r="AA85" s="178"/>
      <c r="AB85" s="178"/>
      <c r="AC85" s="178"/>
      <c r="AD85" s="178"/>
      <c r="AE85" s="178"/>
    </row>
    <row r="86" spans="1:31" s="179" customFormat="1" ht="13.5" thickBot="1" x14ac:dyDescent="0.25">
      <c r="A86" s="1300"/>
      <c r="B86" s="868">
        <f>+I68</f>
        <v>2023</v>
      </c>
      <c r="C86" s="869"/>
      <c r="D86" s="815"/>
      <c r="E86" s="815"/>
      <c r="F86" s="815"/>
      <c r="G86" s="815"/>
      <c r="H86" s="852">
        <f>+H$69-H85</f>
        <v>0</v>
      </c>
      <c r="I86" s="861">
        <v>0</v>
      </c>
      <c r="J86" s="813"/>
      <c r="K86" s="826"/>
      <c r="L86" s="827">
        <f t="shared" si="12"/>
        <v>0</v>
      </c>
      <c r="M86" s="178"/>
      <c r="N86" s="178"/>
      <c r="O86" s="178"/>
      <c r="P86" s="178"/>
      <c r="Q86" s="178"/>
      <c r="R86" s="178"/>
      <c r="S86" s="178"/>
      <c r="T86" s="178"/>
      <c r="U86" s="178"/>
      <c r="V86" s="178"/>
      <c r="W86" s="178"/>
      <c r="X86" s="178"/>
      <c r="Y86" s="178"/>
      <c r="Z86" s="178"/>
      <c r="AA86" s="178"/>
      <c r="AB86" s="178"/>
      <c r="AC86" s="178"/>
      <c r="AD86" s="178"/>
      <c r="AE86" s="178"/>
    </row>
    <row r="87" spans="1:31" s="179" customFormat="1" ht="13.5" thickBot="1" x14ac:dyDescent="0.25">
      <c r="A87" s="1300"/>
      <c r="B87" s="868">
        <f>J68</f>
        <v>2024</v>
      </c>
      <c r="C87" s="869"/>
      <c r="D87" s="812"/>
      <c r="E87" s="815"/>
      <c r="F87" s="815"/>
      <c r="G87" s="815"/>
      <c r="H87" s="815"/>
      <c r="I87" s="852">
        <f>+I$69-I86</f>
        <v>0</v>
      </c>
      <c r="J87" s="862">
        <v>0</v>
      </c>
      <c r="K87" s="826"/>
      <c r="L87" s="827">
        <f t="shared" si="12"/>
        <v>0</v>
      </c>
      <c r="M87" s="178"/>
      <c r="N87" s="178"/>
      <c r="O87" s="178"/>
      <c r="P87" s="178"/>
      <c r="Q87" s="178"/>
      <c r="R87" s="178"/>
      <c r="S87" s="178"/>
      <c r="T87" s="178"/>
      <c r="U87" s="178"/>
      <c r="V87" s="178"/>
      <c r="W87" s="178"/>
      <c r="X87" s="178"/>
      <c r="Y87" s="178"/>
      <c r="Z87" s="178"/>
      <c r="AA87" s="178"/>
      <c r="AB87" s="178"/>
      <c r="AC87" s="178"/>
      <c r="AD87" s="178"/>
      <c r="AE87" s="178"/>
    </row>
    <row r="88" spans="1:31" s="265" customFormat="1" ht="15.75" x14ac:dyDescent="0.2">
      <c r="A88" s="1301"/>
      <c r="B88" s="331" t="s">
        <v>22</v>
      </c>
      <c r="C88" s="261">
        <f>SUM(C80:C87)</f>
        <v>0</v>
      </c>
      <c r="D88" s="261">
        <f t="shared" ref="D88:J88" si="13">SUM(D80:D87)</f>
        <v>0</v>
      </c>
      <c r="E88" s="261">
        <f t="shared" si="13"/>
        <v>0</v>
      </c>
      <c r="F88" s="261">
        <f t="shared" si="13"/>
        <v>0</v>
      </c>
      <c r="G88" s="261">
        <f t="shared" si="13"/>
        <v>0</v>
      </c>
      <c r="H88" s="816">
        <f t="shared" si="13"/>
        <v>0</v>
      </c>
      <c r="I88" s="816">
        <f t="shared" si="13"/>
        <v>0</v>
      </c>
      <c r="J88" s="816">
        <f t="shared" si="13"/>
        <v>0</v>
      </c>
      <c r="K88" s="262"/>
      <c r="L88" s="263">
        <f>SUM(L80:L87)</f>
        <v>0</v>
      </c>
      <c r="M88" s="264"/>
      <c r="N88" s="264"/>
      <c r="O88" s="264"/>
      <c r="P88" s="264"/>
      <c r="Q88" s="264"/>
      <c r="R88" s="264"/>
      <c r="S88" s="264"/>
      <c r="T88" s="264"/>
      <c r="U88" s="264"/>
      <c r="V88" s="264"/>
      <c r="W88" s="264"/>
      <c r="X88" s="264"/>
      <c r="Y88" s="264"/>
      <c r="Z88" s="264"/>
      <c r="AA88" s="264"/>
      <c r="AB88" s="264"/>
      <c r="AC88" s="264"/>
      <c r="AD88" s="264"/>
      <c r="AE88" s="264"/>
    </row>
    <row r="89" spans="1:31" s="243" customFormat="1" x14ac:dyDescent="0.2">
      <c r="A89" s="266" t="s">
        <v>34</v>
      </c>
      <c r="C89" s="267">
        <f t="shared" ref="C89:J89" si="14">+C88+C103</f>
        <v>0</v>
      </c>
      <c r="D89" s="267">
        <f t="shared" si="14"/>
        <v>0</v>
      </c>
      <c r="E89" s="267">
        <f t="shared" si="14"/>
        <v>0</v>
      </c>
      <c r="F89" s="267">
        <f t="shared" si="14"/>
        <v>0</v>
      </c>
      <c r="G89" s="267">
        <f t="shared" si="14"/>
        <v>0</v>
      </c>
      <c r="H89" s="818">
        <f t="shared" si="14"/>
        <v>0</v>
      </c>
      <c r="I89" s="818">
        <f t="shared" si="14"/>
        <v>0</v>
      </c>
      <c r="J89" s="818">
        <f t="shared" si="14"/>
        <v>0</v>
      </c>
      <c r="K89" s="267"/>
      <c r="L89" s="267">
        <f>+L88+L103</f>
        <v>0</v>
      </c>
      <c r="M89" s="267"/>
    </row>
    <row r="90" spans="1:31" s="268" customFormat="1" x14ac:dyDescent="0.2">
      <c r="A90" s="243"/>
      <c r="B90" s="243"/>
      <c r="C90" s="267"/>
      <c r="D90" s="267"/>
      <c r="E90" s="267"/>
      <c r="F90" s="267"/>
      <c r="G90" s="267"/>
      <c r="H90" s="267"/>
      <c r="I90" s="267"/>
      <c r="J90" s="267"/>
      <c r="K90" s="243"/>
      <c r="L90" s="243"/>
      <c r="M90" s="243"/>
      <c r="N90" s="243"/>
      <c r="O90" s="243"/>
      <c r="P90" s="243"/>
      <c r="Q90" s="243"/>
      <c r="R90" s="243"/>
      <c r="S90" s="243"/>
      <c r="T90" s="243"/>
      <c r="U90" s="243"/>
      <c r="V90" s="243"/>
      <c r="W90" s="243"/>
      <c r="X90" s="243"/>
      <c r="Y90" s="243"/>
      <c r="Z90" s="243"/>
      <c r="AA90" s="243"/>
      <c r="AB90" s="243"/>
      <c r="AC90" s="243"/>
      <c r="AD90" s="243"/>
      <c r="AE90" s="243"/>
    </row>
    <row r="91" spans="1:31" s="243" customFormat="1" x14ac:dyDescent="0.2">
      <c r="C91" s="241" t="s">
        <v>162</v>
      </c>
      <c r="D91" s="267"/>
      <c r="E91" s="267"/>
      <c r="F91" s="267"/>
      <c r="G91" s="267"/>
      <c r="H91" s="267"/>
      <c r="I91" s="267"/>
      <c r="J91" s="267"/>
      <c r="K91" s="267"/>
      <c r="L91" s="267"/>
    </row>
    <row r="92" spans="1:31" x14ac:dyDescent="0.2">
      <c r="C92" s="241" t="s">
        <v>163</v>
      </c>
    </row>
    <row r="93" spans="1:31" s="179" customFormat="1" ht="16.5" x14ac:dyDescent="0.2">
      <c r="A93" s="178"/>
      <c r="B93" s="178"/>
      <c r="C93" s="1235" t="s">
        <v>19</v>
      </c>
      <c r="D93" s="1236"/>
      <c r="E93" s="1236"/>
      <c r="F93" s="1236"/>
      <c r="G93" s="1236"/>
      <c r="H93" s="1236"/>
      <c r="I93" s="1236"/>
      <c r="J93" s="1237"/>
      <c r="K93" s="178"/>
      <c r="L93" s="245" t="s">
        <v>20</v>
      </c>
      <c r="M93" s="178"/>
      <c r="N93" s="245" t="s">
        <v>20</v>
      </c>
      <c r="O93" s="178"/>
      <c r="P93" s="178"/>
      <c r="Q93" s="178"/>
      <c r="R93" s="178"/>
      <c r="S93" s="178"/>
      <c r="T93" s="178"/>
      <c r="U93" s="178"/>
      <c r="V93" s="178"/>
      <c r="W93" s="178"/>
      <c r="X93" s="178"/>
      <c r="Y93" s="178"/>
      <c r="Z93" s="178"/>
      <c r="AA93" s="178"/>
      <c r="AB93" s="178"/>
      <c r="AC93" s="178"/>
      <c r="AD93" s="178"/>
      <c r="AE93" s="178"/>
    </row>
    <row r="94" spans="1:31" s="179" customFormat="1" x14ac:dyDescent="0.2">
      <c r="A94" s="178"/>
      <c r="B94" s="178"/>
      <c r="C94" s="247">
        <f>+C79</f>
        <v>2017</v>
      </c>
      <c r="D94" s="247">
        <f t="shared" ref="D94:J94" si="15">+D79</f>
        <v>2018</v>
      </c>
      <c r="E94" s="247">
        <f t="shared" si="15"/>
        <v>2019</v>
      </c>
      <c r="F94" s="247">
        <f t="shared" si="15"/>
        <v>2020</v>
      </c>
      <c r="G94" s="247">
        <f t="shared" si="15"/>
        <v>2021</v>
      </c>
      <c r="H94" s="809">
        <f t="shared" si="15"/>
        <v>2022</v>
      </c>
      <c r="I94" s="809">
        <f t="shared" si="15"/>
        <v>2023</v>
      </c>
      <c r="J94" s="809">
        <f t="shared" si="15"/>
        <v>2024</v>
      </c>
      <c r="K94" s="178"/>
      <c r="L94" s="248" t="s">
        <v>23</v>
      </c>
      <c r="M94" s="178"/>
      <c r="N94" s="248" t="s">
        <v>24</v>
      </c>
      <c r="O94" s="178"/>
      <c r="P94" s="178"/>
      <c r="Q94" s="178"/>
      <c r="R94" s="178"/>
      <c r="S94" s="178"/>
      <c r="T94" s="178"/>
      <c r="U94" s="178"/>
      <c r="V94" s="178"/>
      <c r="W94" s="178"/>
      <c r="X94" s="178"/>
      <c r="Y94" s="178"/>
      <c r="Z94" s="178"/>
      <c r="AA94" s="178"/>
      <c r="AB94" s="178"/>
      <c r="AC94" s="178"/>
      <c r="AD94" s="178"/>
      <c r="AE94" s="178"/>
    </row>
    <row r="95" spans="1:31" s="179" customFormat="1" ht="12.75" customHeight="1" x14ac:dyDescent="0.2">
      <c r="A95" s="1248" t="s">
        <v>113</v>
      </c>
      <c r="B95" s="269">
        <f>+B80</f>
        <v>2017</v>
      </c>
      <c r="C95" s="563"/>
      <c r="D95" s="270"/>
      <c r="E95" s="270"/>
      <c r="F95" s="270"/>
      <c r="G95" s="270"/>
      <c r="H95" s="819"/>
      <c r="I95" s="819"/>
      <c r="J95" s="820"/>
      <c r="K95" s="252"/>
      <c r="L95" s="253">
        <f>SUM(C95:J95)</f>
        <v>0</v>
      </c>
      <c r="M95" s="252"/>
      <c r="N95" s="272">
        <f>SUM(L80,L95)</f>
        <v>0</v>
      </c>
      <c r="O95" s="178"/>
      <c r="P95" s="178"/>
      <c r="Q95" s="178"/>
      <c r="R95" s="178"/>
      <c r="S95" s="178"/>
      <c r="T95" s="178"/>
      <c r="U95" s="178"/>
      <c r="V95" s="178"/>
      <c r="W95" s="178"/>
      <c r="X95" s="178"/>
      <c r="Y95" s="178"/>
      <c r="Z95" s="178"/>
      <c r="AA95" s="178"/>
      <c r="AB95" s="178"/>
      <c r="AC95" s="178"/>
      <c r="AD95" s="178"/>
      <c r="AE95" s="178"/>
    </row>
    <row r="96" spans="1:31" s="179" customFormat="1" ht="12.75" customHeight="1" x14ac:dyDescent="0.2">
      <c r="A96" s="1249"/>
      <c r="B96" s="269">
        <f t="shared" ref="B96:B102" si="16">+B81</f>
        <v>2018</v>
      </c>
      <c r="C96" s="255">
        <f>+IF($Q$3="ex-ante",IF(C$94&lt;=($P$3-1),IF($B96&lt;=($P$3),T6B!G98,0),0),IF($Q$3="ex-post",IF(C$94&lt;=($P$3),IF($B96&lt;=($P$3+1),T6B!G98,0),0),0))</f>
        <v>0</v>
      </c>
      <c r="D96" s="270"/>
      <c r="E96" s="270"/>
      <c r="F96" s="270"/>
      <c r="G96" s="270"/>
      <c r="H96" s="819"/>
      <c r="I96" s="819"/>
      <c r="J96" s="821"/>
      <c r="K96" s="252"/>
      <c r="L96" s="253">
        <f t="shared" ref="L96:L102" si="17">SUM(C96:J96)</f>
        <v>0</v>
      </c>
      <c r="M96" s="252"/>
      <c r="N96" s="272">
        <f t="shared" ref="N96:N102" si="18">SUM(L81,L96)</f>
        <v>0</v>
      </c>
      <c r="O96" s="178"/>
      <c r="P96" s="178"/>
      <c r="Q96" s="178"/>
      <c r="R96" s="178"/>
      <c r="S96" s="178"/>
      <c r="T96" s="178"/>
      <c r="U96" s="178"/>
      <c r="V96" s="178"/>
      <c r="W96" s="178"/>
      <c r="X96" s="178"/>
      <c r="Y96" s="178"/>
      <c r="Z96" s="178"/>
      <c r="AA96" s="178"/>
      <c r="AB96" s="178"/>
      <c r="AC96" s="178"/>
      <c r="AD96" s="178"/>
      <c r="AE96" s="178"/>
    </row>
    <row r="97" spans="1:31" s="179" customFormat="1" ht="12.75" customHeight="1" x14ac:dyDescent="0.2">
      <c r="A97" s="1249" t="s">
        <v>25</v>
      </c>
      <c r="B97" s="269">
        <f t="shared" si="16"/>
        <v>2019</v>
      </c>
      <c r="C97" s="255">
        <f>+IF($Q$3="ex-ante",IF(C$94&lt;=($P$3-1),IF($B97&lt;=($P$3),T6B!G99,0),0),IF($Q$3="ex-post",IF(C$94&lt;=($P$3),IF($B97&lt;=($P$3+1),T6B!G99,0),0),0))</f>
        <v>0</v>
      </c>
      <c r="D97" s="255">
        <f>+IF($Q$3="ex-ante",IF(D$94&lt;=($P$3-1),IF($B97&lt;=($P$3),T6B!H99,0),0),IF($Q$3="ex-post",IF(D$94&lt;=($P$3),IF($B97&lt;=($P$3+1),T6B!H99,0),0),0))</f>
        <v>0</v>
      </c>
      <c r="E97" s="270"/>
      <c r="F97" s="270"/>
      <c r="G97" s="270"/>
      <c r="H97" s="819"/>
      <c r="I97" s="819"/>
      <c r="J97" s="821"/>
      <c r="K97" s="252"/>
      <c r="L97" s="253">
        <f t="shared" si="17"/>
        <v>0</v>
      </c>
      <c r="M97" s="252"/>
      <c r="N97" s="272">
        <f t="shared" si="18"/>
        <v>0</v>
      </c>
      <c r="O97" s="178"/>
      <c r="P97" s="178"/>
      <c r="Q97" s="178"/>
      <c r="R97" s="178"/>
      <c r="S97" s="178"/>
      <c r="T97" s="178"/>
      <c r="U97" s="178"/>
      <c r="V97" s="178"/>
      <c r="W97" s="178"/>
      <c r="X97" s="178"/>
      <c r="Y97" s="178"/>
      <c r="Z97" s="178"/>
      <c r="AA97" s="178"/>
      <c r="AB97" s="178"/>
      <c r="AC97" s="178"/>
      <c r="AD97" s="178"/>
      <c r="AE97" s="178"/>
    </row>
    <row r="98" spans="1:31" s="179" customFormat="1" ht="12.75" customHeight="1" x14ac:dyDescent="0.2">
      <c r="A98" s="1249"/>
      <c r="B98" s="269">
        <f t="shared" si="16"/>
        <v>2020</v>
      </c>
      <c r="C98" s="255">
        <f>+IF($Q$3="ex-ante",IF(C$94&lt;=($P$3-1),IF($B98&lt;=($P$3),T6B!G100,0),0),IF($Q$3="ex-post",IF(C$94&lt;=($P$3),IF($B98&lt;=($P$3+1),T6B!G100,0),0),0))</f>
        <v>0</v>
      </c>
      <c r="D98" s="255">
        <f>+IF($Q$3="ex-ante",IF(D$94&lt;=($P$3-1),IF($B98&lt;=($P$3),T6B!H100,0),0),IF($Q$3="ex-post",IF(D$94&lt;=($P$3),IF($B98&lt;=($P$3+1),T6B!H100,0),0),0))</f>
        <v>0</v>
      </c>
      <c r="E98" s="255">
        <f>+IF($Q$3="ex-ante",IF(E$94&lt;=($P$3-1),IF($B98&lt;=($P$3),T6B!I100,0),0),IF($Q$3="ex-post",IF(E$94&lt;=($P$3),IF($B98&lt;=($P$3+1),T6B!I100,0),0),0))</f>
        <v>0</v>
      </c>
      <c r="F98" s="270"/>
      <c r="G98" s="270"/>
      <c r="H98" s="819"/>
      <c r="I98" s="819"/>
      <c r="J98" s="821"/>
      <c r="K98" s="252"/>
      <c r="L98" s="253">
        <f t="shared" si="17"/>
        <v>0</v>
      </c>
      <c r="M98" s="252"/>
      <c r="N98" s="272">
        <f t="shared" si="18"/>
        <v>0</v>
      </c>
      <c r="O98" s="178"/>
      <c r="P98" s="178"/>
      <c r="Q98" s="178"/>
      <c r="R98" s="178"/>
      <c r="S98" s="178"/>
      <c r="T98" s="178"/>
      <c r="U98" s="178"/>
      <c r="V98" s="178"/>
      <c r="W98" s="178"/>
      <c r="X98" s="178"/>
      <c r="Y98" s="178"/>
      <c r="Z98" s="178"/>
      <c r="AA98" s="178"/>
      <c r="AB98" s="178"/>
      <c r="AC98" s="178"/>
      <c r="AD98" s="178"/>
      <c r="AE98" s="178"/>
    </row>
    <row r="99" spans="1:31" s="179" customFormat="1" ht="12.75" customHeight="1" x14ac:dyDescent="0.2">
      <c r="A99" s="1249"/>
      <c r="B99" s="269">
        <f t="shared" si="16"/>
        <v>2021</v>
      </c>
      <c r="C99" s="255">
        <f>+IF($Q$3="ex-ante",IF(C$94&lt;=($P$3-1),IF($B99&lt;=($P$3),T6B!G101,0),0),IF($Q$3="ex-post",IF(C$94&lt;=($P$3),IF($B99&lt;=($P$3+1),T6B!G101,0),0),0))</f>
        <v>0</v>
      </c>
      <c r="D99" s="255">
        <f>+IF($Q$3="ex-ante",IF(D$94&lt;=($P$3-1),IF($B99&lt;=($P$3),T6B!H101,0),0),IF($Q$3="ex-post",IF(D$94&lt;=($P$3),IF($B99&lt;=($P$3+1),T6B!H101,0),0),0))</f>
        <v>0</v>
      </c>
      <c r="E99" s="255">
        <f>+IF($Q$3="ex-ante",IF(E$94&lt;=($P$3-1),IF($B99&lt;=($P$3),T6B!I101,0),0),IF($Q$3="ex-post",IF(E$94&lt;=($P$3),IF($B99&lt;=($P$3+1),T6B!I101,0),0),0))</f>
        <v>0</v>
      </c>
      <c r="F99" s="255">
        <f>+IF($Q$3="ex-ante",IF(F$94&lt;=($P$3-1),IF($B99&lt;=($P$3),T6B!J101,0),0),IF($Q$3="ex-post",IF(F$94&lt;=($P$3),IF($B99&lt;=($P$3+1),T6B!J101,0),0),0))</f>
        <v>0</v>
      </c>
      <c r="G99" s="270"/>
      <c r="H99" s="819"/>
      <c r="I99" s="819"/>
      <c r="J99" s="821"/>
      <c r="K99" s="252"/>
      <c r="L99" s="253">
        <f t="shared" si="17"/>
        <v>0</v>
      </c>
      <c r="M99" s="252"/>
      <c r="N99" s="272">
        <f t="shared" si="18"/>
        <v>0</v>
      </c>
      <c r="O99" s="244" t="s">
        <v>27</v>
      </c>
      <c r="P99" s="178"/>
      <c r="Q99" s="178"/>
      <c r="R99" s="178"/>
      <c r="S99" s="178"/>
      <c r="T99" s="178"/>
      <c r="U99" s="178"/>
      <c r="V99" s="178"/>
      <c r="W99" s="178"/>
      <c r="X99" s="178"/>
      <c r="Y99" s="178"/>
      <c r="Z99" s="178"/>
      <c r="AA99" s="178"/>
      <c r="AB99" s="178"/>
      <c r="AC99" s="178"/>
      <c r="AD99" s="178"/>
      <c r="AE99" s="178"/>
    </row>
    <row r="100" spans="1:31" s="179" customFormat="1" ht="12.75" customHeight="1" x14ac:dyDescent="0.2">
      <c r="A100" s="1249"/>
      <c r="B100" s="853">
        <f t="shared" si="16"/>
        <v>2022</v>
      </c>
      <c r="C100" s="565">
        <f>+IF($Q$3="ex-ante",IF(C$94&lt;=($P$3-1),IF($B100&lt;=($P$3),T6B!G102,0),0),IF($Q$3="ex-post",IF(C$94&lt;=($P$3),IF($B100&lt;=($P$3+1),T6B!G102,0),0),0))</f>
        <v>0</v>
      </c>
      <c r="D100" s="565">
        <f>+IF($Q$3="ex-ante",IF(D$94&lt;=($P$3-1),IF($B100&lt;=($P$3),T6B!H102,0),0),IF($Q$3="ex-post",IF(D$94&lt;=($P$3),IF($B100&lt;=($P$3+1),T6B!H102,0),0),0))</f>
        <v>0</v>
      </c>
      <c r="E100" s="565">
        <f>+IF($Q$3="ex-ante",IF(E$94&lt;=($P$3-1),IF($B100&lt;=($P$3),T6B!I102,0),0),IF($Q$3="ex-post",IF(E$94&lt;=($P$3),IF($B100&lt;=($P$3+1),T6B!I102,0),0),0))</f>
        <v>0</v>
      </c>
      <c r="F100" s="565">
        <f>+IF($Q$3="ex-ante",IF(F$94&lt;=($P$3-1),IF($B100&lt;=($P$3),T6B!J102,0),0),IF($Q$3="ex-post",IF(F$94&lt;=($P$3),IF($B100&lt;=($P$3+1),T6B!J102,0),0),0))</f>
        <v>0</v>
      </c>
      <c r="G100" s="565">
        <f>+IF($Q$3="ex-ante",IF(G$94&lt;=($P$3-1),IF($B100&lt;=($P$3),T6B!K102,0),0),IF($Q$3="ex-post",IF(G$94&lt;=($P$3),IF($B100&lt;=($P$3+1),T6B!K102,0),0),0))</f>
        <v>0</v>
      </c>
      <c r="H100" s="819"/>
      <c r="I100" s="819"/>
      <c r="J100" s="821"/>
      <c r="K100" s="826"/>
      <c r="L100" s="827">
        <f t="shared" si="17"/>
        <v>0</v>
      </c>
      <c r="M100" s="826"/>
      <c r="N100" s="854">
        <f t="shared" si="18"/>
        <v>0</v>
      </c>
      <c r="O100" s="178"/>
      <c r="P100" s="178"/>
      <c r="Q100" s="178"/>
      <c r="R100" s="178"/>
      <c r="S100" s="178"/>
      <c r="T100" s="178"/>
      <c r="U100" s="178"/>
      <c r="V100" s="178"/>
      <c r="W100" s="178"/>
      <c r="X100" s="178"/>
      <c r="Y100" s="178"/>
      <c r="Z100" s="178"/>
      <c r="AA100" s="178"/>
      <c r="AB100" s="178"/>
      <c r="AC100" s="178"/>
      <c r="AD100" s="178"/>
      <c r="AE100" s="178"/>
    </row>
    <row r="101" spans="1:31" s="179" customFormat="1" ht="12.75" customHeight="1" x14ac:dyDescent="0.2">
      <c r="A101" s="1249"/>
      <c r="B101" s="853">
        <f t="shared" si="16"/>
        <v>2023</v>
      </c>
      <c r="C101" s="819"/>
      <c r="D101" s="819"/>
      <c r="E101" s="819"/>
      <c r="F101" s="819"/>
      <c r="G101" s="565">
        <f>+IF($Q$3="ex-ante",IF(G$94&lt;=($P$3-1),IF($B101&lt;=($P$3),T6B!K103,0),0),IF($Q$3="ex-post",IF(G$94&lt;=($P$3),IF($B101&lt;=($P$3+1),T6B!K103,0),0),0))</f>
        <v>0</v>
      </c>
      <c r="H101" s="565">
        <f>+IF($Q$3="ex-ante",IF(H$94&lt;=($P$3-1),IF($B101&lt;=($P$3),T6B!L103,0),0),IF($Q$3="ex-post",IF(H$94&lt;=($P$3),IF($B101&lt;=($P$3+1),T6B!L103,0),0),0))</f>
        <v>0</v>
      </c>
      <c r="I101" s="819"/>
      <c r="J101" s="821"/>
      <c r="K101" s="826"/>
      <c r="L101" s="827">
        <f t="shared" si="17"/>
        <v>0</v>
      </c>
      <c r="M101" s="826"/>
      <c r="N101" s="854">
        <f t="shared" si="18"/>
        <v>0</v>
      </c>
      <c r="O101" s="178"/>
      <c r="P101" s="178"/>
      <c r="Q101" s="178"/>
      <c r="R101" s="178"/>
      <c r="S101" s="178"/>
      <c r="T101" s="178"/>
      <c r="U101" s="178"/>
      <c r="V101" s="178"/>
      <c r="W101" s="178"/>
      <c r="X101" s="178"/>
      <c r="Y101" s="178"/>
      <c r="Z101" s="178"/>
      <c r="AA101" s="178"/>
      <c r="AB101" s="178"/>
      <c r="AC101" s="178"/>
      <c r="AD101" s="178"/>
      <c r="AE101" s="178"/>
    </row>
    <row r="102" spans="1:31" s="179" customFormat="1" ht="12.75" customHeight="1" x14ac:dyDescent="0.2">
      <c r="A102" s="1249"/>
      <c r="B102" s="853">
        <f t="shared" si="16"/>
        <v>2024</v>
      </c>
      <c r="C102" s="819"/>
      <c r="D102" s="819"/>
      <c r="E102" s="819"/>
      <c r="F102" s="819"/>
      <c r="G102" s="819"/>
      <c r="H102" s="565">
        <f>+IF($Q$3="ex-ante",IF(H$94&lt;=($P$3-1),IF($B102&lt;=($P$3),T6B!L104,0),0),IF($Q$3="ex-post",IF(H$94&lt;=($P$3),IF($B102&lt;=($P$3+1),T6B!L104,0),0),0))</f>
        <v>0</v>
      </c>
      <c r="I102" s="565">
        <f>+IF($Q$3="ex-ante",IF(I$94&lt;=($P$3-1),IF($B102&lt;=($P$3),T6B!M104,0),0),IF($Q$3="ex-post",IF(I$94&lt;=($P$3),IF($B102&lt;=($P$3+1),T6B!M104,0),0),0))</f>
        <v>0</v>
      </c>
      <c r="J102" s="864"/>
      <c r="K102" s="826"/>
      <c r="L102" s="827">
        <f t="shared" si="17"/>
        <v>0</v>
      </c>
      <c r="M102" s="826"/>
      <c r="N102" s="854">
        <f t="shared" si="18"/>
        <v>0</v>
      </c>
      <c r="P102" s="178"/>
      <c r="Q102" s="178"/>
      <c r="R102" s="178"/>
      <c r="S102" s="178"/>
      <c r="T102" s="178"/>
      <c r="U102" s="178"/>
      <c r="V102" s="178"/>
      <c r="W102" s="178"/>
      <c r="X102" s="178"/>
      <c r="Y102" s="178"/>
      <c r="Z102" s="178"/>
      <c r="AA102" s="178"/>
      <c r="AB102" s="178"/>
      <c r="AC102" s="178"/>
      <c r="AD102" s="178"/>
      <c r="AE102" s="178"/>
    </row>
    <row r="103" spans="1:31" s="265" customFormat="1" ht="16.5" customHeight="1" x14ac:dyDescent="0.2">
      <c r="A103" s="1299"/>
      <c r="B103" s="331" t="s">
        <v>22</v>
      </c>
      <c r="C103" s="275">
        <f>SUM(C95:C102)</f>
        <v>0</v>
      </c>
      <c r="D103" s="275">
        <f t="shared" ref="D103:J103" si="19">SUM(D95:D102)</f>
        <v>0</v>
      </c>
      <c r="E103" s="275">
        <f t="shared" si="19"/>
        <v>0</v>
      </c>
      <c r="F103" s="275">
        <f t="shared" si="19"/>
        <v>0</v>
      </c>
      <c r="G103" s="275">
        <f t="shared" si="19"/>
        <v>0</v>
      </c>
      <c r="H103" s="865">
        <f t="shared" si="19"/>
        <v>0</v>
      </c>
      <c r="I103" s="865">
        <f t="shared" si="19"/>
        <v>0</v>
      </c>
      <c r="J103" s="865">
        <f t="shared" si="19"/>
        <v>0</v>
      </c>
      <c r="K103" s="252"/>
      <c r="L103" s="263">
        <f>SUM(L95:L102)</f>
        <v>0</v>
      </c>
      <c r="M103" s="262"/>
      <c r="N103" s="263">
        <f>SUM(N95:N102)</f>
        <v>0</v>
      </c>
      <c r="O103" s="264"/>
      <c r="P103" s="264"/>
      <c r="Q103" s="264"/>
      <c r="R103" s="264"/>
      <c r="S103" s="264"/>
      <c r="T103" s="264"/>
      <c r="U103" s="264"/>
      <c r="V103" s="264"/>
      <c r="W103" s="264"/>
      <c r="X103" s="264"/>
      <c r="Y103" s="264"/>
      <c r="Z103" s="264"/>
      <c r="AA103" s="264"/>
      <c r="AB103" s="264"/>
      <c r="AC103" s="264"/>
      <c r="AD103" s="264"/>
      <c r="AE103" s="264"/>
    </row>
    <row r="104" spans="1:31" x14ac:dyDescent="0.2">
      <c r="K104" s="252"/>
    </row>
    <row r="105" spans="1:31" x14ac:dyDescent="0.2">
      <c r="K105" s="252"/>
    </row>
    <row r="106" spans="1:31" ht="13.5" thickBot="1" x14ac:dyDescent="0.25">
      <c r="K106" s="252"/>
    </row>
    <row r="107" spans="1:31" s="179" customFormat="1" ht="21.75" customHeight="1" thickBot="1" x14ac:dyDescent="0.25">
      <c r="A107" s="1224" t="s">
        <v>175</v>
      </c>
      <c r="B107" s="1225"/>
      <c r="C107" s="1225"/>
      <c r="D107" s="1225"/>
      <c r="E107" s="1225"/>
      <c r="F107" s="1225"/>
      <c r="G107" s="1225"/>
      <c r="H107" s="1225"/>
      <c r="I107" s="1225"/>
      <c r="J107" s="1225"/>
      <c r="K107" s="1225"/>
      <c r="L107" s="1226"/>
      <c r="N107" s="178"/>
      <c r="O107" s="178"/>
      <c r="P107" s="178"/>
      <c r="Q107" s="178"/>
      <c r="R107" s="178"/>
      <c r="S107" s="178"/>
      <c r="T107" s="178"/>
      <c r="U107" s="178"/>
      <c r="V107" s="178"/>
      <c r="W107" s="178"/>
      <c r="X107" s="178"/>
      <c r="Y107" s="178"/>
      <c r="Z107" s="178"/>
      <c r="AA107" s="178"/>
      <c r="AB107" s="178"/>
      <c r="AC107" s="178"/>
      <c r="AD107" s="178"/>
      <c r="AE107" s="178"/>
    </row>
    <row r="109" spans="1:31" x14ac:dyDescent="0.2">
      <c r="C109" s="241" t="s">
        <v>164</v>
      </c>
    </row>
    <row r="110" spans="1:31" x14ac:dyDescent="0.2">
      <c r="C110" s="241" t="s">
        <v>29</v>
      </c>
    </row>
    <row r="111" spans="1:31" ht="16.5" x14ac:dyDescent="0.2">
      <c r="C111" s="1244" t="s">
        <v>19</v>
      </c>
      <c r="D111" s="1245"/>
      <c r="E111" s="1245"/>
      <c r="F111" s="1245"/>
      <c r="G111" s="1245"/>
      <c r="H111" s="1245"/>
      <c r="I111" s="1245"/>
      <c r="J111" s="1246"/>
    </row>
    <row r="112" spans="1:31" x14ac:dyDescent="0.2">
      <c r="C112" s="247">
        <f>+C94</f>
        <v>2017</v>
      </c>
      <c r="D112" s="247">
        <f t="shared" ref="D112:J112" si="20">+D94</f>
        <v>2018</v>
      </c>
      <c r="E112" s="247">
        <f t="shared" si="20"/>
        <v>2019</v>
      </c>
      <c r="F112" s="247">
        <f t="shared" si="20"/>
        <v>2020</v>
      </c>
      <c r="G112" s="247">
        <f t="shared" si="20"/>
        <v>2021</v>
      </c>
      <c r="H112" s="809">
        <f t="shared" si="20"/>
        <v>2022</v>
      </c>
      <c r="I112" s="809">
        <f t="shared" si="20"/>
        <v>2023</v>
      </c>
      <c r="J112" s="809">
        <f t="shared" si="20"/>
        <v>2024</v>
      </c>
      <c r="L112" s="93" t="s">
        <v>20</v>
      </c>
    </row>
    <row r="113" spans="1:12" ht="15.6" customHeight="1" x14ac:dyDescent="0.2">
      <c r="A113" s="1238" t="s">
        <v>130</v>
      </c>
      <c r="B113" s="276">
        <f>+B95</f>
        <v>2017</v>
      </c>
      <c r="C113" s="255">
        <f>+C80</f>
        <v>0</v>
      </c>
      <c r="D113" s="277"/>
      <c r="E113" s="270"/>
      <c r="F113" s="259"/>
      <c r="G113" s="270"/>
      <c r="H113" s="819"/>
      <c r="I113" s="819"/>
      <c r="J113" s="821"/>
      <c r="L113" s="278">
        <f>SUM(C113:J113)</f>
        <v>0</v>
      </c>
    </row>
    <row r="114" spans="1:12" ht="13.5" customHeight="1" x14ac:dyDescent="0.2">
      <c r="A114" s="1239"/>
      <c r="B114" s="276">
        <f t="shared" ref="B114:B120" si="21">+B96</f>
        <v>2018</v>
      </c>
      <c r="C114" s="255">
        <f>+C113+C96+C81</f>
        <v>0</v>
      </c>
      <c r="D114" s="255">
        <f>+D81</f>
        <v>0</v>
      </c>
      <c r="E114" s="279"/>
      <c r="F114" s="259"/>
      <c r="G114" s="259"/>
      <c r="H114" s="815"/>
      <c r="I114" s="815"/>
      <c r="J114" s="860"/>
      <c r="L114" s="278">
        <f t="shared" ref="L114:L120" si="22">SUM(C114:J114)</f>
        <v>0</v>
      </c>
    </row>
    <row r="115" spans="1:12" ht="16.5" customHeight="1" x14ac:dyDescent="0.2">
      <c r="A115" s="1239"/>
      <c r="B115" s="276">
        <f t="shared" si="21"/>
        <v>2019</v>
      </c>
      <c r="C115" s="255">
        <f t="shared" ref="C115:C118" si="23">+C114+C97+C82</f>
        <v>0</v>
      </c>
      <c r="D115" s="255">
        <f>+D114+D97+D82</f>
        <v>0</v>
      </c>
      <c r="E115" s="255">
        <f>+E82</f>
        <v>0</v>
      </c>
      <c r="F115" s="259"/>
      <c r="G115" s="259"/>
      <c r="H115" s="815"/>
      <c r="I115" s="815"/>
      <c r="J115" s="860"/>
      <c r="L115" s="278">
        <f t="shared" si="22"/>
        <v>0</v>
      </c>
    </row>
    <row r="116" spans="1:12" ht="16.5" customHeight="1" x14ac:dyDescent="0.2">
      <c r="A116" s="1239"/>
      <c r="B116" s="276">
        <f t="shared" si="21"/>
        <v>2020</v>
      </c>
      <c r="C116" s="255">
        <f t="shared" si="23"/>
        <v>0</v>
      </c>
      <c r="D116" s="255">
        <f t="shared" ref="D116:D118" si="24">+D115+D98+D83</f>
        <v>0</v>
      </c>
      <c r="E116" s="255">
        <f t="shared" ref="E116:I120" si="25">+E115+E98+E83</f>
        <v>0</v>
      </c>
      <c r="F116" s="255">
        <f>+F83</f>
        <v>0</v>
      </c>
      <c r="G116" s="259"/>
      <c r="H116" s="815"/>
      <c r="I116" s="815"/>
      <c r="J116" s="860"/>
      <c r="L116" s="278">
        <f t="shared" si="22"/>
        <v>0</v>
      </c>
    </row>
    <row r="117" spans="1:12" ht="16.5" customHeight="1" x14ac:dyDescent="0.2">
      <c r="A117" s="1239"/>
      <c r="B117" s="276">
        <f t="shared" si="21"/>
        <v>2021</v>
      </c>
      <c r="C117" s="255">
        <f t="shared" si="23"/>
        <v>0</v>
      </c>
      <c r="D117" s="255">
        <f t="shared" si="24"/>
        <v>0</v>
      </c>
      <c r="E117" s="255">
        <f t="shared" si="25"/>
        <v>0</v>
      </c>
      <c r="F117" s="255">
        <f t="shared" si="25"/>
        <v>0</v>
      </c>
      <c r="G117" s="255">
        <f>+G84</f>
        <v>0</v>
      </c>
      <c r="H117" s="815"/>
      <c r="I117" s="815"/>
      <c r="J117" s="860"/>
      <c r="L117" s="278">
        <f t="shared" si="22"/>
        <v>0</v>
      </c>
    </row>
    <row r="118" spans="1:12" ht="16.5" customHeight="1" x14ac:dyDescent="0.2">
      <c r="A118" s="1239"/>
      <c r="B118" s="829">
        <f t="shared" si="21"/>
        <v>2022</v>
      </c>
      <c r="C118" s="565">
        <f t="shared" si="23"/>
        <v>0</v>
      </c>
      <c r="D118" s="565">
        <f t="shared" si="24"/>
        <v>0</v>
      </c>
      <c r="E118" s="565">
        <f t="shared" si="25"/>
        <v>0</v>
      </c>
      <c r="F118" s="565">
        <f t="shared" si="25"/>
        <v>0</v>
      </c>
      <c r="G118" s="565">
        <f t="shared" si="25"/>
        <v>0</v>
      </c>
      <c r="H118" s="565">
        <f>+H85</f>
        <v>0</v>
      </c>
      <c r="I118" s="815"/>
      <c r="J118" s="860"/>
      <c r="K118" s="830"/>
      <c r="L118" s="831">
        <f t="shared" si="22"/>
        <v>0</v>
      </c>
    </row>
    <row r="119" spans="1:12" ht="16.5" customHeight="1" x14ac:dyDescent="0.2">
      <c r="A119" s="1239"/>
      <c r="B119" s="829">
        <f t="shared" si="21"/>
        <v>2023</v>
      </c>
      <c r="C119" s="866"/>
      <c r="D119" s="815"/>
      <c r="E119" s="815"/>
      <c r="F119" s="815"/>
      <c r="G119" s="565">
        <f t="shared" si="25"/>
        <v>0</v>
      </c>
      <c r="H119" s="565">
        <f t="shared" si="25"/>
        <v>0</v>
      </c>
      <c r="I119" s="565">
        <f>+I86</f>
        <v>0</v>
      </c>
      <c r="J119" s="860"/>
      <c r="K119" s="830"/>
      <c r="L119" s="831">
        <f t="shared" si="22"/>
        <v>0</v>
      </c>
    </row>
    <row r="120" spans="1:12" ht="15.75" customHeight="1" x14ac:dyDescent="0.2">
      <c r="A120" s="1240"/>
      <c r="B120" s="829">
        <f t="shared" si="21"/>
        <v>2024</v>
      </c>
      <c r="C120" s="852"/>
      <c r="D120" s="867"/>
      <c r="E120" s="867"/>
      <c r="F120" s="867"/>
      <c r="G120" s="867"/>
      <c r="H120" s="565">
        <f t="shared" si="25"/>
        <v>0</v>
      </c>
      <c r="I120" s="565">
        <f t="shared" si="25"/>
        <v>0</v>
      </c>
      <c r="J120" s="565">
        <f>+J87</f>
        <v>0</v>
      </c>
      <c r="K120" s="830"/>
      <c r="L120" s="831">
        <f t="shared" si="22"/>
        <v>0</v>
      </c>
    </row>
    <row r="121" spans="1:12" ht="15" x14ac:dyDescent="0.2">
      <c r="A121" s="337"/>
      <c r="C121" s="241"/>
    </row>
    <row r="122" spans="1:12" x14ac:dyDescent="0.2">
      <c r="C122" s="241"/>
    </row>
    <row r="123" spans="1:12" x14ac:dyDescent="0.2">
      <c r="C123" s="241"/>
    </row>
  </sheetData>
  <sheetProtection algorithmName="SHA-512" hashValue="M9KEzjSi4zECUehP99Qs/C0KKWVRTtsVnMwmha50EugVFIT8nNNpvf059OHmIUlqg7wSB8oOJESXddsfh/Y72A==" saltValue="tfbcePa/G6zG3oxOFOXiqQ==" spinCount="100000" sheet="1" objects="1" scenarios="1"/>
  <mergeCells count="62">
    <mergeCell ref="A113:A120"/>
    <mergeCell ref="C6:J6"/>
    <mergeCell ref="A13:B13"/>
    <mergeCell ref="A79:B79"/>
    <mergeCell ref="A80:A88"/>
    <mergeCell ref="A27:B27"/>
    <mergeCell ref="C111:J111"/>
    <mergeCell ref="A60:B60"/>
    <mergeCell ref="A50:B50"/>
    <mergeCell ref="A107:L107"/>
    <mergeCell ref="A95:A103"/>
    <mergeCell ref="C93:J93"/>
    <mergeCell ref="C78:J78"/>
    <mergeCell ref="A12:B12"/>
    <mergeCell ref="A31:B31"/>
    <mergeCell ref="A32:B32"/>
    <mergeCell ref="M74:N74"/>
    <mergeCell ref="A46:B46"/>
    <mergeCell ref="A45:B45"/>
    <mergeCell ref="A44:B44"/>
    <mergeCell ref="A58:B58"/>
    <mergeCell ref="A56:B56"/>
    <mergeCell ref="A55:B55"/>
    <mergeCell ref="A54:B54"/>
    <mergeCell ref="A57:B57"/>
    <mergeCell ref="A59:B59"/>
    <mergeCell ref="A65:L65"/>
    <mergeCell ref="A74:L74"/>
    <mergeCell ref="A49:B49"/>
    <mergeCell ref="A18:B18"/>
    <mergeCell ref="A15:B15"/>
    <mergeCell ref="C5:J5"/>
    <mergeCell ref="A14:B14"/>
    <mergeCell ref="A9:B9"/>
    <mergeCell ref="A10:B10"/>
    <mergeCell ref="A11:B11"/>
    <mergeCell ref="A1:L1"/>
    <mergeCell ref="A7:B7"/>
    <mergeCell ref="A8:B8"/>
    <mergeCell ref="C4:J4"/>
    <mergeCell ref="A17:B17"/>
    <mergeCell ref="A20:B20"/>
    <mergeCell ref="A21:B21"/>
    <mergeCell ref="A23:B23"/>
    <mergeCell ref="A24:B24"/>
    <mergeCell ref="C67:J67"/>
    <mergeCell ref="A53:B53"/>
    <mergeCell ref="A26:B26"/>
    <mergeCell ref="A28:B28"/>
    <mergeCell ref="A29:B29"/>
    <mergeCell ref="A42:B42"/>
    <mergeCell ref="A41:B41"/>
    <mergeCell ref="A33:B33"/>
    <mergeCell ref="A39:B39"/>
    <mergeCell ref="A40:B40"/>
    <mergeCell ref="A47:B47"/>
    <mergeCell ref="A48:B48"/>
    <mergeCell ref="A30:B30"/>
    <mergeCell ref="A35:B35"/>
    <mergeCell ref="A36:B36"/>
    <mergeCell ref="A37:B37"/>
    <mergeCell ref="A38:B38"/>
  </mergeCells>
  <conditionalFormatting sqref="A13:B14 A31:G32 A40:G41 A58:J59 C13:J14">
    <cfRule type="expression" dxfId="28" priority="4">
      <formula>$C$5="gas"</formula>
    </cfRule>
  </conditionalFormatting>
  <pageMargins left="0.78740157480314965" right="0.78740157480314965" top="0.98425196850393704" bottom="0.98425196850393704" header="0.51181102362204722" footer="0.51181102362204722"/>
  <pageSetup paperSize="8" scale="34" orientation="landscape" r:id="rId1"/>
  <headerFooter alignWithMargins="0">
    <oddFooter>&amp;CPage &amp;P</oddFooter>
  </headerFooter>
  <ignoredErrors>
    <ignoredError sqref="C53" evalError="1"/>
    <ignoredError sqref="L94 N94"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3EBA-8E1D-4A14-9E4D-9E4D5D9759A8}">
  <sheetPr published="0" codeName="Blad17"/>
  <dimension ref="A1:T626"/>
  <sheetViews>
    <sheetView zoomScale="85" zoomScaleNormal="85" workbookViewId="0">
      <selection activeCell="H19" sqref="H19"/>
    </sheetView>
  </sheetViews>
  <sheetFormatPr defaultColWidth="9.140625" defaultRowHeight="12.75" x14ac:dyDescent="0.2"/>
  <cols>
    <col min="1" max="1" width="2.42578125" style="167" customWidth="1"/>
    <col min="2" max="2" width="9.140625" style="167"/>
    <col min="3" max="3" width="19" style="167" customWidth="1"/>
    <col min="4" max="4" width="12.85546875" style="167" customWidth="1"/>
    <col min="5" max="5" width="24.28515625" style="167" customWidth="1"/>
    <col min="6" max="6" width="9.42578125" style="167" customWidth="1"/>
    <col min="7" max="14" width="25.7109375" style="167" customWidth="1"/>
    <col min="15" max="15" width="2.140625" style="209" customWidth="1"/>
    <col min="16" max="16" width="25.7109375" style="167" customWidth="1"/>
    <col min="17" max="16384" width="9.140625" style="167"/>
  </cols>
  <sheetData>
    <row r="1" spans="1:20" ht="25.5" customHeight="1" thickBot="1" x14ac:dyDescent="0.25">
      <c r="A1" s="1178" t="s">
        <v>146</v>
      </c>
      <c r="B1" s="1179"/>
      <c r="C1" s="1179"/>
      <c r="D1" s="1179"/>
      <c r="E1" s="1179"/>
      <c r="F1" s="1179"/>
      <c r="G1" s="1179"/>
      <c r="H1" s="1179"/>
      <c r="I1" s="1179"/>
      <c r="J1" s="1180"/>
      <c r="K1" s="292"/>
      <c r="L1" s="293"/>
      <c r="M1" s="293"/>
      <c r="N1" s="293"/>
      <c r="O1" s="293"/>
      <c r="Q1" s="294"/>
      <c r="R1" s="294"/>
      <c r="S1" s="294"/>
      <c r="T1" s="294"/>
    </row>
    <row r="2" spans="1:20" x14ac:dyDescent="0.2">
      <c r="B2" s="209" t="str">
        <f>+TITELBLAD!B16</f>
        <v>Rapportering over boekjaar:</v>
      </c>
      <c r="C2" s="209"/>
      <c r="D2" s="209">
        <f>+TITELBLAD!E16</f>
        <v>2021</v>
      </c>
      <c r="E2" s="209" t="str">
        <f>+TITELBLAD!F16</f>
        <v>ex-ante</v>
      </c>
      <c r="F2" s="296"/>
      <c r="G2" s="296"/>
      <c r="H2" s="295"/>
      <c r="I2" s="234"/>
      <c r="J2" s="233"/>
      <c r="K2" s="234"/>
      <c r="L2" s="234"/>
      <c r="M2" s="234"/>
      <c r="N2" s="234"/>
      <c r="O2" s="296"/>
      <c r="P2" s="234"/>
    </row>
    <row r="3" spans="1:20" ht="13.5" thickBot="1" x14ac:dyDescent="0.25">
      <c r="B3" s="297" t="s">
        <v>15</v>
      </c>
      <c r="H3" s="241"/>
      <c r="I3" s="233"/>
      <c r="J3" s="233"/>
      <c r="K3" s="234"/>
      <c r="L3" s="234"/>
      <c r="M3" s="234"/>
      <c r="N3" s="234"/>
      <c r="O3" s="296"/>
      <c r="P3" s="234"/>
    </row>
    <row r="4" spans="1:20" ht="13.5" thickBot="1" x14ac:dyDescent="0.25">
      <c r="B4" s="1199" t="str">
        <f>+TITELBLAD!C7</f>
        <v>NAAM DNB</v>
      </c>
      <c r="C4" s="1200"/>
      <c r="D4" s="1200"/>
      <c r="E4" s="1201"/>
      <c r="H4" s="241"/>
      <c r="I4" s="233"/>
      <c r="J4" s="233"/>
      <c r="K4" s="234"/>
      <c r="L4" s="234"/>
      <c r="M4" s="234"/>
      <c r="N4" s="234"/>
      <c r="O4" s="296"/>
      <c r="P4" s="234"/>
    </row>
    <row r="5" spans="1:20" x14ac:dyDescent="0.2">
      <c r="H5" s="241"/>
      <c r="I5" s="233"/>
      <c r="J5" s="233"/>
      <c r="K5" s="234"/>
      <c r="L5" s="234"/>
      <c r="M5" s="234"/>
      <c r="N5" s="234"/>
      <c r="O5" s="296"/>
      <c r="P5" s="234"/>
    </row>
    <row r="6" spans="1:20" ht="13.5" thickBot="1" x14ac:dyDescent="0.25">
      <c r="B6" s="297" t="s">
        <v>16</v>
      </c>
      <c r="H6" s="241"/>
      <c r="I6" s="233"/>
      <c r="J6" s="233"/>
      <c r="K6" s="234"/>
      <c r="L6" s="234"/>
      <c r="M6" s="234"/>
      <c r="N6" s="234"/>
      <c r="O6" s="296"/>
      <c r="P6" s="234"/>
    </row>
    <row r="7" spans="1:20" ht="13.5" thickBot="1" x14ac:dyDescent="0.25">
      <c r="B7" s="1202" t="str">
        <f>+TITELBLAD!C10</f>
        <v>gas</v>
      </c>
      <c r="C7" s="1203"/>
      <c r="D7" s="1203"/>
      <c r="E7" s="1204"/>
      <c r="H7" s="241"/>
      <c r="I7" s="233"/>
      <c r="J7" s="233"/>
      <c r="K7" s="234"/>
      <c r="L7" s="234"/>
      <c r="M7" s="234"/>
      <c r="N7" s="234"/>
      <c r="O7" s="296"/>
      <c r="P7" s="234"/>
    </row>
    <row r="8" spans="1:20" x14ac:dyDescent="0.2">
      <c r="H8" s="241"/>
      <c r="I8" s="233"/>
      <c r="J8" s="233"/>
      <c r="K8" s="234"/>
      <c r="L8" s="234"/>
      <c r="M8" s="234"/>
      <c r="N8" s="234"/>
      <c r="O8" s="296"/>
      <c r="P8" s="234"/>
    </row>
    <row r="9" spans="1:20" x14ac:dyDescent="0.2">
      <c r="K9" s="296"/>
      <c r="L9" s="296"/>
      <c r="M9" s="296"/>
      <c r="N9" s="296"/>
      <c r="O9" s="296"/>
      <c r="P9" s="296"/>
    </row>
    <row r="10" spans="1:20" x14ac:dyDescent="0.2">
      <c r="K10" s="296"/>
      <c r="L10" s="296"/>
      <c r="M10" s="296"/>
      <c r="N10" s="296"/>
      <c r="O10" s="296"/>
      <c r="P10" s="296"/>
    </row>
    <row r="11" spans="1:20" x14ac:dyDescent="0.2">
      <c r="G11" s="298" t="s">
        <v>160</v>
      </c>
      <c r="H11" s="299"/>
      <c r="I11" s="300"/>
      <c r="K11" s="296"/>
      <c r="L11" s="296"/>
      <c r="M11" s="296"/>
      <c r="N11" s="296"/>
      <c r="O11" s="296"/>
      <c r="P11" s="296"/>
    </row>
    <row r="12" spans="1:20" x14ac:dyDescent="0.2">
      <c r="G12" s="244" t="s">
        <v>129</v>
      </c>
      <c r="H12" s="299"/>
      <c r="I12" s="300"/>
    </row>
    <row r="13" spans="1:20" ht="60" customHeight="1" x14ac:dyDescent="0.2">
      <c r="B13" s="1257" t="s">
        <v>131</v>
      </c>
      <c r="C13" s="1258"/>
      <c r="D13" s="1258"/>
      <c r="E13" s="1259"/>
      <c r="F13" s="168"/>
      <c r="G13" s="166">
        <v>2017</v>
      </c>
      <c r="H13" s="166">
        <f>+G13+1</f>
        <v>2018</v>
      </c>
      <c r="I13" s="166">
        <f>+H13+1</f>
        <v>2019</v>
      </c>
      <c r="J13" s="166">
        <f>+I13+1</f>
        <v>2020</v>
      </c>
      <c r="K13" s="166">
        <f t="shared" ref="K13:N13" si="0">+J13+1</f>
        <v>2021</v>
      </c>
      <c r="L13" s="837">
        <f t="shared" si="0"/>
        <v>2022</v>
      </c>
      <c r="M13" s="837">
        <f t="shared" si="0"/>
        <v>2023</v>
      </c>
      <c r="N13" s="837">
        <f t="shared" si="0"/>
        <v>2024</v>
      </c>
      <c r="P13" s="166" t="s">
        <v>20</v>
      </c>
    </row>
    <row r="14" spans="1:20" s="301" customFormat="1" ht="12" customHeight="1" x14ac:dyDescent="0.2">
      <c r="B14" s="302"/>
      <c r="C14" s="302"/>
      <c r="D14" s="302"/>
      <c r="E14" s="302"/>
      <c r="F14" s="303"/>
      <c r="G14" s="228"/>
      <c r="L14" s="838"/>
      <c r="M14" s="838"/>
      <c r="N14" s="838"/>
      <c r="O14" s="305"/>
    </row>
    <row r="15" spans="1:20" ht="28.5" customHeight="1" x14ac:dyDescent="0.2">
      <c r="B15" s="1263" t="s">
        <v>240</v>
      </c>
      <c r="C15" s="1263"/>
      <c r="D15" s="1263"/>
      <c r="E15" s="1263"/>
      <c r="F15" s="168"/>
      <c r="G15" s="255">
        <f>+T6A!C54</f>
        <v>0</v>
      </c>
      <c r="H15" s="255">
        <f>+T6A!D54</f>
        <v>0</v>
      </c>
      <c r="I15" s="255">
        <f>+T6A!E54</f>
        <v>0</v>
      </c>
      <c r="J15" s="255">
        <f>+T6A!F54</f>
        <v>0</v>
      </c>
      <c r="K15" s="255">
        <f>+T6A!G54</f>
        <v>0</v>
      </c>
      <c r="L15" s="565">
        <f>+T6A!H54</f>
        <v>0</v>
      </c>
      <c r="M15" s="565">
        <f>+T6A!I54</f>
        <v>0</v>
      </c>
      <c r="N15" s="565">
        <f>+T6A!J54</f>
        <v>0</v>
      </c>
      <c r="P15" s="991">
        <f>SUM(G15:N15)</f>
        <v>0</v>
      </c>
    </row>
    <row r="16" spans="1:20" ht="26.25" customHeight="1" x14ac:dyDescent="0.2">
      <c r="B16" s="1263" t="s">
        <v>66</v>
      </c>
      <c r="C16" s="1263"/>
      <c r="D16" s="1263"/>
      <c r="E16" s="1263"/>
      <c r="F16" s="168"/>
      <c r="G16" s="255">
        <f>+T6A!C55</f>
        <v>0</v>
      </c>
      <c r="H16" s="255">
        <f>+T6A!D55</f>
        <v>0</v>
      </c>
      <c r="I16" s="255">
        <f>+T6A!E55</f>
        <v>0</v>
      </c>
      <c r="J16" s="255">
        <f>+T6A!F55</f>
        <v>0</v>
      </c>
      <c r="K16" s="255">
        <f>+T6A!G55</f>
        <v>0</v>
      </c>
      <c r="L16" s="565">
        <f>+T6A!H55</f>
        <v>0</v>
      </c>
      <c r="M16" s="565">
        <f>+T6A!I55</f>
        <v>0</v>
      </c>
      <c r="N16" s="565">
        <f>+T6A!J55</f>
        <v>0</v>
      </c>
      <c r="P16" s="991">
        <f>SUM(G16:N16)</f>
        <v>0</v>
      </c>
    </row>
    <row r="17" spans="2:16" ht="27.75" customHeight="1" x14ac:dyDescent="0.2">
      <c r="B17" s="1263" t="s">
        <v>205</v>
      </c>
      <c r="C17" s="1263"/>
      <c r="D17" s="1263"/>
      <c r="E17" s="1263"/>
      <c r="F17" s="168"/>
      <c r="G17" s="255">
        <f>+T6A!C56</f>
        <v>0</v>
      </c>
      <c r="H17" s="255">
        <f>+T6A!D56</f>
        <v>0</v>
      </c>
      <c r="I17" s="255">
        <f>+T6A!E56</f>
        <v>0</v>
      </c>
      <c r="J17" s="255">
        <f>+T6A!F56</f>
        <v>0</v>
      </c>
      <c r="K17" s="565"/>
      <c r="L17" s="565"/>
      <c r="M17" s="565"/>
      <c r="N17" s="565"/>
      <c r="P17" s="991">
        <f>SUM(G17:J17)</f>
        <v>0</v>
      </c>
    </row>
    <row r="18" spans="2:16" ht="24.75" customHeight="1" x14ac:dyDescent="0.2">
      <c r="B18" s="1263" t="s">
        <v>67</v>
      </c>
      <c r="C18" s="1263"/>
      <c r="D18" s="1263"/>
      <c r="E18" s="1263"/>
      <c r="F18" s="168"/>
      <c r="G18" s="255">
        <f>+T6A!C57</f>
        <v>0</v>
      </c>
      <c r="H18" s="255">
        <f>+T6A!D57</f>
        <v>0</v>
      </c>
      <c r="I18" s="255">
        <f>+T6A!E57</f>
        <v>0</v>
      </c>
      <c r="J18" s="255">
        <f>+T6A!F57</f>
        <v>0</v>
      </c>
      <c r="K18" s="255">
        <f>+T6A!G57</f>
        <v>0</v>
      </c>
      <c r="L18" s="565">
        <f>+T6A!H57</f>
        <v>0</v>
      </c>
      <c r="M18" s="565">
        <f>+T6A!I57</f>
        <v>0</v>
      </c>
      <c r="N18" s="565">
        <f>+T6A!J57</f>
        <v>0</v>
      </c>
      <c r="P18" s="991">
        <f>SUM(G18:N18)</f>
        <v>0</v>
      </c>
    </row>
    <row r="19" spans="2:16" ht="27" customHeight="1" x14ac:dyDescent="0.2">
      <c r="B19" s="1263" t="s">
        <v>119</v>
      </c>
      <c r="C19" s="1263"/>
      <c r="D19" s="1263"/>
      <c r="E19" s="1263"/>
      <c r="F19" s="168"/>
      <c r="G19" s="255">
        <f>+T6A!C58</f>
        <v>0</v>
      </c>
      <c r="H19" s="255">
        <f>+T6A!D58</f>
        <v>0</v>
      </c>
      <c r="I19" s="255">
        <f>+T6A!E58</f>
        <v>0</v>
      </c>
      <c r="J19" s="255">
        <f>+T6A!F58</f>
        <v>0</v>
      </c>
      <c r="K19" s="565"/>
      <c r="L19" s="565"/>
      <c r="M19" s="565"/>
      <c r="N19" s="565"/>
      <c r="P19" s="991">
        <f>+SUM(G19:J19)</f>
        <v>0</v>
      </c>
    </row>
    <row r="20" spans="2:16" ht="18.75" customHeight="1" x14ac:dyDescent="0.2">
      <c r="B20" s="1263" t="s">
        <v>118</v>
      </c>
      <c r="C20" s="1263"/>
      <c r="D20" s="1263"/>
      <c r="E20" s="1263"/>
      <c r="F20" s="168"/>
      <c r="G20" s="255">
        <f>+T6A!C59</f>
        <v>0</v>
      </c>
      <c r="H20" s="255">
        <f>+T6A!D59</f>
        <v>0</v>
      </c>
      <c r="I20" s="255">
        <f>+T6A!E59</f>
        <v>0</v>
      </c>
      <c r="J20" s="255">
        <f>+T6A!F59</f>
        <v>0</v>
      </c>
      <c r="K20" s="255">
        <f>+T6A!G59</f>
        <v>0</v>
      </c>
      <c r="L20" s="565">
        <f>+T6A!H59</f>
        <v>0</v>
      </c>
      <c r="M20" s="565">
        <f>+T6A!I59</f>
        <v>0</v>
      </c>
      <c r="N20" s="565">
        <f>+T6A!J59</f>
        <v>0</v>
      </c>
      <c r="P20" s="991">
        <f>SUM(G20:N20)</f>
        <v>0</v>
      </c>
    </row>
    <row r="21" spans="2:16" ht="28.5" customHeight="1" x14ac:dyDescent="0.2">
      <c r="B21" s="1289" t="s">
        <v>68</v>
      </c>
      <c r="C21" s="1290"/>
      <c r="D21" s="1290"/>
      <c r="E21" s="1291"/>
      <c r="F21" s="168"/>
      <c r="G21" s="255">
        <f>+T6A!C60</f>
        <v>0</v>
      </c>
      <c r="H21" s="255">
        <f>+T6A!D60</f>
        <v>0</v>
      </c>
      <c r="I21" s="255">
        <f>+T6A!E60</f>
        <v>0</v>
      </c>
      <c r="J21" s="255">
        <f>+T6A!F60</f>
        <v>0</v>
      </c>
      <c r="K21" s="255">
        <f>+T6A!G60</f>
        <v>0</v>
      </c>
      <c r="L21" s="565">
        <f>+T6A!H60</f>
        <v>0</v>
      </c>
      <c r="M21" s="565">
        <f>+T6A!I60</f>
        <v>0</v>
      </c>
      <c r="N21" s="565">
        <f>+T6A!J60</f>
        <v>0</v>
      </c>
      <c r="P21" s="991">
        <f>SUM(G21:N21)</f>
        <v>0</v>
      </c>
    </row>
    <row r="22" spans="2:16" x14ac:dyDescent="0.2">
      <c r="G22" s="306"/>
      <c r="H22" s="306"/>
      <c r="I22" s="306"/>
      <c r="J22" s="306"/>
      <c r="K22" s="306"/>
      <c r="L22" s="839"/>
      <c r="M22" s="839"/>
      <c r="N22" s="839"/>
      <c r="P22" s="307"/>
    </row>
    <row r="23" spans="2:16" ht="23.25" customHeight="1" x14ac:dyDescent="0.2">
      <c r="B23" s="1286" t="s">
        <v>22</v>
      </c>
      <c r="C23" s="1287"/>
      <c r="D23" s="1287"/>
      <c r="E23" s="1288"/>
      <c r="F23" s="173"/>
      <c r="G23" s="174">
        <f t="shared" ref="G23:N23" si="1">SUM(G15:G21)</f>
        <v>0</v>
      </c>
      <c r="H23" s="174">
        <f t="shared" si="1"/>
        <v>0</v>
      </c>
      <c r="I23" s="174">
        <f t="shared" si="1"/>
        <v>0</v>
      </c>
      <c r="J23" s="174">
        <f t="shared" si="1"/>
        <v>0</v>
      </c>
      <c r="K23" s="174">
        <f>SUM(K15:K21)</f>
        <v>0</v>
      </c>
      <c r="L23" s="840">
        <f t="shared" si="1"/>
        <v>0</v>
      </c>
      <c r="M23" s="840">
        <f t="shared" si="1"/>
        <v>0</v>
      </c>
      <c r="N23" s="840">
        <f t="shared" si="1"/>
        <v>0</v>
      </c>
      <c r="P23" s="174">
        <f>SUM(G23:N23)</f>
        <v>0</v>
      </c>
    </row>
    <row r="24" spans="2:16" x14ac:dyDescent="0.2">
      <c r="B24" s="1292" t="s">
        <v>134</v>
      </c>
      <c r="C24" s="1292"/>
      <c r="D24" s="1292"/>
      <c r="E24" s="1292"/>
      <c r="F24" s="226"/>
      <c r="G24" s="308">
        <f>+G23-T6A!C88</f>
        <v>0</v>
      </c>
      <c r="H24" s="308">
        <f>+H23-T6A!D88</f>
        <v>0</v>
      </c>
      <c r="I24" s="308">
        <f>+I23-T6A!E88</f>
        <v>0</v>
      </c>
      <c r="J24" s="308">
        <f>+J23-T6A!F88</f>
        <v>0</v>
      </c>
      <c r="K24" s="308">
        <f>+K23-T6A!G88</f>
        <v>0</v>
      </c>
      <c r="L24" s="870">
        <f>+L23-T6A!H88</f>
        <v>0</v>
      </c>
      <c r="M24" s="870">
        <f>+M23-T6A!I88</f>
        <v>0</v>
      </c>
      <c r="N24" s="870">
        <f>+N23-T6A!J88</f>
        <v>0</v>
      </c>
      <c r="P24" s="308">
        <f>+P23-T6A!L88</f>
        <v>0</v>
      </c>
    </row>
    <row r="25" spans="2:16" x14ac:dyDescent="0.2">
      <c r="B25" s="310"/>
      <c r="C25" s="310"/>
      <c r="D25" s="310"/>
      <c r="E25" s="310"/>
      <c r="F25" s="311"/>
      <c r="G25" s="312"/>
      <c r="H25" s="312"/>
      <c r="L25" s="842"/>
      <c r="M25" s="842"/>
      <c r="N25" s="842"/>
    </row>
    <row r="26" spans="2:16" x14ac:dyDescent="0.2">
      <c r="G26" s="313" t="s">
        <v>32</v>
      </c>
      <c r="L26" s="842"/>
      <c r="M26" s="842"/>
      <c r="N26" s="842"/>
    </row>
    <row r="27" spans="2:16" x14ac:dyDescent="0.2">
      <c r="G27" s="313" t="s">
        <v>33</v>
      </c>
      <c r="L27" s="842"/>
      <c r="M27" s="842"/>
      <c r="N27" s="842"/>
    </row>
    <row r="28" spans="2:16" ht="60" customHeight="1" x14ac:dyDescent="0.2">
      <c r="B28" s="1257" t="s">
        <v>132</v>
      </c>
      <c r="C28" s="1258"/>
      <c r="D28" s="1258"/>
      <c r="E28" s="1259"/>
      <c r="F28" s="168"/>
      <c r="G28" s="166">
        <v>2017</v>
      </c>
      <c r="H28" s="166">
        <f>+G28+1</f>
        <v>2018</v>
      </c>
      <c r="I28" s="166">
        <f>+H28+1</f>
        <v>2019</v>
      </c>
      <c r="J28" s="166">
        <f>+I28+1</f>
        <v>2020</v>
      </c>
      <c r="K28" s="166">
        <f t="shared" ref="K28:N28" si="2">+J28+1</f>
        <v>2021</v>
      </c>
      <c r="L28" s="837">
        <f t="shared" si="2"/>
        <v>2022</v>
      </c>
      <c r="M28" s="837">
        <f t="shared" si="2"/>
        <v>2023</v>
      </c>
      <c r="N28" s="837">
        <f t="shared" si="2"/>
        <v>2024</v>
      </c>
      <c r="P28" s="166" t="s">
        <v>20</v>
      </c>
    </row>
    <row r="29" spans="2:16" s="301" customFormat="1" ht="12" customHeight="1" x14ac:dyDescent="0.2">
      <c r="B29" s="302"/>
      <c r="C29" s="302"/>
      <c r="D29" s="302"/>
      <c r="E29" s="302"/>
      <c r="F29" s="303"/>
      <c r="G29" s="228"/>
      <c r="L29" s="838"/>
      <c r="M29" s="838"/>
      <c r="N29" s="838"/>
      <c r="O29" s="305"/>
    </row>
    <row r="30" spans="2:16" ht="36" customHeight="1" x14ac:dyDescent="0.2">
      <c r="B30" s="1282" t="s">
        <v>240</v>
      </c>
      <c r="C30" s="1283"/>
      <c r="D30" s="1283"/>
      <c r="E30" s="1284"/>
      <c r="F30" s="168"/>
      <c r="G30" s="992"/>
      <c r="H30" s="992"/>
      <c r="I30" s="992"/>
      <c r="J30" s="992"/>
      <c r="K30" s="992"/>
      <c r="L30" s="993"/>
      <c r="M30" s="993"/>
      <c r="N30" s="993"/>
      <c r="P30" s="992"/>
    </row>
    <row r="31" spans="2:16" ht="28.5" customHeight="1" x14ac:dyDescent="0.2">
      <c r="B31" s="1267" t="str">
        <f>"per 31/12/"&amp;$G$13</f>
        <v>per 31/12/2017</v>
      </c>
      <c r="C31" s="1268"/>
      <c r="D31" s="1268"/>
      <c r="E31" s="1269"/>
      <c r="F31" s="168"/>
      <c r="G31" s="1028"/>
      <c r="H31" s="1028"/>
      <c r="I31" s="1028"/>
      <c r="J31" s="1028"/>
      <c r="K31" s="255"/>
      <c r="L31" s="565"/>
      <c r="M31" s="565"/>
      <c r="N31" s="565"/>
      <c r="P31" s="991">
        <f>SUM(G31:N31)</f>
        <v>0</v>
      </c>
    </row>
    <row r="32" spans="2:16" ht="28.5" customHeight="1" x14ac:dyDescent="0.2">
      <c r="B32" s="1267" t="str">
        <f>"per 31/12/"&amp;$H$13</f>
        <v>per 31/12/2018</v>
      </c>
      <c r="C32" s="1268"/>
      <c r="D32" s="1268"/>
      <c r="E32" s="1269"/>
      <c r="F32" s="168"/>
      <c r="G32" s="1028">
        <f>J206</f>
        <v>0</v>
      </c>
      <c r="H32" s="1028"/>
      <c r="I32" s="1028"/>
      <c r="J32" s="1028"/>
      <c r="K32" s="255"/>
      <c r="L32" s="565"/>
      <c r="M32" s="565"/>
      <c r="N32" s="565"/>
      <c r="P32" s="991">
        <f t="shared" ref="P32:P38" si="3">SUM(G32:N32)</f>
        <v>0</v>
      </c>
    </row>
    <row r="33" spans="2:16" ht="28.5" customHeight="1" x14ac:dyDescent="0.2">
      <c r="B33" s="1267" t="str">
        <f>"per 31/12/"&amp;$I$13</f>
        <v>per 31/12/2019</v>
      </c>
      <c r="C33" s="1268"/>
      <c r="D33" s="1268"/>
      <c r="E33" s="1269"/>
      <c r="F33" s="168"/>
      <c r="G33" s="1028">
        <f>+L211</f>
        <v>0</v>
      </c>
      <c r="H33" s="1028">
        <f>+L212</f>
        <v>0</v>
      </c>
      <c r="I33" s="1028"/>
      <c r="J33" s="1028"/>
      <c r="K33" s="255"/>
      <c r="L33" s="565"/>
      <c r="M33" s="565"/>
      <c r="N33" s="565"/>
      <c r="P33" s="991">
        <f t="shared" si="3"/>
        <v>0</v>
      </c>
    </row>
    <row r="34" spans="2:16" ht="28.5" customHeight="1" x14ac:dyDescent="0.2">
      <c r="B34" s="1267" t="str">
        <f>"per 31/12/"&amp;$J$13</f>
        <v>per 31/12/2020</v>
      </c>
      <c r="C34" s="1268"/>
      <c r="D34" s="1268"/>
      <c r="E34" s="1269"/>
      <c r="F34" s="168"/>
      <c r="G34" s="1028">
        <f>L218</f>
        <v>0</v>
      </c>
      <c r="H34" s="1028">
        <f>L219</f>
        <v>0</v>
      </c>
      <c r="I34" s="1028">
        <f>L220</f>
        <v>0</v>
      </c>
      <c r="J34" s="1028"/>
      <c r="K34" s="255"/>
      <c r="L34" s="565"/>
      <c r="M34" s="565"/>
      <c r="N34" s="565"/>
      <c r="P34" s="991">
        <f t="shared" si="3"/>
        <v>0</v>
      </c>
    </row>
    <row r="35" spans="2:16" ht="28.5" customHeight="1" x14ac:dyDescent="0.2">
      <c r="B35" s="1267" t="str">
        <f>"per 31/12/"&amp;$K$13</f>
        <v>per 31/12/2021</v>
      </c>
      <c r="C35" s="1268"/>
      <c r="D35" s="1268"/>
      <c r="E35" s="1269"/>
      <c r="F35" s="168"/>
      <c r="G35" s="255">
        <f>+H226</f>
        <v>0</v>
      </c>
      <c r="H35" s="255">
        <f>+H227</f>
        <v>0</v>
      </c>
      <c r="I35" s="255">
        <f>+H228</f>
        <v>0</v>
      </c>
      <c r="J35" s="255">
        <f>+H229</f>
        <v>0</v>
      </c>
      <c r="K35" s="255"/>
      <c r="L35" s="565"/>
      <c r="M35" s="565"/>
      <c r="N35" s="565"/>
      <c r="P35" s="991">
        <f t="shared" si="3"/>
        <v>0</v>
      </c>
    </row>
    <row r="36" spans="2:16" ht="28.5" customHeight="1" x14ac:dyDescent="0.2">
      <c r="B36" s="1270" t="str">
        <f>"per 31/12/"&amp;$L$13</f>
        <v>per 31/12/2022</v>
      </c>
      <c r="C36" s="1271"/>
      <c r="D36" s="1271"/>
      <c r="E36" s="1272"/>
      <c r="F36" s="314"/>
      <c r="G36" s="565">
        <f>+H235</f>
        <v>0</v>
      </c>
      <c r="H36" s="565">
        <f>+H236</f>
        <v>0</v>
      </c>
      <c r="I36" s="565">
        <f>+H237</f>
        <v>0</v>
      </c>
      <c r="J36" s="565">
        <f>+H238</f>
        <v>0</v>
      </c>
      <c r="K36" s="565">
        <f>+H239</f>
        <v>0</v>
      </c>
      <c r="L36" s="565"/>
      <c r="M36" s="565"/>
      <c r="N36" s="565"/>
      <c r="O36" s="845"/>
      <c r="P36" s="994">
        <f t="shared" si="3"/>
        <v>0</v>
      </c>
    </row>
    <row r="37" spans="2:16" ht="28.5" customHeight="1" x14ac:dyDescent="0.2">
      <c r="B37" s="1270" t="str">
        <f>"per 31/12/"&amp;$M$13</f>
        <v>per 31/12/2023</v>
      </c>
      <c r="C37" s="1271"/>
      <c r="D37" s="1271"/>
      <c r="E37" s="1272"/>
      <c r="F37" s="314"/>
      <c r="G37" s="565"/>
      <c r="H37" s="565"/>
      <c r="I37" s="565"/>
      <c r="J37" s="565"/>
      <c r="K37" s="565">
        <f>+H245</f>
        <v>0</v>
      </c>
      <c r="L37" s="565">
        <f>+H246</f>
        <v>0</v>
      </c>
      <c r="M37" s="565"/>
      <c r="N37" s="565"/>
      <c r="O37" s="845"/>
      <c r="P37" s="994">
        <f t="shared" si="3"/>
        <v>0</v>
      </c>
    </row>
    <row r="38" spans="2:16" ht="28.5" customHeight="1" x14ac:dyDescent="0.2">
      <c r="B38" s="1270" t="str">
        <f>"per 31/12/"&amp;$N$13</f>
        <v>per 31/12/2024</v>
      </c>
      <c r="C38" s="1271"/>
      <c r="D38" s="1271"/>
      <c r="E38" s="1272"/>
      <c r="F38" s="314"/>
      <c r="G38" s="565"/>
      <c r="H38" s="565"/>
      <c r="I38" s="565"/>
      <c r="J38" s="565"/>
      <c r="K38" s="565"/>
      <c r="L38" s="565">
        <f>+H252</f>
        <v>0</v>
      </c>
      <c r="M38" s="565">
        <f>+H253</f>
        <v>0</v>
      </c>
      <c r="N38" s="565"/>
      <c r="O38" s="845"/>
      <c r="P38" s="994">
        <f t="shared" si="3"/>
        <v>0</v>
      </c>
    </row>
    <row r="39" spans="2:16" ht="27.75" customHeight="1" x14ac:dyDescent="0.2">
      <c r="B39" s="1282" t="s">
        <v>66</v>
      </c>
      <c r="C39" s="1283"/>
      <c r="D39" s="1283"/>
      <c r="E39" s="1284"/>
      <c r="F39" s="168"/>
      <c r="G39" s="992"/>
      <c r="H39" s="992"/>
      <c r="I39" s="992"/>
      <c r="J39" s="992"/>
      <c r="K39" s="993"/>
      <c r="L39" s="993"/>
      <c r="M39" s="993"/>
      <c r="N39" s="993"/>
      <c r="P39" s="992"/>
    </row>
    <row r="40" spans="2:16" ht="28.5" customHeight="1" x14ac:dyDescent="0.2">
      <c r="B40" s="1267" t="str">
        <f>"per 31/12/"&amp;$G$13</f>
        <v>per 31/12/2017</v>
      </c>
      <c r="C40" s="1268"/>
      <c r="D40" s="1268"/>
      <c r="E40" s="1269"/>
      <c r="F40" s="168"/>
      <c r="G40" s="255"/>
      <c r="H40" s="255"/>
      <c r="I40" s="255"/>
      <c r="J40" s="255"/>
      <c r="K40" s="565"/>
      <c r="L40" s="565"/>
      <c r="M40" s="565"/>
      <c r="N40" s="565"/>
      <c r="P40" s="991">
        <f>SUM(G40:N40)</f>
        <v>0</v>
      </c>
    </row>
    <row r="41" spans="2:16" ht="28.5" customHeight="1" x14ac:dyDescent="0.2">
      <c r="B41" s="1267" t="str">
        <f>"per 31/12/"&amp;$H$13</f>
        <v>per 31/12/2018</v>
      </c>
      <c r="C41" s="1268"/>
      <c r="D41" s="1268"/>
      <c r="E41" s="1269"/>
      <c r="F41" s="168"/>
      <c r="G41" s="1028">
        <f>J269</f>
        <v>0</v>
      </c>
      <c r="H41" s="1028"/>
      <c r="I41" s="1028"/>
      <c r="J41" s="1028"/>
      <c r="K41" s="565"/>
      <c r="L41" s="565"/>
      <c r="M41" s="565"/>
      <c r="N41" s="565"/>
      <c r="P41" s="991">
        <f t="shared" ref="P41:P47" si="4">SUM(G41:N41)</f>
        <v>0</v>
      </c>
    </row>
    <row r="42" spans="2:16" ht="28.5" customHeight="1" x14ac:dyDescent="0.2">
      <c r="B42" s="1267" t="str">
        <f>"per 31/12/"&amp;$I$13</f>
        <v>per 31/12/2019</v>
      </c>
      <c r="C42" s="1268"/>
      <c r="D42" s="1268"/>
      <c r="E42" s="1269"/>
      <c r="F42" s="168"/>
      <c r="G42" s="1028">
        <f>+L274</f>
        <v>0</v>
      </c>
      <c r="H42" s="1028">
        <f>+L275</f>
        <v>0</v>
      </c>
      <c r="I42" s="1028"/>
      <c r="J42" s="1028"/>
      <c r="K42" s="565"/>
      <c r="L42" s="565"/>
      <c r="M42" s="565"/>
      <c r="N42" s="565"/>
      <c r="P42" s="991">
        <f t="shared" si="4"/>
        <v>0</v>
      </c>
    </row>
    <row r="43" spans="2:16" ht="28.5" customHeight="1" x14ac:dyDescent="0.2">
      <c r="B43" s="1267" t="str">
        <f>"per 31/12/"&amp;$J$13</f>
        <v>per 31/12/2020</v>
      </c>
      <c r="C43" s="1268"/>
      <c r="D43" s="1268"/>
      <c r="E43" s="1269"/>
      <c r="F43" s="168"/>
      <c r="G43" s="1028">
        <f>L281</f>
        <v>0</v>
      </c>
      <c r="H43" s="1028">
        <f>L282</f>
        <v>0</v>
      </c>
      <c r="I43" s="1028">
        <f>L283</f>
        <v>0</v>
      </c>
      <c r="J43" s="1028"/>
      <c r="K43" s="565"/>
      <c r="L43" s="565"/>
      <c r="M43" s="565"/>
      <c r="N43" s="565"/>
      <c r="P43" s="991">
        <f t="shared" si="4"/>
        <v>0</v>
      </c>
    </row>
    <row r="44" spans="2:16" ht="28.5" customHeight="1" x14ac:dyDescent="0.2">
      <c r="B44" s="1267" t="str">
        <f>"per 31/12/"&amp;$K$13</f>
        <v>per 31/12/2021</v>
      </c>
      <c r="C44" s="1268"/>
      <c r="D44" s="1268"/>
      <c r="E44" s="1269"/>
      <c r="F44" s="168"/>
      <c r="G44" s="255">
        <f>+H289</f>
        <v>0</v>
      </c>
      <c r="H44" s="255">
        <f>+H290</f>
        <v>0</v>
      </c>
      <c r="I44" s="255">
        <f>+H291</f>
        <v>0</v>
      </c>
      <c r="J44" s="255">
        <f>+H292</f>
        <v>0</v>
      </c>
      <c r="K44" s="565"/>
      <c r="L44" s="565"/>
      <c r="M44" s="565"/>
      <c r="N44" s="565"/>
      <c r="P44" s="991">
        <f t="shared" si="4"/>
        <v>0</v>
      </c>
    </row>
    <row r="45" spans="2:16" ht="28.5" customHeight="1" x14ac:dyDescent="0.2">
      <c r="B45" s="1270" t="str">
        <f>"per 31/12/"&amp;$L$13</f>
        <v>per 31/12/2022</v>
      </c>
      <c r="C45" s="1271"/>
      <c r="D45" s="1271"/>
      <c r="E45" s="1272"/>
      <c r="F45" s="314"/>
      <c r="G45" s="565">
        <f>+H298</f>
        <v>0</v>
      </c>
      <c r="H45" s="565">
        <f>+H299</f>
        <v>0</v>
      </c>
      <c r="I45" s="565">
        <f>+H300</f>
        <v>0</v>
      </c>
      <c r="J45" s="565">
        <f>+H301</f>
        <v>0</v>
      </c>
      <c r="K45" s="565">
        <f>+H302</f>
        <v>0</v>
      </c>
      <c r="L45" s="565"/>
      <c r="M45" s="565"/>
      <c r="N45" s="565"/>
      <c r="O45" s="845"/>
      <c r="P45" s="994">
        <f t="shared" si="4"/>
        <v>0</v>
      </c>
    </row>
    <row r="46" spans="2:16" ht="28.5" customHeight="1" x14ac:dyDescent="0.2">
      <c r="B46" s="1270" t="str">
        <f>"per 31/12/"&amp;$M$13</f>
        <v>per 31/12/2023</v>
      </c>
      <c r="C46" s="1271"/>
      <c r="D46" s="1271"/>
      <c r="E46" s="1272"/>
      <c r="F46" s="314"/>
      <c r="G46" s="565"/>
      <c r="H46" s="565"/>
      <c r="I46" s="565"/>
      <c r="J46" s="565"/>
      <c r="K46" s="565">
        <f>+H308</f>
        <v>0</v>
      </c>
      <c r="L46" s="565">
        <f>+H309</f>
        <v>0</v>
      </c>
      <c r="M46" s="565"/>
      <c r="N46" s="565"/>
      <c r="O46" s="845"/>
      <c r="P46" s="994">
        <f t="shared" si="4"/>
        <v>0</v>
      </c>
    </row>
    <row r="47" spans="2:16" ht="28.5" customHeight="1" x14ac:dyDescent="0.2">
      <c r="B47" s="1270" t="str">
        <f>"per 31/12/"&amp;$N$13</f>
        <v>per 31/12/2024</v>
      </c>
      <c r="C47" s="1271"/>
      <c r="D47" s="1271"/>
      <c r="E47" s="1272"/>
      <c r="F47" s="314"/>
      <c r="G47" s="565"/>
      <c r="H47" s="565"/>
      <c r="I47" s="565"/>
      <c r="J47" s="565"/>
      <c r="K47" s="565"/>
      <c r="L47" s="565">
        <f>+H315</f>
        <v>0</v>
      </c>
      <c r="M47" s="565">
        <f>+H316</f>
        <v>0</v>
      </c>
      <c r="N47" s="565"/>
      <c r="O47" s="845"/>
      <c r="P47" s="994">
        <f t="shared" si="4"/>
        <v>0</v>
      </c>
    </row>
    <row r="48" spans="2:16" ht="30" customHeight="1" x14ac:dyDescent="0.2">
      <c r="B48" s="1282" t="s">
        <v>205</v>
      </c>
      <c r="C48" s="1283"/>
      <c r="D48" s="1283"/>
      <c r="E48" s="1284"/>
      <c r="F48" s="168"/>
      <c r="G48" s="992"/>
      <c r="H48" s="992"/>
      <c r="I48" s="992"/>
      <c r="J48" s="992"/>
      <c r="K48" s="992"/>
      <c r="L48" s="993"/>
      <c r="M48" s="993"/>
      <c r="N48" s="993"/>
      <c r="P48" s="992"/>
    </row>
    <row r="49" spans="2:16" ht="28.5" customHeight="1" x14ac:dyDescent="0.2">
      <c r="B49" s="1267" t="str">
        <f>"per 31/12/"&amp;$G$13</f>
        <v>per 31/12/2017</v>
      </c>
      <c r="C49" s="1268"/>
      <c r="D49" s="1268"/>
      <c r="E49" s="1269"/>
      <c r="F49" s="168"/>
      <c r="G49" s="255"/>
      <c r="H49" s="255"/>
      <c r="I49" s="255"/>
      <c r="J49" s="255"/>
      <c r="K49" s="255"/>
      <c r="L49" s="565"/>
      <c r="M49" s="565"/>
      <c r="N49" s="565"/>
      <c r="P49" s="991">
        <f>SUM(G49:N49)</f>
        <v>0</v>
      </c>
    </row>
    <row r="50" spans="2:16" ht="28.5" customHeight="1" x14ac:dyDescent="0.2">
      <c r="B50" s="1267" t="str">
        <f>"per 31/12/"&amp;$H$13</f>
        <v>per 31/12/2018</v>
      </c>
      <c r="C50" s="1268"/>
      <c r="D50" s="1268"/>
      <c r="E50" s="1269"/>
      <c r="F50" s="168"/>
      <c r="G50" s="1028">
        <f>J332</f>
        <v>0</v>
      </c>
      <c r="H50" s="1028"/>
      <c r="I50" s="1028"/>
      <c r="J50" s="1028"/>
      <c r="K50" s="255"/>
      <c r="L50" s="565"/>
      <c r="M50" s="565"/>
      <c r="N50" s="565"/>
      <c r="P50" s="991">
        <f t="shared" ref="P50:P54" si="5">SUM(G50:N50)</f>
        <v>0</v>
      </c>
    </row>
    <row r="51" spans="2:16" ht="28.5" customHeight="1" x14ac:dyDescent="0.2">
      <c r="B51" s="1267" t="str">
        <f>"per 31/12/"&amp;$I$13</f>
        <v>per 31/12/2019</v>
      </c>
      <c r="C51" s="1268"/>
      <c r="D51" s="1268"/>
      <c r="E51" s="1269"/>
      <c r="F51" s="168"/>
      <c r="G51" s="1028">
        <f>+L337</f>
        <v>0</v>
      </c>
      <c r="H51" s="1028">
        <f>+L338</f>
        <v>0</v>
      </c>
      <c r="I51" s="1028"/>
      <c r="J51" s="1028"/>
      <c r="K51" s="255"/>
      <c r="L51" s="565"/>
      <c r="M51" s="565"/>
      <c r="N51" s="565"/>
      <c r="P51" s="991">
        <f t="shared" si="5"/>
        <v>0</v>
      </c>
    </row>
    <row r="52" spans="2:16" ht="28.5" customHeight="1" x14ac:dyDescent="0.2">
      <c r="B52" s="1267" t="str">
        <f>"per 31/12/"&amp;$J$13</f>
        <v>per 31/12/2020</v>
      </c>
      <c r="C52" s="1268"/>
      <c r="D52" s="1268"/>
      <c r="E52" s="1269"/>
      <c r="F52" s="168"/>
      <c r="G52" s="1028">
        <f>L344</f>
        <v>0</v>
      </c>
      <c r="H52" s="1028">
        <f>L345</f>
        <v>0</v>
      </c>
      <c r="I52" s="1028">
        <f>L346</f>
        <v>0</v>
      </c>
      <c r="J52" s="1028"/>
      <c r="K52" s="255"/>
      <c r="L52" s="565"/>
      <c r="M52" s="565"/>
      <c r="N52" s="565"/>
      <c r="P52" s="991">
        <f t="shared" si="5"/>
        <v>0</v>
      </c>
    </row>
    <row r="53" spans="2:16" ht="28.5" customHeight="1" x14ac:dyDescent="0.2">
      <c r="B53" s="1267" t="str">
        <f>"per 31/12/"&amp;$K$13</f>
        <v>per 31/12/2021</v>
      </c>
      <c r="C53" s="1268"/>
      <c r="D53" s="1268"/>
      <c r="E53" s="1269"/>
      <c r="F53" s="168"/>
      <c r="G53" s="255">
        <f>+H352</f>
        <v>0</v>
      </c>
      <c r="H53" s="255">
        <f>+H353</f>
        <v>0</v>
      </c>
      <c r="I53" s="255">
        <f>+H354</f>
        <v>0</v>
      </c>
      <c r="J53" s="255">
        <f>+H355</f>
        <v>0</v>
      </c>
      <c r="K53" s="255"/>
      <c r="L53" s="565"/>
      <c r="M53" s="565"/>
      <c r="N53" s="565"/>
      <c r="P53" s="991">
        <f t="shared" si="5"/>
        <v>0</v>
      </c>
    </row>
    <row r="54" spans="2:16" ht="28.5" customHeight="1" x14ac:dyDescent="0.2">
      <c r="B54" s="1270" t="str">
        <f>"per 31/12/"&amp;$L$13</f>
        <v>per 31/12/2022</v>
      </c>
      <c r="C54" s="1271"/>
      <c r="D54" s="1271"/>
      <c r="E54" s="1272"/>
      <c r="F54" s="314"/>
      <c r="G54" s="565">
        <f>+H361</f>
        <v>0</v>
      </c>
      <c r="H54" s="565">
        <f>+H362</f>
        <v>0</v>
      </c>
      <c r="I54" s="565">
        <f>+H363</f>
        <v>0</v>
      </c>
      <c r="J54" s="565">
        <f>+H364</f>
        <v>0</v>
      </c>
      <c r="K54" s="565"/>
      <c r="L54" s="565"/>
      <c r="M54" s="565"/>
      <c r="N54" s="565"/>
      <c r="O54" s="845"/>
      <c r="P54" s="994">
        <f t="shared" si="5"/>
        <v>0</v>
      </c>
    </row>
    <row r="55" spans="2:16" ht="28.5" customHeight="1" x14ac:dyDescent="0.2">
      <c r="B55" s="1270" t="str">
        <f>"per 31/12/"&amp;$M$13</f>
        <v>per 31/12/2023</v>
      </c>
      <c r="C55" s="1271"/>
      <c r="D55" s="1271"/>
      <c r="E55" s="1272"/>
      <c r="F55" s="314"/>
      <c r="G55" s="565"/>
      <c r="H55" s="565"/>
      <c r="I55" s="565"/>
      <c r="J55" s="565"/>
      <c r="K55" s="565"/>
      <c r="L55" s="565"/>
      <c r="M55" s="565"/>
      <c r="N55" s="565"/>
      <c r="O55" s="845"/>
      <c r="P55" s="994"/>
    </row>
    <row r="56" spans="2:16" ht="28.5" customHeight="1" x14ac:dyDescent="0.2">
      <c r="B56" s="1270" t="str">
        <f>"per 31/12/"&amp;$N$13</f>
        <v>per 31/12/2024</v>
      </c>
      <c r="C56" s="1271"/>
      <c r="D56" s="1271"/>
      <c r="E56" s="1272"/>
      <c r="F56" s="314"/>
      <c r="G56" s="565"/>
      <c r="H56" s="565"/>
      <c r="I56" s="565"/>
      <c r="J56" s="565"/>
      <c r="K56" s="565"/>
      <c r="L56" s="565"/>
      <c r="M56" s="565"/>
      <c r="N56" s="565"/>
      <c r="O56" s="845"/>
      <c r="P56" s="994"/>
    </row>
    <row r="57" spans="2:16" ht="30" customHeight="1" x14ac:dyDescent="0.2">
      <c r="B57" s="1282" t="s">
        <v>67</v>
      </c>
      <c r="C57" s="1283"/>
      <c r="D57" s="1283"/>
      <c r="E57" s="1284"/>
      <c r="F57" s="168"/>
      <c r="G57" s="992"/>
      <c r="H57" s="992"/>
      <c r="I57" s="992"/>
      <c r="J57" s="992"/>
      <c r="K57" s="992"/>
      <c r="L57" s="993"/>
      <c r="M57" s="993"/>
      <c r="N57" s="993"/>
      <c r="P57" s="992"/>
    </row>
    <row r="58" spans="2:16" ht="28.5" customHeight="1" x14ac:dyDescent="0.2">
      <c r="B58" s="1267" t="str">
        <f>"per 31/12/"&amp;$G$13</f>
        <v>per 31/12/2017</v>
      </c>
      <c r="C58" s="1268"/>
      <c r="D58" s="1268"/>
      <c r="E58" s="1269"/>
      <c r="F58" s="168"/>
      <c r="G58" s="255"/>
      <c r="H58" s="255"/>
      <c r="I58" s="255"/>
      <c r="J58" s="255"/>
      <c r="K58" s="255"/>
      <c r="L58" s="565"/>
      <c r="M58" s="565"/>
      <c r="N58" s="565"/>
      <c r="P58" s="991">
        <f>SUM(G58:N58)</f>
        <v>0</v>
      </c>
    </row>
    <row r="59" spans="2:16" ht="28.5" customHeight="1" x14ac:dyDescent="0.2">
      <c r="B59" s="1267" t="str">
        <f>"per 31/12/"&amp;$H$13</f>
        <v>per 31/12/2018</v>
      </c>
      <c r="C59" s="1268"/>
      <c r="D59" s="1268"/>
      <c r="E59" s="1269"/>
      <c r="F59" s="168"/>
      <c r="G59" s="1028">
        <f>J395</f>
        <v>0</v>
      </c>
      <c r="H59" s="1028"/>
      <c r="I59" s="1028"/>
      <c r="J59" s="1028"/>
      <c r="K59" s="255"/>
      <c r="L59" s="565"/>
      <c r="M59" s="565"/>
      <c r="N59" s="565"/>
      <c r="P59" s="991">
        <f t="shared" ref="P59:P65" si="6">SUM(G59:N59)</f>
        <v>0</v>
      </c>
    </row>
    <row r="60" spans="2:16" ht="28.5" customHeight="1" x14ac:dyDescent="0.2">
      <c r="B60" s="1267" t="str">
        <f>"per 31/12/"&amp;$I$13</f>
        <v>per 31/12/2019</v>
      </c>
      <c r="C60" s="1268"/>
      <c r="D60" s="1268"/>
      <c r="E60" s="1269"/>
      <c r="F60" s="168"/>
      <c r="G60" s="1028">
        <f>+L400</f>
        <v>0</v>
      </c>
      <c r="H60" s="1028">
        <f>+L401</f>
        <v>0</v>
      </c>
      <c r="I60" s="1028"/>
      <c r="J60" s="1028"/>
      <c r="K60" s="255"/>
      <c r="L60" s="565"/>
      <c r="M60" s="565"/>
      <c r="N60" s="565"/>
      <c r="P60" s="991">
        <f t="shared" si="6"/>
        <v>0</v>
      </c>
    </row>
    <row r="61" spans="2:16" ht="28.5" customHeight="1" x14ac:dyDescent="0.2">
      <c r="B61" s="1267" t="str">
        <f>"per 31/12/"&amp;$J$13</f>
        <v>per 31/12/2020</v>
      </c>
      <c r="C61" s="1268"/>
      <c r="D61" s="1268"/>
      <c r="E61" s="1269"/>
      <c r="F61" s="168"/>
      <c r="G61" s="1028">
        <f>L407</f>
        <v>0</v>
      </c>
      <c r="H61" s="1028">
        <f>L408</f>
        <v>0</v>
      </c>
      <c r="I61" s="1028">
        <f>L409</f>
        <v>0</v>
      </c>
      <c r="J61" s="1028"/>
      <c r="K61" s="255"/>
      <c r="L61" s="565"/>
      <c r="M61" s="565"/>
      <c r="N61" s="565"/>
      <c r="P61" s="991">
        <f t="shared" si="6"/>
        <v>0</v>
      </c>
    </row>
    <row r="62" spans="2:16" ht="28.5" customHeight="1" x14ac:dyDescent="0.2">
      <c r="B62" s="1267" t="str">
        <f>"per 31/12/"&amp;$K$13</f>
        <v>per 31/12/2021</v>
      </c>
      <c r="C62" s="1268"/>
      <c r="D62" s="1268"/>
      <c r="E62" s="1269"/>
      <c r="F62" s="168"/>
      <c r="G62" s="255">
        <f>+H415</f>
        <v>0</v>
      </c>
      <c r="H62" s="255">
        <f>+H416</f>
        <v>0</v>
      </c>
      <c r="I62" s="255">
        <f>+H417</f>
        <v>0</v>
      </c>
      <c r="J62" s="255">
        <f>+H418</f>
        <v>0</v>
      </c>
      <c r="K62" s="255"/>
      <c r="L62" s="565"/>
      <c r="M62" s="565"/>
      <c r="N62" s="565"/>
      <c r="P62" s="991">
        <f t="shared" si="6"/>
        <v>0</v>
      </c>
    </row>
    <row r="63" spans="2:16" ht="28.5" customHeight="1" x14ac:dyDescent="0.2">
      <c r="B63" s="1270" t="str">
        <f>"per 31/12/"&amp;$L$13</f>
        <v>per 31/12/2022</v>
      </c>
      <c r="C63" s="1271"/>
      <c r="D63" s="1271"/>
      <c r="E63" s="1272"/>
      <c r="F63" s="314"/>
      <c r="G63" s="565">
        <f>+H424</f>
        <v>0</v>
      </c>
      <c r="H63" s="565">
        <f>+H425</f>
        <v>0</v>
      </c>
      <c r="I63" s="565">
        <f>+H426</f>
        <v>0</v>
      </c>
      <c r="J63" s="565">
        <f>+H427</f>
        <v>0</v>
      </c>
      <c r="K63" s="565">
        <f>+H428</f>
        <v>0</v>
      </c>
      <c r="L63" s="565"/>
      <c r="M63" s="565"/>
      <c r="N63" s="565"/>
      <c r="O63" s="845"/>
      <c r="P63" s="994">
        <f t="shared" si="6"/>
        <v>0</v>
      </c>
    </row>
    <row r="64" spans="2:16" ht="28.5" customHeight="1" x14ac:dyDescent="0.2">
      <c r="B64" s="1270" t="str">
        <f>"per 31/12/"&amp;$M$13</f>
        <v>per 31/12/2023</v>
      </c>
      <c r="C64" s="1271"/>
      <c r="D64" s="1271"/>
      <c r="E64" s="1272"/>
      <c r="F64" s="314"/>
      <c r="G64" s="565"/>
      <c r="H64" s="565"/>
      <c r="I64" s="565"/>
      <c r="J64" s="565"/>
      <c r="K64" s="565">
        <f>+H434</f>
        <v>0</v>
      </c>
      <c r="L64" s="565">
        <f>+H435</f>
        <v>0</v>
      </c>
      <c r="M64" s="565"/>
      <c r="N64" s="565"/>
      <c r="O64" s="845"/>
      <c r="P64" s="994">
        <f t="shared" si="6"/>
        <v>0</v>
      </c>
    </row>
    <row r="65" spans="2:16" ht="28.5" customHeight="1" x14ac:dyDescent="0.2">
      <c r="B65" s="1270" t="str">
        <f>"per 31/12/"&amp;$N$13</f>
        <v>per 31/12/2024</v>
      </c>
      <c r="C65" s="1271"/>
      <c r="D65" s="1271"/>
      <c r="E65" s="1272"/>
      <c r="F65" s="314"/>
      <c r="G65" s="565"/>
      <c r="H65" s="565"/>
      <c r="I65" s="565"/>
      <c r="J65" s="565"/>
      <c r="K65" s="565"/>
      <c r="L65" s="565">
        <f>+H441</f>
        <v>0</v>
      </c>
      <c r="M65" s="565">
        <f>+H442</f>
        <v>0</v>
      </c>
      <c r="N65" s="565"/>
      <c r="O65" s="845"/>
      <c r="P65" s="994">
        <f t="shared" si="6"/>
        <v>0</v>
      </c>
    </row>
    <row r="66" spans="2:16" ht="33.75" customHeight="1" x14ac:dyDescent="0.2">
      <c r="B66" s="1285" t="s">
        <v>119</v>
      </c>
      <c r="C66" s="1285"/>
      <c r="D66" s="1285"/>
      <c r="E66" s="1285"/>
      <c r="F66" s="168"/>
      <c r="G66" s="992"/>
      <c r="H66" s="992"/>
      <c r="I66" s="992"/>
      <c r="J66" s="992"/>
      <c r="K66" s="992"/>
      <c r="L66" s="993"/>
      <c r="M66" s="993"/>
      <c r="N66" s="993"/>
      <c r="P66" s="992"/>
    </row>
    <row r="67" spans="2:16" ht="28.5" customHeight="1" x14ac:dyDescent="0.2">
      <c r="B67" s="1267" t="str">
        <f>"per 31/12/"&amp;$G$13</f>
        <v>per 31/12/2017</v>
      </c>
      <c r="C67" s="1268"/>
      <c r="D67" s="1268"/>
      <c r="E67" s="1269"/>
      <c r="F67" s="168"/>
      <c r="G67" s="255"/>
      <c r="H67" s="255"/>
      <c r="I67" s="255"/>
      <c r="J67" s="255"/>
      <c r="K67" s="255"/>
      <c r="L67" s="565"/>
      <c r="M67" s="565"/>
      <c r="N67" s="565"/>
      <c r="P67" s="991">
        <f t="shared" ref="P67:P72" si="7">SUM(G67:N67)</f>
        <v>0</v>
      </c>
    </row>
    <row r="68" spans="2:16" ht="28.5" customHeight="1" x14ac:dyDescent="0.2">
      <c r="B68" s="1267" t="str">
        <f>"per 31/12/"&amp;$H$13</f>
        <v>per 31/12/2018</v>
      </c>
      <c r="C68" s="1268"/>
      <c r="D68" s="1268"/>
      <c r="E68" s="1269"/>
      <c r="F68" s="168"/>
      <c r="G68" s="1028">
        <f>+J458</f>
        <v>0</v>
      </c>
      <c r="H68" s="1028"/>
      <c r="I68" s="1028"/>
      <c r="J68" s="1028"/>
      <c r="K68" s="255"/>
      <c r="L68" s="565"/>
      <c r="M68" s="565"/>
      <c r="N68" s="565"/>
      <c r="P68" s="991">
        <f t="shared" si="7"/>
        <v>0</v>
      </c>
    </row>
    <row r="69" spans="2:16" ht="28.5" customHeight="1" x14ac:dyDescent="0.2">
      <c r="B69" s="1267" t="str">
        <f>"per 31/12/"&amp;$I$13</f>
        <v>per 31/12/2019</v>
      </c>
      <c r="C69" s="1268"/>
      <c r="D69" s="1268"/>
      <c r="E69" s="1269"/>
      <c r="F69" s="168"/>
      <c r="G69" s="1028">
        <f>+L463</f>
        <v>0</v>
      </c>
      <c r="H69" s="1028">
        <f>+L464</f>
        <v>0</v>
      </c>
      <c r="I69" s="1028"/>
      <c r="J69" s="1028"/>
      <c r="K69" s="255"/>
      <c r="L69" s="565"/>
      <c r="M69" s="565"/>
      <c r="N69" s="565"/>
      <c r="P69" s="991">
        <f t="shared" si="7"/>
        <v>0</v>
      </c>
    </row>
    <row r="70" spans="2:16" ht="28.5" customHeight="1" x14ac:dyDescent="0.2">
      <c r="B70" s="1267" t="str">
        <f>"per 31/12/"&amp;$J$13</f>
        <v>per 31/12/2020</v>
      </c>
      <c r="C70" s="1268"/>
      <c r="D70" s="1268"/>
      <c r="E70" s="1269"/>
      <c r="F70" s="168"/>
      <c r="G70" s="1028">
        <f>L470</f>
        <v>0</v>
      </c>
      <c r="H70" s="1028">
        <f>L471</f>
        <v>0</v>
      </c>
      <c r="I70" s="1028">
        <f>L472</f>
        <v>0</v>
      </c>
      <c r="J70" s="1028"/>
      <c r="K70" s="255"/>
      <c r="L70" s="565"/>
      <c r="M70" s="565"/>
      <c r="N70" s="565"/>
      <c r="P70" s="991">
        <f t="shared" si="7"/>
        <v>0</v>
      </c>
    </row>
    <row r="71" spans="2:16" ht="28.5" customHeight="1" x14ac:dyDescent="0.2">
      <c r="B71" s="1267" t="str">
        <f>"per 31/12/"&amp;$K$13</f>
        <v>per 31/12/2021</v>
      </c>
      <c r="C71" s="1268"/>
      <c r="D71" s="1268"/>
      <c r="E71" s="1269"/>
      <c r="F71" s="168"/>
      <c r="G71" s="255">
        <f>+H478</f>
        <v>0</v>
      </c>
      <c r="H71" s="255">
        <f>+H479</f>
        <v>0</v>
      </c>
      <c r="I71" s="255">
        <f>+H480</f>
        <v>0</v>
      </c>
      <c r="J71" s="255">
        <f>+H481</f>
        <v>0</v>
      </c>
      <c r="K71" s="255"/>
      <c r="L71" s="565"/>
      <c r="M71" s="565"/>
      <c r="N71" s="565"/>
      <c r="P71" s="991">
        <f t="shared" si="7"/>
        <v>0</v>
      </c>
    </row>
    <row r="72" spans="2:16" ht="28.5" customHeight="1" x14ac:dyDescent="0.2">
      <c r="B72" s="1270" t="str">
        <f>"per 31/12/"&amp;$L$13</f>
        <v>per 31/12/2022</v>
      </c>
      <c r="C72" s="1271"/>
      <c r="D72" s="1271"/>
      <c r="E72" s="1272"/>
      <c r="F72" s="314"/>
      <c r="G72" s="565">
        <f>+H487</f>
        <v>0</v>
      </c>
      <c r="H72" s="565">
        <f>+H488</f>
        <v>0</v>
      </c>
      <c r="I72" s="565">
        <f>+H489</f>
        <v>0</v>
      </c>
      <c r="J72" s="565">
        <f>+H490</f>
        <v>0</v>
      </c>
      <c r="K72" s="565"/>
      <c r="L72" s="565"/>
      <c r="M72" s="565"/>
      <c r="N72" s="565"/>
      <c r="O72" s="845"/>
      <c r="P72" s="994">
        <f t="shared" si="7"/>
        <v>0</v>
      </c>
    </row>
    <row r="73" spans="2:16" ht="28.5" customHeight="1" x14ac:dyDescent="0.2">
      <c r="B73" s="1270" t="str">
        <f>"per 31/12/"&amp;$M$13</f>
        <v>per 31/12/2023</v>
      </c>
      <c r="C73" s="1271"/>
      <c r="D73" s="1271"/>
      <c r="E73" s="1272"/>
      <c r="F73" s="314"/>
      <c r="G73" s="565"/>
      <c r="H73" s="565"/>
      <c r="I73" s="565"/>
      <c r="J73" s="565"/>
      <c r="K73" s="565"/>
      <c r="L73" s="565"/>
      <c r="M73" s="565"/>
      <c r="N73" s="565"/>
      <c r="O73" s="845"/>
      <c r="P73" s="994"/>
    </row>
    <row r="74" spans="2:16" ht="28.5" customHeight="1" x14ac:dyDescent="0.2">
      <c r="B74" s="1270" t="str">
        <f>"per 31/12/"&amp;$N$13</f>
        <v>per 31/12/2024</v>
      </c>
      <c r="C74" s="1271"/>
      <c r="D74" s="1271"/>
      <c r="E74" s="1272"/>
      <c r="F74" s="314"/>
      <c r="G74" s="565"/>
      <c r="H74" s="565"/>
      <c r="I74" s="565"/>
      <c r="J74" s="565"/>
      <c r="K74" s="565"/>
      <c r="L74" s="565"/>
      <c r="M74" s="565"/>
      <c r="N74" s="565"/>
      <c r="O74" s="845"/>
      <c r="P74" s="994"/>
    </row>
    <row r="75" spans="2:16" ht="26.25" customHeight="1" x14ac:dyDescent="0.2">
      <c r="B75" s="1282" t="s">
        <v>118</v>
      </c>
      <c r="C75" s="1283"/>
      <c r="D75" s="1283"/>
      <c r="E75" s="1284"/>
      <c r="F75" s="168"/>
      <c r="G75" s="992"/>
      <c r="H75" s="992"/>
      <c r="I75" s="992"/>
      <c r="J75" s="992"/>
      <c r="K75" s="992"/>
      <c r="L75" s="993"/>
      <c r="M75" s="993"/>
      <c r="N75" s="993"/>
      <c r="P75" s="992"/>
    </row>
    <row r="76" spans="2:16" ht="28.5" customHeight="1" x14ac:dyDescent="0.2">
      <c r="B76" s="1267" t="str">
        <f>"per 31/12/"&amp;$G$13</f>
        <v>per 31/12/2017</v>
      </c>
      <c r="C76" s="1268"/>
      <c r="D76" s="1268"/>
      <c r="E76" s="1269"/>
      <c r="F76" s="168"/>
      <c r="G76" s="255"/>
      <c r="H76" s="255"/>
      <c r="I76" s="255"/>
      <c r="J76" s="255"/>
      <c r="K76" s="255"/>
      <c r="L76" s="565"/>
      <c r="M76" s="565"/>
      <c r="N76" s="565"/>
      <c r="P76" s="991">
        <f>SUM(G76:N76)</f>
        <v>0</v>
      </c>
    </row>
    <row r="77" spans="2:16" ht="28.5" customHeight="1" x14ac:dyDescent="0.2">
      <c r="B77" s="1267" t="str">
        <f>"per 31/12/"&amp;$H$13</f>
        <v>per 31/12/2018</v>
      </c>
      <c r="C77" s="1268"/>
      <c r="D77" s="1268"/>
      <c r="E77" s="1269"/>
      <c r="F77" s="168"/>
      <c r="G77" s="1028">
        <f>J506</f>
        <v>0</v>
      </c>
      <c r="H77" s="1028"/>
      <c r="I77" s="1028"/>
      <c r="J77" s="1028"/>
      <c r="K77" s="255"/>
      <c r="L77" s="565"/>
      <c r="M77" s="565"/>
      <c r="N77" s="565"/>
      <c r="P77" s="991">
        <f t="shared" ref="P77:P83" si="8">SUM(G77:N77)</f>
        <v>0</v>
      </c>
    </row>
    <row r="78" spans="2:16" ht="28.5" customHeight="1" x14ac:dyDescent="0.2">
      <c r="B78" s="1267" t="str">
        <f>"per 31/12/"&amp;$I$13</f>
        <v>per 31/12/2019</v>
      </c>
      <c r="C78" s="1268"/>
      <c r="D78" s="1268"/>
      <c r="E78" s="1269"/>
      <c r="F78" s="168"/>
      <c r="G78" s="1028">
        <f>+L511</f>
        <v>0</v>
      </c>
      <c r="H78" s="1028">
        <f>+L512</f>
        <v>0</v>
      </c>
      <c r="I78" s="1028"/>
      <c r="J78" s="1028"/>
      <c r="K78" s="255"/>
      <c r="L78" s="565"/>
      <c r="M78" s="565"/>
      <c r="N78" s="565"/>
      <c r="P78" s="991">
        <f t="shared" si="8"/>
        <v>0</v>
      </c>
    </row>
    <row r="79" spans="2:16" ht="28.5" customHeight="1" x14ac:dyDescent="0.2">
      <c r="B79" s="1267" t="str">
        <f>"per 31/12/"&amp;$J$13</f>
        <v>per 31/12/2020</v>
      </c>
      <c r="C79" s="1268"/>
      <c r="D79" s="1268"/>
      <c r="E79" s="1269"/>
      <c r="F79" s="168"/>
      <c r="G79" s="1028">
        <f>L518</f>
        <v>0</v>
      </c>
      <c r="H79" s="1028">
        <f>L519</f>
        <v>0</v>
      </c>
      <c r="I79" s="1028">
        <f>L520</f>
        <v>0</v>
      </c>
      <c r="J79" s="1028"/>
      <c r="K79" s="255"/>
      <c r="L79" s="565"/>
      <c r="M79" s="565"/>
      <c r="N79" s="565"/>
      <c r="P79" s="991">
        <f t="shared" si="8"/>
        <v>0</v>
      </c>
    </row>
    <row r="80" spans="2:16" ht="28.5" customHeight="1" x14ac:dyDescent="0.2">
      <c r="B80" s="1267" t="str">
        <f>"per 31/12/"&amp;$K$13</f>
        <v>per 31/12/2021</v>
      </c>
      <c r="C80" s="1268"/>
      <c r="D80" s="1268"/>
      <c r="E80" s="1269"/>
      <c r="F80" s="168"/>
      <c r="G80" s="255">
        <f>+H526</f>
        <v>0</v>
      </c>
      <c r="H80" s="255">
        <f>+H527</f>
        <v>0</v>
      </c>
      <c r="I80" s="255">
        <f>+H528</f>
        <v>0</v>
      </c>
      <c r="J80" s="255">
        <f>+H529</f>
        <v>0</v>
      </c>
      <c r="K80" s="255"/>
      <c r="L80" s="565"/>
      <c r="M80" s="565"/>
      <c r="N80" s="565"/>
      <c r="P80" s="991">
        <f t="shared" si="8"/>
        <v>0</v>
      </c>
    </row>
    <row r="81" spans="2:16" ht="28.5" customHeight="1" x14ac:dyDescent="0.2">
      <c r="B81" s="1270" t="str">
        <f>"per 31/12/"&amp;$L$13</f>
        <v>per 31/12/2022</v>
      </c>
      <c r="C81" s="1271"/>
      <c r="D81" s="1271"/>
      <c r="E81" s="1272"/>
      <c r="F81" s="314"/>
      <c r="G81" s="565">
        <f>+H535</f>
        <v>0</v>
      </c>
      <c r="H81" s="565">
        <f>+H536</f>
        <v>0</v>
      </c>
      <c r="I81" s="565">
        <f>+H537</f>
        <v>0</v>
      </c>
      <c r="J81" s="565">
        <f>+H538</f>
        <v>0</v>
      </c>
      <c r="K81" s="565">
        <f>+H539</f>
        <v>0</v>
      </c>
      <c r="L81" s="565"/>
      <c r="M81" s="565"/>
      <c r="N81" s="565"/>
      <c r="O81" s="845"/>
      <c r="P81" s="994">
        <f t="shared" si="8"/>
        <v>0</v>
      </c>
    </row>
    <row r="82" spans="2:16" ht="28.5" customHeight="1" x14ac:dyDescent="0.2">
      <c r="B82" s="1270" t="str">
        <f>"per 31/12/"&amp;$M$13</f>
        <v>per 31/12/2023</v>
      </c>
      <c r="C82" s="1271"/>
      <c r="D82" s="1271"/>
      <c r="E82" s="1272"/>
      <c r="F82" s="314"/>
      <c r="G82" s="565"/>
      <c r="H82" s="565"/>
      <c r="I82" s="565"/>
      <c r="J82" s="565"/>
      <c r="K82" s="565">
        <f>+H545</f>
        <v>0</v>
      </c>
      <c r="L82" s="565">
        <f>+H546</f>
        <v>0</v>
      </c>
      <c r="M82" s="565"/>
      <c r="N82" s="565"/>
      <c r="O82" s="845"/>
      <c r="P82" s="994">
        <f t="shared" si="8"/>
        <v>0</v>
      </c>
    </row>
    <row r="83" spans="2:16" ht="28.5" customHeight="1" x14ac:dyDescent="0.2">
      <c r="B83" s="1270" t="str">
        <f>"per 31/12/"&amp;$N$13</f>
        <v>per 31/12/2024</v>
      </c>
      <c r="C83" s="1271"/>
      <c r="D83" s="1271"/>
      <c r="E83" s="1272"/>
      <c r="F83" s="314"/>
      <c r="G83" s="565"/>
      <c r="H83" s="565"/>
      <c r="I83" s="565"/>
      <c r="J83" s="565"/>
      <c r="K83" s="565"/>
      <c r="L83" s="565">
        <f>+H552</f>
        <v>0</v>
      </c>
      <c r="M83" s="565">
        <f>+H553</f>
        <v>0</v>
      </c>
      <c r="N83" s="565"/>
      <c r="O83" s="845"/>
      <c r="P83" s="994">
        <f t="shared" si="8"/>
        <v>0</v>
      </c>
    </row>
    <row r="84" spans="2:16" ht="33" customHeight="1" x14ac:dyDescent="0.2">
      <c r="B84" s="1282" t="s">
        <v>68</v>
      </c>
      <c r="C84" s="1283"/>
      <c r="D84" s="1283"/>
      <c r="E84" s="1284"/>
      <c r="F84" s="168"/>
      <c r="G84" s="992"/>
      <c r="H84" s="992"/>
      <c r="I84" s="992"/>
      <c r="J84" s="992"/>
      <c r="K84" s="992"/>
      <c r="L84" s="993"/>
      <c r="M84" s="993"/>
      <c r="N84" s="993"/>
      <c r="P84" s="992"/>
    </row>
    <row r="85" spans="2:16" ht="28.5" customHeight="1" x14ac:dyDescent="0.2">
      <c r="B85" s="1267" t="str">
        <f>"per 31/12/"&amp;$G$13</f>
        <v>per 31/12/2017</v>
      </c>
      <c r="C85" s="1268"/>
      <c r="D85" s="1268"/>
      <c r="E85" s="1269"/>
      <c r="F85" s="168"/>
      <c r="G85" s="255"/>
      <c r="H85" s="255"/>
      <c r="I85" s="255"/>
      <c r="J85" s="255"/>
      <c r="K85" s="255"/>
      <c r="L85" s="565"/>
      <c r="M85" s="565"/>
      <c r="N85" s="565"/>
      <c r="P85" s="991">
        <f>SUM(G85:N85)</f>
        <v>0</v>
      </c>
    </row>
    <row r="86" spans="2:16" ht="28.5" customHeight="1" x14ac:dyDescent="0.2">
      <c r="B86" s="1267" t="str">
        <f>"per 31/12/"&amp;$H$13</f>
        <v>per 31/12/2018</v>
      </c>
      <c r="C86" s="1268"/>
      <c r="D86" s="1268"/>
      <c r="E86" s="1269"/>
      <c r="F86" s="168"/>
      <c r="G86" s="1028">
        <f>J569</f>
        <v>0</v>
      </c>
      <c r="H86" s="1028"/>
      <c r="I86" s="1028"/>
      <c r="J86" s="1028"/>
      <c r="K86" s="255"/>
      <c r="L86" s="565"/>
      <c r="M86" s="565"/>
      <c r="N86" s="565"/>
      <c r="P86" s="991">
        <f t="shared" ref="P86:P92" si="9">SUM(G86:N86)</f>
        <v>0</v>
      </c>
    </row>
    <row r="87" spans="2:16" ht="28.5" customHeight="1" x14ac:dyDescent="0.2">
      <c r="B87" s="1267" t="str">
        <f>"per 31/12/"&amp;$I$13</f>
        <v>per 31/12/2019</v>
      </c>
      <c r="C87" s="1268"/>
      <c r="D87" s="1268"/>
      <c r="E87" s="1269"/>
      <c r="F87" s="168"/>
      <c r="G87" s="1028">
        <f>+L574</f>
        <v>0</v>
      </c>
      <c r="H87" s="1028">
        <f>+L575</f>
        <v>0</v>
      </c>
      <c r="I87" s="1028"/>
      <c r="J87" s="1028"/>
      <c r="K87" s="255"/>
      <c r="L87" s="565"/>
      <c r="M87" s="565"/>
      <c r="N87" s="565"/>
      <c r="P87" s="991">
        <f t="shared" si="9"/>
        <v>0</v>
      </c>
    </row>
    <row r="88" spans="2:16" ht="28.5" customHeight="1" x14ac:dyDescent="0.2">
      <c r="B88" s="1267" t="str">
        <f>"per 31/12/"&amp;$J$13</f>
        <v>per 31/12/2020</v>
      </c>
      <c r="C88" s="1268"/>
      <c r="D88" s="1268"/>
      <c r="E88" s="1269"/>
      <c r="F88" s="168"/>
      <c r="G88" s="1028">
        <f>L581</f>
        <v>0</v>
      </c>
      <c r="H88" s="1028">
        <f>L582</f>
        <v>0</v>
      </c>
      <c r="I88" s="1028">
        <f>L583</f>
        <v>0</v>
      </c>
      <c r="J88" s="1028"/>
      <c r="K88" s="255"/>
      <c r="L88" s="565"/>
      <c r="M88" s="565"/>
      <c r="N88" s="565"/>
      <c r="P88" s="991">
        <f t="shared" si="9"/>
        <v>0</v>
      </c>
    </row>
    <row r="89" spans="2:16" ht="28.5" customHeight="1" x14ac:dyDescent="0.2">
      <c r="B89" s="1267" t="str">
        <f>"per 31/12/"&amp;$K$13</f>
        <v>per 31/12/2021</v>
      </c>
      <c r="C89" s="1268"/>
      <c r="D89" s="1268"/>
      <c r="E89" s="1269"/>
      <c r="F89" s="168"/>
      <c r="G89" s="255">
        <f>+H589</f>
        <v>0</v>
      </c>
      <c r="H89" s="255">
        <f>+H590</f>
        <v>0</v>
      </c>
      <c r="I89" s="255">
        <f>+H591</f>
        <v>0</v>
      </c>
      <c r="J89" s="255">
        <f>+H592</f>
        <v>0</v>
      </c>
      <c r="K89" s="255"/>
      <c r="L89" s="565"/>
      <c r="M89" s="565"/>
      <c r="N89" s="565"/>
      <c r="P89" s="991">
        <f t="shared" si="9"/>
        <v>0</v>
      </c>
    </row>
    <row r="90" spans="2:16" ht="28.5" customHeight="1" x14ac:dyDescent="0.2">
      <c r="B90" s="1270" t="str">
        <f>"per 31/12/"&amp;$L$13</f>
        <v>per 31/12/2022</v>
      </c>
      <c r="C90" s="1271"/>
      <c r="D90" s="1271"/>
      <c r="E90" s="1272"/>
      <c r="F90" s="314"/>
      <c r="G90" s="565">
        <f>+H598</f>
        <v>0</v>
      </c>
      <c r="H90" s="565">
        <f>+H599</f>
        <v>0</v>
      </c>
      <c r="I90" s="565">
        <f>+H600</f>
        <v>0</v>
      </c>
      <c r="J90" s="565">
        <f>+H601</f>
        <v>0</v>
      </c>
      <c r="K90" s="565">
        <f>+H602</f>
        <v>0</v>
      </c>
      <c r="L90" s="565"/>
      <c r="M90" s="565"/>
      <c r="N90" s="565"/>
      <c r="O90" s="845"/>
      <c r="P90" s="994">
        <f t="shared" si="9"/>
        <v>0</v>
      </c>
    </row>
    <row r="91" spans="2:16" ht="28.5" customHeight="1" x14ac:dyDescent="0.2">
      <c r="B91" s="1270" t="str">
        <f>"per 31/12/"&amp;$M$13</f>
        <v>per 31/12/2023</v>
      </c>
      <c r="C91" s="1271"/>
      <c r="D91" s="1271"/>
      <c r="E91" s="1272"/>
      <c r="F91" s="314"/>
      <c r="G91" s="565"/>
      <c r="H91" s="565"/>
      <c r="I91" s="565"/>
      <c r="J91" s="565"/>
      <c r="K91" s="565">
        <f>+H608</f>
        <v>0</v>
      </c>
      <c r="L91" s="565">
        <f>+H609</f>
        <v>0</v>
      </c>
      <c r="M91" s="565"/>
      <c r="N91" s="565"/>
      <c r="O91" s="845"/>
      <c r="P91" s="994">
        <f t="shared" si="9"/>
        <v>0</v>
      </c>
    </row>
    <row r="92" spans="2:16" ht="28.5" customHeight="1" x14ac:dyDescent="0.2">
      <c r="B92" s="1270" t="str">
        <f>"per 31/12/"&amp;$N$13</f>
        <v>per 31/12/2024</v>
      </c>
      <c r="C92" s="1271"/>
      <c r="D92" s="1271"/>
      <c r="E92" s="1272"/>
      <c r="F92" s="314"/>
      <c r="G92" s="565"/>
      <c r="H92" s="565"/>
      <c r="I92" s="565"/>
      <c r="J92" s="565"/>
      <c r="K92" s="565"/>
      <c r="L92" s="565">
        <f>+H615</f>
        <v>0</v>
      </c>
      <c r="M92" s="565">
        <f>+H616</f>
        <v>0</v>
      </c>
      <c r="N92" s="565"/>
      <c r="O92" s="845"/>
      <c r="P92" s="994">
        <f t="shared" si="9"/>
        <v>0</v>
      </c>
    </row>
    <row r="93" spans="2:16" x14ac:dyDescent="0.2">
      <c r="G93" s="306"/>
      <c r="H93" s="306"/>
      <c r="I93" s="306"/>
      <c r="J93" s="306"/>
      <c r="K93" s="306"/>
      <c r="L93" s="839"/>
      <c r="M93" s="839"/>
      <c r="N93" s="839"/>
      <c r="P93" s="306"/>
    </row>
    <row r="94" spans="2:16" s="224" customFormat="1" x14ac:dyDescent="0.2">
      <c r="B94" s="1293"/>
      <c r="C94" s="1293"/>
      <c r="D94" s="1293"/>
      <c r="E94" s="1293"/>
      <c r="G94" s="309"/>
      <c r="H94" s="309"/>
      <c r="I94" s="309"/>
      <c r="J94" s="309"/>
      <c r="K94" s="309"/>
      <c r="L94" s="841"/>
      <c r="M94" s="841"/>
      <c r="N94" s="841"/>
      <c r="O94" s="211"/>
      <c r="P94" s="309"/>
    </row>
    <row r="95" spans="2:16" s="224" customFormat="1" x14ac:dyDescent="0.2">
      <c r="B95" s="315"/>
      <c r="C95" s="316"/>
      <c r="D95" s="316"/>
      <c r="E95" s="317"/>
      <c r="F95" s="283"/>
      <c r="G95" s="166">
        <v>2017</v>
      </c>
      <c r="H95" s="166">
        <f>+G95+1</f>
        <v>2018</v>
      </c>
      <c r="I95" s="166">
        <f>+H95+1</f>
        <v>2019</v>
      </c>
      <c r="J95" s="166">
        <f>+I95+1</f>
        <v>2020</v>
      </c>
      <c r="K95" s="166">
        <f t="shared" ref="K95:N95" si="10">+J95+1</f>
        <v>2021</v>
      </c>
      <c r="L95" s="837">
        <f t="shared" si="10"/>
        <v>2022</v>
      </c>
      <c r="M95" s="837">
        <f t="shared" si="10"/>
        <v>2023</v>
      </c>
      <c r="N95" s="837">
        <f t="shared" si="10"/>
        <v>2024</v>
      </c>
      <c r="O95" s="209"/>
      <c r="P95" s="166" t="s">
        <v>20</v>
      </c>
    </row>
    <row r="96" spans="2:16" s="220" customFormat="1" ht="26.25" customHeight="1" x14ac:dyDescent="0.2">
      <c r="B96" s="1286" t="s">
        <v>159</v>
      </c>
      <c r="C96" s="1287"/>
      <c r="D96" s="1287"/>
      <c r="E96" s="1288"/>
      <c r="F96" s="172"/>
      <c r="G96" s="171"/>
      <c r="H96" s="171"/>
      <c r="I96" s="171"/>
      <c r="J96" s="171"/>
      <c r="K96" s="171"/>
      <c r="L96" s="843"/>
      <c r="M96" s="843"/>
      <c r="N96" s="843"/>
      <c r="O96" s="210"/>
      <c r="P96" s="171"/>
    </row>
    <row r="97" spans="1:16" ht="28.5" customHeight="1" x14ac:dyDescent="0.2">
      <c r="A97" s="296"/>
      <c r="B97" s="1273" t="str">
        <f>"per 31/12/"&amp;$G$13</f>
        <v>per 31/12/2017</v>
      </c>
      <c r="C97" s="1274"/>
      <c r="D97" s="1274"/>
      <c r="E97" s="1275"/>
      <c r="F97" s="318"/>
      <c r="G97" s="995"/>
      <c r="H97" s="995"/>
      <c r="I97" s="995"/>
      <c r="J97" s="995"/>
      <c r="K97" s="995"/>
      <c r="L97" s="996"/>
      <c r="M97" s="996"/>
      <c r="N97" s="996"/>
      <c r="P97" s="997">
        <f t="shared" ref="P97:P104" si="11">SUMIFS(P$31:P$92,$B$31:$B$92,$B97)</f>
        <v>0</v>
      </c>
    </row>
    <row r="98" spans="1:16" ht="28.5" customHeight="1" x14ac:dyDescent="0.2">
      <c r="A98" s="296"/>
      <c r="B98" s="1273" t="str">
        <f>"per 31/12/"&amp;$H$13</f>
        <v>per 31/12/2018</v>
      </c>
      <c r="C98" s="1274"/>
      <c r="D98" s="1274"/>
      <c r="E98" s="1275"/>
      <c r="F98" s="318"/>
      <c r="G98" s="995">
        <f>SUMIFS(G$31:G$92,$B$31:$B$92,$B98)</f>
        <v>0</v>
      </c>
      <c r="H98" s="995"/>
      <c r="I98" s="995"/>
      <c r="J98" s="995"/>
      <c r="K98" s="995"/>
      <c r="L98" s="996"/>
      <c r="M98" s="996"/>
      <c r="N98" s="996"/>
      <c r="P98" s="997">
        <f t="shared" si="11"/>
        <v>0</v>
      </c>
    </row>
    <row r="99" spans="1:16" ht="28.5" customHeight="1" x14ac:dyDescent="0.2">
      <c r="A99" s="296"/>
      <c r="B99" s="1273" t="str">
        <f>"per 31/12/"&amp;$I$13</f>
        <v>per 31/12/2019</v>
      </c>
      <c r="C99" s="1274"/>
      <c r="D99" s="1274"/>
      <c r="E99" s="1275"/>
      <c r="F99" s="318"/>
      <c r="G99" s="995">
        <f>SUMIFS(G$31:G$92,$B$31:$B$92,$B99)</f>
        <v>0</v>
      </c>
      <c r="H99" s="995">
        <f>SUMIFS(H$31:H$92,$B$31:$B$92,$B99)</f>
        <v>0</v>
      </c>
      <c r="I99" s="995"/>
      <c r="J99" s="995"/>
      <c r="K99" s="995"/>
      <c r="L99" s="996"/>
      <c r="M99" s="996"/>
      <c r="N99" s="996"/>
      <c r="P99" s="997">
        <f t="shared" si="11"/>
        <v>0</v>
      </c>
    </row>
    <row r="100" spans="1:16" ht="28.5" customHeight="1" x14ac:dyDescent="0.2">
      <c r="A100" s="296"/>
      <c r="B100" s="1273" t="str">
        <f>"per 31/12/"&amp;$J$13</f>
        <v>per 31/12/2020</v>
      </c>
      <c r="C100" s="1274"/>
      <c r="D100" s="1274"/>
      <c r="E100" s="1275"/>
      <c r="F100" s="318"/>
      <c r="G100" s="995">
        <f>SUMIFS(G$31:G$92,$B$31:$B$92,$B100)</f>
        <v>0</v>
      </c>
      <c r="H100" s="995">
        <f>SUMIFS(H$31:H$92,$B$31:$B$92,$B100)</f>
        <v>0</v>
      </c>
      <c r="I100" s="995">
        <f>SUMIFS(I$31:I$92,$B$31:$B$92,$B100)</f>
        <v>0</v>
      </c>
      <c r="J100" s="995"/>
      <c r="K100" s="995"/>
      <c r="L100" s="996"/>
      <c r="M100" s="996"/>
      <c r="N100" s="996"/>
      <c r="P100" s="997">
        <f t="shared" si="11"/>
        <v>0</v>
      </c>
    </row>
    <row r="101" spans="1:16" ht="28.5" customHeight="1" x14ac:dyDescent="0.2">
      <c r="A101" s="296"/>
      <c r="B101" s="1273" t="str">
        <f>"per 31/12/"&amp;$K$13</f>
        <v>per 31/12/2021</v>
      </c>
      <c r="C101" s="1274"/>
      <c r="D101" s="1274"/>
      <c r="E101" s="1275"/>
      <c r="F101" s="318"/>
      <c r="G101" s="995">
        <f>SUMIFS(G$31:G$92,$B$31:$B$92,$B101)</f>
        <v>0</v>
      </c>
      <c r="H101" s="995">
        <f>SUMIFS(H$31:H$92,$B$31:$B$92,$B101)</f>
        <v>0</v>
      </c>
      <c r="I101" s="995">
        <f>SUMIFS(I$31:I$92,$B$31:$B$92,$B101)</f>
        <v>0</v>
      </c>
      <c r="J101" s="995">
        <f>SUMIFS(J$31:J$92,$B$31:$B$92,$B101)</f>
        <v>0</v>
      </c>
      <c r="K101" s="995"/>
      <c r="L101" s="996"/>
      <c r="M101" s="996"/>
      <c r="N101" s="996"/>
      <c r="P101" s="997">
        <f t="shared" si="11"/>
        <v>0</v>
      </c>
    </row>
    <row r="102" spans="1:16" ht="28.5" customHeight="1" x14ac:dyDescent="0.2">
      <c r="A102" s="296"/>
      <c r="B102" s="1276" t="str">
        <f>"per 31/12/"&amp;$L$13</f>
        <v>per 31/12/2022</v>
      </c>
      <c r="C102" s="1277"/>
      <c r="D102" s="1277"/>
      <c r="E102" s="1278"/>
      <c r="F102" s="846"/>
      <c r="G102" s="996">
        <f>SUMIFS(G$31:G$92,$B$31:$B$92,$B102)</f>
        <v>0</v>
      </c>
      <c r="H102" s="996">
        <f>SUMIFS(H$31:H$92,$B$31:$B$92,$B102)</f>
        <v>0</v>
      </c>
      <c r="I102" s="996">
        <f>SUMIFS(I$31:I$92,$B$31:$B$92,$B102)</f>
        <v>0</v>
      </c>
      <c r="J102" s="996">
        <f>SUMIFS(J$31:J$92,$B$31:$B$92,$B102)</f>
        <v>0</v>
      </c>
      <c r="K102" s="996">
        <f>SUMIFS(K$31:K$92,$B$31:$B$92,$B102)</f>
        <v>0</v>
      </c>
      <c r="L102" s="996"/>
      <c r="M102" s="996"/>
      <c r="N102" s="996"/>
      <c r="O102" s="845"/>
      <c r="P102" s="998">
        <f t="shared" si="11"/>
        <v>0</v>
      </c>
    </row>
    <row r="103" spans="1:16" ht="28.5" customHeight="1" x14ac:dyDescent="0.2">
      <c r="A103" s="296"/>
      <c r="B103" s="1276" t="str">
        <f>"per 31/12/"&amp;$M$13</f>
        <v>per 31/12/2023</v>
      </c>
      <c r="C103" s="1277"/>
      <c r="D103" s="1277"/>
      <c r="E103" s="1278"/>
      <c r="F103" s="846"/>
      <c r="G103" s="996"/>
      <c r="H103" s="996"/>
      <c r="I103" s="996"/>
      <c r="J103" s="996"/>
      <c r="K103" s="996">
        <f>SUMIFS(K$31:K$92,$B$31:$B$92,$B103)</f>
        <v>0</v>
      </c>
      <c r="L103" s="996">
        <f>SUMIFS(L$31:L$92,$B$31:$B$92,$B103)</f>
        <v>0</v>
      </c>
      <c r="M103" s="996"/>
      <c r="N103" s="996"/>
      <c r="O103" s="845"/>
      <c r="P103" s="998">
        <f t="shared" si="11"/>
        <v>0</v>
      </c>
    </row>
    <row r="104" spans="1:16" ht="28.5" customHeight="1" x14ac:dyDescent="0.2">
      <c r="A104" s="296"/>
      <c r="B104" s="1276" t="str">
        <f>"per 31/12/"&amp;$N$13</f>
        <v>per 31/12/2024</v>
      </c>
      <c r="C104" s="1277"/>
      <c r="D104" s="1277"/>
      <c r="E104" s="1278"/>
      <c r="F104" s="846"/>
      <c r="G104" s="996"/>
      <c r="H104" s="996"/>
      <c r="I104" s="996"/>
      <c r="J104" s="996"/>
      <c r="K104" s="1029"/>
      <c r="L104" s="996">
        <f>SUMIFS(L$31:L$92,$B$31:$B$92,$B104)</f>
        <v>0</v>
      </c>
      <c r="M104" s="996">
        <f>SUMIFS(M$31:M$92,$B$31:$B$92,$B104)</f>
        <v>0</v>
      </c>
      <c r="N104" s="996"/>
      <c r="O104" s="845"/>
      <c r="P104" s="998">
        <f t="shared" si="11"/>
        <v>0</v>
      </c>
    </row>
    <row r="105" spans="1:16" s="224" customFormat="1" x14ac:dyDescent="0.2">
      <c r="B105" s="1292"/>
      <c r="C105" s="1292"/>
      <c r="D105" s="1292"/>
      <c r="E105" s="1292"/>
      <c r="G105" s="319"/>
      <c r="H105" s="319"/>
      <c r="I105" s="309"/>
      <c r="J105" s="309"/>
      <c r="K105" s="309"/>
      <c r="L105" s="841"/>
      <c r="M105" s="841"/>
      <c r="N105" s="841"/>
      <c r="O105" s="211"/>
      <c r="P105" s="309"/>
    </row>
    <row r="106" spans="1:16" x14ac:dyDescent="0.2">
      <c r="L106" s="842"/>
      <c r="M106" s="842"/>
      <c r="N106" s="842"/>
    </row>
    <row r="107" spans="1:16" x14ac:dyDescent="0.2">
      <c r="L107" s="842"/>
      <c r="M107" s="842"/>
      <c r="N107" s="842"/>
    </row>
    <row r="108" spans="1:16" x14ac:dyDescent="0.2">
      <c r="L108" s="842"/>
      <c r="M108" s="842"/>
      <c r="N108" s="842"/>
    </row>
    <row r="109" spans="1:16" ht="69.75" customHeight="1" x14ac:dyDescent="0.2">
      <c r="B109" s="1257" t="s">
        <v>133</v>
      </c>
      <c r="C109" s="1258"/>
      <c r="D109" s="1258"/>
      <c r="E109" s="1259"/>
      <c r="F109" s="282"/>
      <c r="G109" s="166">
        <v>2017</v>
      </c>
      <c r="H109" s="166">
        <f>+G109+1</f>
        <v>2018</v>
      </c>
      <c r="I109" s="166">
        <f>+H109+1</f>
        <v>2019</v>
      </c>
      <c r="J109" s="166">
        <f>+I109+1</f>
        <v>2020</v>
      </c>
      <c r="K109" s="166">
        <f t="shared" ref="K109:N109" si="12">+J109+1</f>
        <v>2021</v>
      </c>
      <c r="L109" s="837">
        <f t="shared" si="12"/>
        <v>2022</v>
      </c>
      <c r="M109" s="837">
        <f t="shared" si="12"/>
        <v>2023</v>
      </c>
      <c r="N109" s="837">
        <f t="shared" si="12"/>
        <v>2024</v>
      </c>
      <c r="P109" s="166" t="s">
        <v>20</v>
      </c>
    </row>
    <row r="110" spans="1:16" s="301" customFormat="1" ht="12" customHeight="1" x14ac:dyDescent="0.2">
      <c r="B110" s="320"/>
      <c r="C110" s="320"/>
      <c r="D110" s="320"/>
      <c r="E110" s="320"/>
      <c r="F110" s="321"/>
      <c r="G110" s="323"/>
      <c r="H110" s="324"/>
      <c r="I110" s="324"/>
      <c r="J110" s="324"/>
      <c r="K110" s="324"/>
      <c r="L110" s="844"/>
      <c r="M110" s="844"/>
      <c r="N110" s="844"/>
      <c r="O110" s="305"/>
      <c r="P110" s="324"/>
    </row>
    <row r="111" spans="1:16" ht="36" customHeight="1" x14ac:dyDescent="0.2">
      <c r="B111" s="1282" t="s">
        <v>240</v>
      </c>
      <c r="C111" s="1283"/>
      <c r="D111" s="1283"/>
      <c r="E111" s="1284"/>
      <c r="F111" s="168"/>
      <c r="G111" s="992"/>
      <c r="H111" s="992"/>
      <c r="I111" s="992"/>
      <c r="J111" s="992"/>
      <c r="K111" s="992"/>
      <c r="L111" s="993"/>
      <c r="M111" s="993"/>
      <c r="N111" s="993"/>
      <c r="P111" s="992"/>
    </row>
    <row r="112" spans="1:16" ht="28.5" customHeight="1" x14ac:dyDescent="0.2">
      <c r="B112" s="1267" t="str">
        <f>"per 31/12/"&amp;$G$13</f>
        <v>per 31/12/2017</v>
      </c>
      <c r="C112" s="1268"/>
      <c r="D112" s="1268"/>
      <c r="E112" s="1269"/>
      <c r="F112" s="168"/>
      <c r="G112" s="1030">
        <f>+G$15+G31</f>
        <v>0</v>
      </c>
      <c r="H112" s="255"/>
      <c r="I112" s="255"/>
      <c r="J112" s="255"/>
      <c r="K112" s="255"/>
      <c r="L112" s="565"/>
      <c r="M112" s="565"/>
      <c r="N112" s="565"/>
      <c r="P112" s="991">
        <f>SUM(G112:N112)</f>
        <v>0</v>
      </c>
    </row>
    <row r="113" spans="2:16" ht="28.5" customHeight="1" x14ac:dyDescent="0.2">
      <c r="B113" s="1267" t="str">
        <f>"per 31/12/"&amp;$H$13</f>
        <v>per 31/12/2018</v>
      </c>
      <c r="C113" s="1268"/>
      <c r="D113" s="1268"/>
      <c r="E113" s="1269"/>
      <c r="F113" s="168"/>
      <c r="G113" s="1030">
        <f>+G112+G32</f>
        <v>0</v>
      </c>
      <c r="H113" s="1030">
        <f>+H$15+H32</f>
        <v>0</v>
      </c>
      <c r="I113" s="255"/>
      <c r="J113" s="255"/>
      <c r="K113" s="255"/>
      <c r="L113" s="565"/>
      <c r="M113" s="565"/>
      <c r="N113" s="565"/>
      <c r="P113" s="991">
        <f t="shared" ref="P113:P119" si="13">SUM(G113:N113)</f>
        <v>0</v>
      </c>
    </row>
    <row r="114" spans="2:16" ht="28.5" customHeight="1" x14ac:dyDescent="0.2">
      <c r="B114" s="1267" t="str">
        <f>"per 31/12/"&amp;$I$13</f>
        <v>per 31/12/2019</v>
      </c>
      <c r="C114" s="1268"/>
      <c r="D114" s="1268"/>
      <c r="E114" s="1269"/>
      <c r="F114" s="168"/>
      <c r="G114" s="1030">
        <f>+G113+G33</f>
        <v>0</v>
      </c>
      <c r="H114" s="1030">
        <f>+H113+H33</f>
        <v>0</v>
      </c>
      <c r="I114" s="1030">
        <f>+I$15+I33</f>
        <v>0</v>
      </c>
      <c r="J114" s="255"/>
      <c r="K114" s="255"/>
      <c r="L114" s="565"/>
      <c r="M114" s="565"/>
      <c r="N114" s="565"/>
      <c r="P114" s="991">
        <f t="shared" si="13"/>
        <v>0</v>
      </c>
    </row>
    <row r="115" spans="2:16" ht="28.5" customHeight="1" x14ac:dyDescent="0.2">
      <c r="B115" s="1267" t="str">
        <f>"per 31/12/"&amp;$J$13</f>
        <v>per 31/12/2020</v>
      </c>
      <c r="C115" s="1268"/>
      <c r="D115" s="1268"/>
      <c r="E115" s="1269"/>
      <c r="F115" s="168"/>
      <c r="G115" s="1030">
        <f>+G114+G34</f>
        <v>0</v>
      </c>
      <c r="H115" s="1030">
        <f>+H114+H34</f>
        <v>0</v>
      </c>
      <c r="I115" s="1030">
        <f>+I114+I34</f>
        <v>0</v>
      </c>
      <c r="J115" s="1030">
        <f>+J$15+J34</f>
        <v>0</v>
      </c>
      <c r="K115" s="255"/>
      <c r="L115" s="565"/>
      <c r="M115" s="565"/>
      <c r="N115" s="565"/>
      <c r="P115" s="991">
        <f t="shared" si="13"/>
        <v>0</v>
      </c>
    </row>
    <row r="116" spans="2:16" ht="28.5" customHeight="1" x14ac:dyDescent="0.2">
      <c r="B116" s="1267" t="str">
        <f>"per 31/12/"&amp;$K$13</f>
        <v>per 31/12/2021</v>
      </c>
      <c r="C116" s="1268"/>
      <c r="D116" s="1268"/>
      <c r="E116" s="1269"/>
      <c r="F116" s="168"/>
      <c r="G116" s="1030">
        <f>+G115+G35</f>
        <v>0</v>
      </c>
      <c r="H116" s="1030">
        <f>+H115+H35</f>
        <v>0</v>
      </c>
      <c r="I116" s="1030">
        <f>+I115+I35</f>
        <v>0</v>
      </c>
      <c r="J116" s="1030">
        <f>+J115+J35</f>
        <v>0</v>
      </c>
      <c r="K116" s="1030">
        <f>+K$15+K35</f>
        <v>0</v>
      </c>
      <c r="L116" s="565"/>
      <c r="M116" s="565"/>
      <c r="N116" s="565"/>
      <c r="P116" s="991">
        <f t="shared" si="13"/>
        <v>0</v>
      </c>
    </row>
    <row r="117" spans="2:16" ht="28.5" customHeight="1" x14ac:dyDescent="0.2">
      <c r="B117" s="1270" t="str">
        <f>"per 31/12/"&amp;$L$13</f>
        <v>per 31/12/2022</v>
      </c>
      <c r="C117" s="1271"/>
      <c r="D117" s="1271"/>
      <c r="E117" s="1272"/>
      <c r="F117" s="314"/>
      <c r="G117" s="1031">
        <f>+G116+G36</f>
        <v>0</v>
      </c>
      <c r="H117" s="1031">
        <f>+H116+H36</f>
        <v>0</v>
      </c>
      <c r="I117" s="1031">
        <f>+I116+I36</f>
        <v>0</v>
      </c>
      <c r="J117" s="1031">
        <f>+J116+J36</f>
        <v>0</v>
      </c>
      <c r="K117" s="1031">
        <f>+K116+K36</f>
        <v>0</v>
      </c>
      <c r="L117" s="1031">
        <f>+L$15+L36</f>
        <v>0</v>
      </c>
      <c r="M117" s="565"/>
      <c r="N117" s="565"/>
      <c r="O117" s="845"/>
      <c r="P117" s="994">
        <f t="shared" si="13"/>
        <v>0</v>
      </c>
    </row>
    <row r="118" spans="2:16" ht="28.5" customHeight="1" x14ac:dyDescent="0.2">
      <c r="B118" s="1270" t="str">
        <f>"per 31/12/"&amp;$M$13</f>
        <v>per 31/12/2023</v>
      </c>
      <c r="C118" s="1271"/>
      <c r="D118" s="1271"/>
      <c r="E118" s="1272"/>
      <c r="F118" s="314"/>
      <c r="G118" s="565"/>
      <c r="H118" s="565"/>
      <c r="I118" s="565"/>
      <c r="J118" s="565"/>
      <c r="K118" s="1031">
        <f>+K117+K37</f>
        <v>0</v>
      </c>
      <c r="L118" s="1031">
        <f>+L117+L37</f>
        <v>0</v>
      </c>
      <c r="M118" s="1031">
        <f>+M$15+M37</f>
        <v>0</v>
      </c>
      <c r="N118" s="565"/>
      <c r="O118" s="845"/>
      <c r="P118" s="994">
        <f t="shared" si="13"/>
        <v>0</v>
      </c>
    </row>
    <row r="119" spans="2:16" ht="28.5" customHeight="1" x14ac:dyDescent="0.2">
      <c r="B119" s="1270" t="str">
        <f>"per 31/12/"&amp;$N$13</f>
        <v>per 31/12/2024</v>
      </c>
      <c r="C119" s="1271"/>
      <c r="D119" s="1271"/>
      <c r="E119" s="1272"/>
      <c r="F119" s="314"/>
      <c r="G119" s="565"/>
      <c r="H119" s="565"/>
      <c r="I119" s="565"/>
      <c r="J119" s="565"/>
      <c r="K119" s="565"/>
      <c r="L119" s="1031">
        <f>+L118+L38</f>
        <v>0</v>
      </c>
      <c r="M119" s="1031">
        <f>+M118+M38</f>
        <v>0</v>
      </c>
      <c r="N119" s="1031">
        <f>+N$15+N38</f>
        <v>0</v>
      </c>
      <c r="O119" s="845"/>
      <c r="P119" s="994">
        <f t="shared" si="13"/>
        <v>0</v>
      </c>
    </row>
    <row r="120" spans="2:16" ht="27.75" customHeight="1" x14ac:dyDescent="0.2">
      <c r="B120" s="1282" t="s">
        <v>66</v>
      </c>
      <c r="C120" s="1283"/>
      <c r="D120" s="1283"/>
      <c r="E120" s="1284"/>
      <c r="F120" s="168"/>
      <c r="G120" s="992"/>
      <c r="H120" s="992"/>
      <c r="I120" s="992"/>
      <c r="J120" s="992"/>
      <c r="K120" s="992"/>
      <c r="L120" s="993"/>
      <c r="M120" s="993"/>
      <c r="N120" s="993"/>
      <c r="P120" s="992"/>
    </row>
    <row r="121" spans="2:16" ht="28.5" customHeight="1" x14ac:dyDescent="0.2">
      <c r="B121" s="1267" t="str">
        <f>"per 31/12/"&amp;$G$13</f>
        <v>per 31/12/2017</v>
      </c>
      <c r="C121" s="1268"/>
      <c r="D121" s="1268"/>
      <c r="E121" s="1269"/>
      <c r="F121" s="168"/>
      <c r="G121" s="1030">
        <f>+G$16+G40</f>
        <v>0</v>
      </c>
      <c r="H121" s="255"/>
      <c r="I121" s="255"/>
      <c r="J121" s="255"/>
      <c r="K121" s="255"/>
      <c r="L121" s="565"/>
      <c r="M121" s="565"/>
      <c r="N121" s="565"/>
      <c r="P121" s="991">
        <f>SUM(G121:N121)</f>
        <v>0</v>
      </c>
    </row>
    <row r="122" spans="2:16" ht="28.5" customHeight="1" x14ac:dyDescent="0.2">
      <c r="B122" s="1267" t="str">
        <f>"per 31/12/"&amp;$H$13</f>
        <v>per 31/12/2018</v>
      </c>
      <c r="C122" s="1268"/>
      <c r="D122" s="1268"/>
      <c r="E122" s="1269"/>
      <c r="F122" s="168"/>
      <c r="G122" s="1030">
        <f>+G121+G41</f>
        <v>0</v>
      </c>
      <c r="H122" s="255">
        <f>+H$16+H41</f>
        <v>0</v>
      </c>
      <c r="I122" s="255"/>
      <c r="J122" s="255"/>
      <c r="K122" s="255"/>
      <c r="L122" s="565"/>
      <c r="M122" s="565"/>
      <c r="N122" s="565"/>
      <c r="P122" s="991">
        <f t="shared" ref="P122:P128" si="14">SUM(G122:N122)</f>
        <v>0</v>
      </c>
    </row>
    <row r="123" spans="2:16" ht="28.5" customHeight="1" x14ac:dyDescent="0.2">
      <c r="B123" s="1267" t="str">
        <f>"per 31/12/"&amp;$I$13</f>
        <v>per 31/12/2019</v>
      </c>
      <c r="C123" s="1268"/>
      <c r="D123" s="1268"/>
      <c r="E123" s="1269"/>
      <c r="F123" s="168"/>
      <c r="G123" s="1030">
        <f>+G122+G42</f>
        <v>0</v>
      </c>
      <c r="H123" s="1030">
        <f>+H122+H42</f>
        <v>0</v>
      </c>
      <c r="I123" s="255">
        <f>+I$16+I42</f>
        <v>0</v>
      </c>
      <c r="J123" s="255"/>
      <c r="K123" s="255"/>
      <c r="L123" s="565"/>
      <c r="M123" s="565"/>
      <c r="N123" s="565"/>
      <c r="P123" s="991">
        <f t="shared" si="14"/>
        <v>0</v>
      </c>
    </row>
    <row r="124" spans="2:16" ht="28.5" customHeight="1" x14ac:dyDescent="0.2">
      <c r="B124" s="1267" t="str">
        <f>"per 31/12/"&amp;$J$13</f>
        <v>per 31/12/2020</v>
      </c>
      <c r="C124" s="1268"/>
      <c r="D124" s="1268"/>
      <c r="E124" s="1269"/>
      <c r="F124" s="168"/>
      <c r="G124" s="1030">
        <f>+G123+G43</f>
        <v>0</v>
      </c>
      <c r="H124" s="1030">
        <f>+H123+H43</f>
        <v>0</v>
      </c>
      <c r="I124" s="1030">
        <f>+I123+I43</f>
        <v>0</v>
      </c>
      <c r="J124" s="255">
        <f>+J$16+J43</f>
        <v>0</v>
      </c>
      <c r="K124" s="255"/>
      <c r="L124" s="565"/>
      <c r="M124" s="565"/>
      <c r="N124" s="565"/>
      <c r="P124" s="991">
        <f t="shared" si="14"/>
        <v>0</v>
      </c>
    </row>
    <row r="125" spans="2:16" ht="28.5" customHeight="1" x14ac:dyDescent="0.2">
      <c r="B125" s="1267" t="str">
        <f>"per 31/12/"&amp;$K$13</f>
        <v>per 31/12/2021</v>
      </c>
      <c r="C125" s="1268"/>
      <c r="D125" s="1268"/>
      <c r="E125" s="1269"/>
      <c r="F125" s="168"/>
      <c r="G125" s="1030">
        <f>+G124+G44</f>
        <v>0</v>
      </c>
      <c r="H125" s="1030">
        <f>+H124+H44</f>
        <v>0</v>
      </c>
      <c r="I125" s="1030">
        <f>+I124+I44</f>
        <v>0</v>
      </c>
      <c r="J125" s="1030">
        <f>+J124+J44</f>
        <v>0</v>
      </c>
      <c r="K125" s="255">
        <f>+K$16+K44</f>
        <v>0</v>
      </c>
      <c r="L125" s="565"/>
      <c r="M125" s="565"/>
      <c r="N125" s="565"/>
      <c r="P125" s="991">
        <f t="shared" si="14"/>
        <v>0</v>
      </c>
    </row>
    <row r="126" spans="2:16" ht="28.5" customHeight="1" x14ac:dyDescent="0.2">
      <c r="B126" s="1270" t="str">
        <f>"per 31/12/"&amp;$L$13</f>
        <v>per 31/12/2022</v>
      </c>
      <c r="C126" s="1271"/>
      <c r="D126" s="1271"/>
      <c r="E126" s="1272"/>
      <c r="F126" s="314"/>
      <c r="G126" s="1031">
        <f>+G125+G45</f>
        <v>0</v>
      </c>
      <c r="H126" s="1031">
        <f>+H125+H45</f>
        <v>0</v>
      </c>
      <c r="I126" s="1031">
        <f>+I125+I45</f>
        <v>0</v>
      </c>
      <c r="J126" s="1031">
        <f>+J125+J45</f>
        <v>0</v>
      </c>
      <c r="K126" s="1031">
        <f>+K125+K45</f>
        <v>0</v>
      </c>
      <c r="L126" s="565">
        <f>+L$16+L45</f>
        <v>0</v>
      </c>
      <c r="M126" s="565"/>
      <c r="N126" s="565"/>
      <c r="O126" s="845"/>
      <c r="P126" s="994">
        <f t="shared" si="14"/>
        <v>0</v>
      </c>
    </row>
    <row r="127" spans="2:16" ht="28.5" customHeight="1" x14ac:dyDescent="0.2">
      <c r="B127" s="1270" t="str">
        <f>"per 31/12/"&amp;$M$13</f>
        <v>per 31/12/2023</v>
      </c>
      <c r="C127" s="1271"/>
      <c r="D127" s="1271"/>
      <c r="E127" s="1272"/>
      <c r="F127" s="314"/>
      <c r="G127" s="565"/>
      <c r="H127" s="565"/>
      <c r="I127" s="565"/>
      <c r="J127" s="565"/>
      <c r="K127" s="1031">
        <f>+K126+K46</f>
        <v>0</v>
      </c>
      <c r="L127" s="1031">
        <f>+L126+L46</f>
        <v>0</v>
      </c>
      <c r="M127" s="565">
        <f>+M$16+M46</f>
        <v>0</v>
      </c>
      <c r="N127" s="565"/>
      <c r="O127" s="845"/>
      <c r="P127" s="994">
        <f t="shared" si="14"/>
        <v>0</v>
      </c>
    </row>
    <row r="128" spans="2:16" ht="28.5" customHeight="1" x14ac:dyDescent="0.2">
      <c r="B128" s="1270" t="str">
        <f>"per 31/12/"&amp;$N$13</f>
        <v>per 31/12/2024</v>
      </c>
      <c r="C128" s="1271"/>
      <c r="D128" s="1271"/>
      <c r="E128" s="1272"/>
      <c r="F128" s="314"/>
      <c r="G128" s="565"/>
      <c r="H128" s="565"/>
      <c r="I128" s="565"/>
      <c r="J128" s="565"/>
      <c r="K128" s="565"/>
      <c r="L128" s="1031">
        <f>+L127+L47</f>
        <v>0</v>
      </c>
      <c r="M128" s="1031">
        <f>+M127+M47</f>
        <v>0</v>
      </c>
      <c r="N128" s="565">
        <f>+N$16+N47</f>
        <v>0</v>
      </c>
      <c r="O128" s="845"/>
      <c r="P128" s="994">
        <f t="shared" si="14"/>
        <v>0</v>
      </c>
    </row>
    <row r="129" spans="2:16" ht="30" customHeight="1" x14ac:dyDescent="0.2">
      <c r="B129" s="1282" t="s">
        <v>205</v>
      </c>
      <c r="C129" s="1283"/>
      <c r="D129" s="1283"/>
      <c r="E129" s="1284"/>
      <c r="F129" s="168"/>
      <c r="G129" s="992"/>
      <c r="H129" s="992"/>
      <c r="I129" s="992"/>
      <c r="J129" s="992"/>
      <c r="K129" s="992"/>
      <c r="L129" s="993"/>
      <c r="M129" s="993"/>
      <c r="N129" s="993"/>
      <c r="P129" s="992"/>
    </row>
    <row r="130" spans="2:16" ht="28.5" customHeight="1" x14ac:dyDescent="0.2">
      <c r="B130" s="1267" t="str">
        <f>"per 31/12/"&amp;$G$13</f>
        <v>per 31/12/2017</v>
      </c>
      <c r="C130" s="1268"/>
      <c r="D130" s="1268"/>
      <c r="E130" s="1269"/>
      <c r="F130" s="168"/>
      <c r="G130" s="1030">
        <f>+G$17+G49</f>
        <v>0</v>
      </c>
      <c r="H130" s="255"/>
      <c r="I130" s="255"/>
      <c r="J130" s="255"/>
      <c r="K130" s="255"/>
      <c r="L130" s="565"/>
      <c r="M130" s="565"/>
      <c r="N130" s="565"/>
      <c r="P130" s="991">
        <f>SUM(G130:N130)</f>
        <v>0</v>
      </c>
    </row>
    <row r="131" spans="2:16" ht="28.5" customHeight="1" x14ac:dyDescent="0.2">
      <c r="B131" s="1267" t="str">
        <f>"per 31/12/"&amp;$H$13</f>
        <v>per 31/12/2018</v>
      </c>
      <c r="C131" s="1268"/>
      <c r="D131" s="1268"/>
      <c r="E131" s="1269"/>
      <c r="F131" s="168"/>
      <c r="G131" s="255">
        <f>+G130+G50</f>
        <v>0</v>
      </c>
      <c r="H131" s="255">
        <f>+H$17+H50</f>
        <v>0</v>
      </c>
      <c r="I131" s="255"/>
      <c r="J131" s="255"/>
      <c r="K131" s="255"/>
      <c r="L131" s="565"/>
      <c r="M131" s="565"/>
      <c r="N131" s="565"/>
      <c r="P131" s="991">
        <f t="shared" ref="P131:P135" si="15">SUM(G131:N131)</f>
        <v>0</v>
      </c>
    </row>
    <row r="132" spans="2:16" ht="28.5" customHeight="1" x14ac:dyDescent="0.2">
      <c r="B132" s="1267" t="str">
        <f>"per 31/12/"&amp;$I$13</f>
        <v>per 31/12/2019</v>
      </c>
      <c r="C132" s="1268"/>
      <c r="D132" s="1268"/>
      <c r="E132" s="1269"/>
      <c r="F132" s="168"/>
      <c r="G132" s="255">
        <f>+G131+G51</f>
        <v>0</v>
      </c>
      <c r="H132" s="255">
        <f>+H131+H51</f>
        <v>0</v>
      </c>
      <c r="I132" s="255">
        <f>+I$17+I51</f>
        <v>0</v>
      </c>
      <c r="J132" s="255"/>
      <c r="K132" s="255"/>
      <c r="L132" s="565"/>
      <c r="M132" s="565"/>
      <c r="N132" s="565"/>
      <c r="P132" s="991">
        <f t="shared" si="15"/>
        <v>0</v>
      </c>
    </row>
    <row r="133" spans="2:16" ht="28.5" customHeight="1" x14ac:dyDescent="0.2">
      <c r="B133" s="1267" t="str">
        <f>"per 31/12/"&amp;$J$13</f>
        <v>per 31/12/2020</v>
      </c>
      <c r="C133" s="1268"/>
      <c r="D133" s="1268"/>
      <c r="E133" s="1269"/>
      <c r="F133" s="168"/>
      <c r="G133" s="255">
        <f>+G132+G52</f>
        <v>0</v>
      </c>
      <c r="H133" s="255">
        <f>+H132+H52</f>
        <v>0</v>
      </c>
      <c r="I133" s="255">
        <f>+I132+I52</f>
        <v>0</v>
      </c>
      <c r="J133" s="255">
        <f>+J$17+J52</f>
        <v>0</v>
      </c>
      <c r="K133" s="255"/>
      <c r="L133" s="565"/>
      <c r="M133" s="565"/>
      <c r="N133" s="565"/>
      <c r="P133" s="991">
        <f t="shared" si="15"/>
        <v>0</v>
      </c>
    </row>
    <row r="134" spans="2:16" ht="28.5" customHeight="1" x14ac:dyDescent="0.2">
      <c r="B134" s="1267" t="str">
        <f>"per 31/12/"&amp;$K$13</f>
        <v>per 31/12/2021</v>
      </c>
      <c r="C134" s="1268"/>
      <c r="D134" s="1268"/>
      <c r="E134" s="1269"/>
      <c r="F134" s="168"/>
      <c r="G134" s="255">
        <f>+G133+G53</f>
        <v>0</v>
      </c>
      <c r="H134" s="255">
        <f>+H133+H53</f>
        <v>0</v>
      </c>
      <c r="I134" s="255">
        <f>+I133+I53</f>
        <v>0</v>
      </c>
      <c r="J134" s="255">
        <f>+J133+J53</f>
        <v>0</v>
      </c>
      <c r="K134" s="255"/>
      <c r="L134" s="565"/>
      <c r="M134" s="565"/>
      <c r="N134" s="565"/>
      <c r="P134" s="991">
        <f t="shared" si="15"/>
        <v>0</v>
      </c>
    </row>
    <row r="135" spans="2:16" ht="28.5" customHeight="1" x14ac:dyDescent="0.2">
      <c r="B135" s="1270" t="str">
        <f>"per 31/12/"&amp;$L$13</f>
        <v>per 31/12/2022</v>
      </c>
      <c r="C135" s="1271"/>
      <c r="D135" s="1271"/>
      <c r="E135" s="1272"/>
      <c r="F135" s="314"/>
      <c r="G135" s="565">
        <f>+G134+G54</f>
        <v>0</v>
      </c>
      <c r="H135" s="565">
        <f>+H134+H54</f>
        <v>0</v>
      </c>
      <c r="I135" s="565">
        <f>+I134+I54</f>
        <v>0</v>
      </c>
      <c r="J135" s="565">
        <f>+J134+J54</f>
        <v>0</v>
      </c>
      <c r="K135" s="565"/>
      <c r="L135" s="565"/>
      <c r="M135" s="565"/>
      <c r="N135" s="565"/>
      <c r="O135" s="845"/>
      <c r="P135" s="994">
        <f t="shared" si="15"/>
        <v>0</v>
      </c>
    </row>
    <row r="136" spans="2:16" ht="28.5" customHeight="1" x14ac:dyDescent="0.2">
      <c r="B136" s="1270" t="str">
        <f>"per 31/12/"&amp;$M$13</f>
        <v>per 31/12/2023</v>
      </c>
      <c r="C136" s="1271"/>
      <c r="D136" s="1271"/>
      <c r="E136" s="1272"/>
      <c r="F136" s="314"/>
      <c r="G136" s="565"/>
      <c r="H136" s="565"/>
      <c r="I136" s="565"/>
      <c r="J136" s="565"/>
      <c r="K136" s="565"/>
      <c r="L136" s="565"/>
      <c r="M136" s="565"/>
      <c r="N136" s="565"/>
      <c r="O136" s="845"/>
      <c r="P136" s="994"/>
    </row>
    <row r="137" spans="2:16" ht="28.5" customHeight="1" x14ac:dyDescent="0.2">
      <c r="B137" s="1270" t="str">
        <f>"per 31/12/"&amp;$N$13</f>
        <v>per 31/12/2024</v>
      </c>
      <c r="C137" s="1271"/>
      <c r="D137" s="1271"/>
      <c r="E137" s="1272"/>
      <c r="F137" s="314"/>
      <c r="G137" s="565"/>
      <c r="H137" s="565"/>
      <c r="I137" s="565"/>
      <c r="J137" s="565"/>
      <c r="K137" s="565"/>
      <c r="L137" s="565"/>
      <c r="M137" s="565"/>
      <c r="N137" s="565"/>
      <c r="O137" s="845"/>
      <c r="P137" s="994"/>
    </row>
    <row r="138" spans="2:16" ht="30" customHeight="1" x14ac:dyDescent="0.2">
      <c r="B138" s="1282" t="s">
        <v>67</v>
      </c>
      <c r="C138" s="1283"/>
      <c r="D138" s="1283"/>
      <c r="E138" s="1284"/>
      <c r="F138" s="168"/>
      <c r="G138" s="992"/>
      <c r="H138" s="992"/>
      <c r="I138" s="992"/>
      <c r="J138" s="992"/>
      <c r="K138" s="992"/>
      <c r="L138" s="993"/>
      <c r="M138" s="993"/>
      <c r="N138" s="993"/>
      <c r="P138" s="992"/>
    </row>
    <row r="139" spans="2:16" ht="28.5" customHeight="1" x14ac:dyDescent="0.2">
      <c r="B139" s="1267" t="str">
        <f>"per 31/12/"&amp;$G$13</f>
        <v>per 31/12/2017</v>
      </c>
      <c r="C139" s="1268"/>
      <c r="D139" s="1268"/>
      <c r="E139" s="1269"/>
      <c r="F139" s="168"/>
      <c r="G139" s="1030">
        <f>+G$18+G58</f>
        <v>0</v>
      </c>
      <c r="H139" s="255"/>
      <c r="I139" s="255"/>
      <c r="J139" s="255"/>
      <c r="K139" s="255"/>
      <c r="L139" s="565"/>
      <c r="M139" s="565"/>
      <c r="N139" s="565"/>
      <c r="P139" s="991">
        <f>SUM(G139:N139)</f>
        <v>0</v>
      </c>
    </row>
    <row r="140" spans="2:16" ht="28.5" customHeight="1" x14ac:dyDescent="0.2">
      <c r="B140" s="1267" t="str">
        <f>"per 31/12/"&amp;$H$13</f>
        <v>per 31/12/2018</v>
      </c>
      <c r="C140" s="1268"/>
      <c r="D140" s="1268"/>
      <c r="E140" s="1269"/>
      <c r="F140" s="168"/>
      <c r="G140" s="255">
        <f>+G139+G59</f>
        <v>0</v>
      </c>
      <c r="H140" s="255">
        <f>+H$18+H59</f>
        <v>0</v>
      </c>
      <c r="I140" s="255"/>
      <c r="J140" s="255"/>
      <c r="K140" s="255"/>
      <c r="L140" s="565"/>
      <c r="M140" s="565"/>
      <c r="N140" s="565"/>
      <c r="P140" s="991">
        <f t="shared" ref="P140:P146" si="16">SUM(G140:N140)</f>
        <v>0</v>
      </c>
    </row>
    <row r="141" spans="2:16" ht="28.5" customHeight="1" x14ac:dyDescent="0.2">
      <c r="B141" s="1267" t="str">
        <f>"per 31/12/"&amp;$I$13</f>
        <v>per 31/12/2019</v>
      </c>
      <c r="C141" s="1268"/>
      <c r="D141" s="1268"/>
      <c r="E141" s="1269"/>
      <c r="F141" s="168"/>
      <c r="G141" s="255">
        <f>+G140+G60</f>
        <v>0</v>
      </c>
      <c r="H141" s="255">
        <f>+H140+H60</f>
        <v>0</v>
      </c>
      <c r="I141" s="255">
        <f>+I$18+I60</f>
        <v>0</v>
      </c>
      <c r="J141" s="255"/>
      <c r="K141" s="255"/>
      <c r="L141" s="565"/>
      <c r="M141" s="565"/>
      <c r="N141" s="565"/>
      <c r="P141" s="991">
        <f t="shared" si="16"/>
        <v>0</v>
      </c>
    </row>
    <row r="142" spans="2:16" ht="28.5" customHeight="1" x14ac:dyDescent="0.2">
      <c r="B142" s="1267" t="str">
        <f>"per 31/12/"&amp;$J$13</f>
        <v>per 31/12/2020</v>
      </c>
      <c r="C142" s="1268"/>
      <c r="D142" s="1268"/>
      <c r="E142" s="1269"/>
      <c r="F142" s="168"/>
      <c r="G142" s="255">
        <f>+G141+G61</f>
        <v>0</v>
      </c>
      <c r="H142" s="255">
        <f>+H141+H61</f>
        <v>0</v>
      </c>
      <c r="I142" s="255">
        <f>+I141+I61</f>
        <v>0</v>
      </c>
      <c r="J142" s="255">
        <f>+J$18+J61</f>
        <v>0</v>
      </c>
      <c r="K142" s="255"/>
      <c r="L142" s="565"/>
      <c r="M142" s="565"/>
      <c r="N142" s="565"/>
      <c r="P142" s="991">
        <f t="shared" si="16"/>
        <v>0</v>
      </c>
    </row>
    <row r="143" spans="2:16" ht="28.5" customHeight="1" x14ac:dyDescent="0.2">
      <c r="B143" s="1267" t="str">
        <f>"per 31/12/"&amp;$K$13</f>
        <v>per 31/12/2021</v>
      </c>
      <c r="C143" s="1268"/>
      <c r="D143" s="1268"/>
      <c r="E143" s="1269"/>
      <c r="F143" s="168"/>
      <c r="G143" s="255">
        <f>+G142+G62</f>
        <v>0</v>
      </c>
      <c r="H143" s="255">
        <f>+H142+H62</f>
        <v>0</v>
      </c>
      <c r="I143" s="255">
        <f>+I142+I62</f>
        <v>0</v>
      </c>
      <c r="J143" s="255">
        <f>+J142+J62</f>
        <v>0</v>
      </c>
      <c r="K143" s="255">
        <f>+K$18+K62</f>
        <v>0</v>
      </c>
      <c r="L143" s="565"/>
      <c r="M143" s="565"/>
      <c r="N143" s="565"/>
      <c r="P143" s="991">
        <f t="shared" si="16"/>
        <v>0</v>
      </c>
    </row>
    <row r="144" spans="2:16" ht="28.5" customHeight="1" x14ac:dyDescent="0.2">
      <c r="B144" s="1270" t="str">
        <f>"per 31/12/"&amp;$L$13</f>
        <v>per 31/12/2022</v>
      </c>
      <c r="C144" s="1271"/>
      <c r="D144" s="1271"/>
      <c r="E144" s="1272"/>
      <c r="F144" s="314"/>
      <c r="G144" s="565">
        <f>+G143+G63</f>
        <v>0</v>
      </c>
      <c r="H144" s="565">
        <f>+H143+H63</f>
        <v>0</v>
      </c>
      <c r="I144" s="565">
        <f>+I143+I63</f>
        <v>0</v>
      </c>
      <c r="J144" s="565">
        <f>+J143+J63</f>
        <v>0</v>
      </c>
      <c r="K144" s="565">
        <f>+K143+K63</f>
        <v>0</v>
      </c>
      <c r="L144" s="565">
        <f>+L$18+L63</f>
        <v>0</v>
      </c>
      <c r="M144" s="565"/>
      <c r="N144" s="565"/>
      <c r="O144" s="845"/>
      <c r="P144" s="994">
        <f t="shared" si="16"/>
        <v>0</v>
      </c>
    </row>
    <row r="145" spans="2:16" ht="28.5" customHeight="1" x14ac:dyDescent="0.2">
      <c r="B145" s="1270" t="str">
        <f>"per 31/12/"&amp;$M$13</f>
        <v>per 31/12/2023</v>
      </c>
      <c r="C145" s="1271"/>
      <c r="D145" s="1271"/>
      <c r="E145" s="1272"/>
      <c r="F145" s="314"/>
      <c r="G145" s="565"/>
      <c r="H145" s="565"/>
      <c r="I145" s="565"/>
      <c r="J145" s="565"/>
      <c r="K145" s="565">
        <f>+K144+K64</f>
        <v>0</v>
      </c>
      <c r="L145" s="565">
        <f>+L144+L64</f>
        <v>0</v>
      </c>
      <c r="M145" s="565">
        <f>+M$18+M64</f>
        <v>0</v>
      </c>
      <c r="N145" s="565"/>
      <c r="O145" s="845"/>
      <c r="P145" s="994">
        <f t="shared" si="16"/>
        <v>0</v>
      </c>
    </row>
    <row r="146" spans="2:16" ht="28.5" customHeight="1" x14ac:dyDescent="0.2">
      <c r="B146" s="1270" t="str">
        <f>"per 31/12/"&amp;$N$13</f>
        <v>per 31/12/2024</v>
      </c>
      <c r="C146" s="1271"/>
      <c r="D146" s="1271"/>
      <c r="E146" s="1272"/>
      <c r="F146" s="314"/>
      <c r="G146" s="565"/>
      <c r="H146" s="565"/>
      <c r="I146" s="565"/>
      <c r="J146" s="565"/>
      <c r="K146" s="565"/>
      <c r="L146" s="565">
        <f>+L145+L65</f>
        <v>0</v>
      </c>
      <c r="M146" s="565">
        <f>+M145+M65</f>
        <v>0</v>
      </c>
      <c r="N146" s="565">
        <f>+N$18+N65</f>
        <v>0</v>
      </c>
      <c r="O146" s="845"/>
      <c r="P146" s="994">
        <f t="shared" si="16"/>
        <v>0</v>
      </c>
    </row>
    <row r="147" spans="2:16" ht="27" customHeight="1" x14ac:dyDescent="0.2">
      <c r="B147" s="1285" t="s">
        <v>119</v>
      </c>
      <c r="C147" s="1285"/>
      <c r="D147" s="1285"/>
      <c r="E147" s="1285"/>
      <c r="F147" s="168"/>
      <c r="G147" s="992"/>
      <c r="H147" s="992"/>
      <c r="I147" s="992"/>
      <c r="J147" s="992"/>
      <c r="K147" s="992"/>
      <c r="L147" s="993"/>
      <c r="M147" s="993"/>
      <c r="N147" s="993"/>
      <c r="P147" s="992"/>
    </row>
    <row r="148" spans="2:16" ht="28.5" customHeight="1" x14ac:dyDescent="0.2">
      <c r="B148" s="1267" t="str">
        <f>"per 31/12/"&amp;$G$13</f>
        <v>per 31/12/2017</v>
      </c>
      <c r="C148" s="1268"/>
      <c r="D148" s="1268"/>
      <c r="E148" s="1269"/>
      <c r="F148" s="168"/>
      <c r="G148" s="1030">
        <f>+G$19+G67</f>
        <v>0</v>
      </c>
      <c r="H148" s="255"/>
      <c r="I148" s="255"/>
      <c r="J148" s="255"/>
      <c r="K148" s="255"/>
      <c r="L148" s="565"/>
      <c r="M148" s="565"/>
      <c r="N148" s="565"/>
      <c r="P148" s="991">
        <f>SUM(G148:N148)</f>
        <v>0</v>
      </c>
    </row>
    <row r="149" spans="2:16" ht="28.5" customHeight="1" x14ac:dyDescent="0.2">
      <c r="B149" s="1267" t="str">
        <f>"per 31/12/"&amp;$H$13</f>
        <v>per 31/12/2018</v>
      </c>
      <c r="C149" s="1268"/>
      <c r="D149" s="1268"/>
      <c r="E149" s="1269"/>
      <c r="F149" s="168"/>
      <c r="G149" s="255">
        <f>+G148+G68</f>
        <v>0</v>
      </c>
      <c r="H149" s="255">
        <f>+H$19+H68</f>
        <v>0</v>
      </c>
      <c r="I149" s="255"/>
      <c r="J149" s="255"/>
      <c r="K149" s="255"/>
      <c r="L149" s="565"/>
      <c r="M149" s="565"/>
      <c r="N149" s="565"/>
      <c r="P149" s="991">
        <f t="shared" ref="P149:P153" si="17">SUM(G149:N149)</f>
        <v>0</v>
      </c>
    </row>
    <row r="150" spans="2:16" ht="28.5" customHeight="1" x14ac:dyDescent="0.2">
      <c r="B150" s="1267" t="str">
        <f>"per 31/12/"&amp;$I$13</f>
        <v>per 31/12/2019</v>
      </c>
      <c r="C150" s="1268"/>
      <c r="D150" s="1268"/>
      <c r="E150" s="1269"/>
      <c r="F150" s="168"/>
      <c r="G150" s="255">
        <f>+G149+G69</f>
        <v>0</v>
      </c>
      <c r="H150" s="255">
        <f>+H149+H69</f>
        <v>0</v>
      </c>
      <c r="I150" s="255">
        <f>+I$19+I69</f>
        <v>0</v>
      </c>
      <c r="J150" s="255"/>
      <c r="K150" s="255"/>
      <c r="L150" s="565"/>
      <c r="M150" s="565"/>
      <c r="N150" s="565"/>
      <c r="P150" s="991">
        <f t="shared" si="17"/>
        <v>0</v>
      </c>
    </row>
    <row r="151" spans="2:16" ht="28.5" customHeight="1" x14ac:dyDescent="0.2">
      <c r="B151" s="1267" t="str">
        <f>"per 31/12/"&amp;$J$13</f>
        <v>per 31/12/2020</v>
      </c>
      <c r="C151" s="1268"/>
      <c r="D151" s="1268"/>
      <c r="E151" s="1269"/>
      <c r="F151" s="168"/>
      <c r="G151" s="255">
        <f>+G150+G70</f>
        <v>0</v>
      </c>
      <c r="H151" s="255">
        <f>+H150+H70</f>
        <v>0</v>
      </c>
      <c r="I151" s="255">
        <f>+I150+I70</f>
        <v>0</v>
      </c>
      <c r="J151" s="255">
        <f>+J$19+J70</f>
        <v>0</v>
      </c>
      <c r="K151" s="255"/>
      <c r="L151" s="565"/>
      <c r="M151" s="565"/>
      <c r="N151" s="565"/>
      <c r="P151" s="991">
        <f t="shared" si="17"/>
        <v>0</v>
      </c>
    </row>
    <row r="152" spans="2:16" ht="28.5" customHeight="1" x14ac:dyDescent="0.2">
      <c r="B152" s="1267" t="str">
        <f>"per 31/12/"&amp;$K$13</f>
        <v>per 31/12/2021</v>
      </c>
      <c r="C152" s="1268"/>
      <c r="D152" s="1268"/>
      <c r="E152" s="1269"/>
      <c r="F152" s="168"/>
      <c r="G152" s="255">
        <f>+G151+G71</f>
        <v>0</v>
      </c>
      <c r="H152" s="255">
        <f>+H151+H71</f>
        <v>0</v>
      </c>
      <c r="I152" s="255">
        <f>+I151+I71</f>
        <v>0</v>
      </c>
      <c r="J152" s="255">
        <f>+J151+J71</f>
        <v>0</v>
      </c>
      <c r="K152" s="255"/>
      <c r="L152" s="565"/>
      <c r="M152" s="565"/>
      <c r="N152" s="565"/>
      <c r="P152" s="991">
        <f t="shared" si="17"/>
        <v>0</v>
      </c>
    </row>
    <row r="153" spans="2:16" ht="28.5" customHeight="1" x14ac:dyDescent="0.2">
      <c r="B153" s="1270" t="str">
        <f>"per 31/12/"&amp;$L$13</f>
        <v>per 31/12/2022</v>
      </c>
      <c r="C153" s="1271"/>
      <c r="D153" s="1271"/>
      <c r="E153" s="1272"/>
      <c r="F153" s="314"/>
      <c r="G153" s="565">
        <f>+G152+G72</f>
        <v>0</v>
      </c>
      <c r="H153" s="565">
        <f>+H152+H72</f>
        <v>0</v>
      </c>
      <c r="I153" s="565">
        <f>+I152+I72</f>
        <v>0</v>
      </c>
      <c r="J153" s="565">
        <f>+J152+J72</f>
        <v>0</v>
      </c>
      <c r="K153" s="565"/>
      <c r="L153" s="565"/>
      <c r="M153" s="565"/>
      <c r="N153" s="565"/>
      <c r="O153" s="845"/>
      <c r="P153" s="994">
        <f t="shared" si="17"/>
        <v>0</v>
      </c>
    </row>
    <row r="154" spans="2:16" ht="28.5" customHeight="1" x14ac:dyDescent="0.2">
      <c r="B154" s="1270" t="str">
        <f>"per 31/12/"&amp;$M$13</f>
        <v>per 31/12/2023</v>
      </c>
      <c r="C154" s="1271"/>
      <c r="D154" s="1271"/>
      <c r="E154" s="1272"/>
      <c r="F154" s="314"/>
      <c r="G154" s="565"/>
      <c r="H154" s="565"/>
      <c r="I154" s="565"/>
      <c r="J154" s="565"/>
      <c r="K154" s="565"/>
      <c r="L154" s="565"/>
      <c r="M154" s="565"/>
      <c r="N154" s="565"/>
      <c r="O154" s="845"/>
      <c r="P154" s="994"/>
    </row>
    <row r="155" spans="2:16" ht="28.5" customHeight="1" x14ac:dyDescent="0.2">
      <c r="B155" s="1270" t="str">
        <f>"per 31/12/"&amp;$N$13</f>
        <v>per 31/12/2024</v>
      </c>
      <c r="C155" s="1271"/>
      <c r="D155" s="1271"/>
      <c r="E155" s="1272"/>
      <c r="F155" s="314"/>
      <c r="G155" s="565"/>
      <c r="H155" s="565"/>
      <c r="I155" s="565"/>
      <c r="J155" s="565"/>
      <c r="K155" s="565"/>
      <c r="L155" s="565"/>
      <c r="M155" s="565"/>
      <c r="N155" s="565"/>
      <c r="O155" s="845"/>
      <c r="P155" s="994"/>
    </row>
    <row r="156" spans="2:16" ht="26.25" customHeight="1" x14ac:dyDescent="0.2">
      <c r="B156" s="1282" t="s">
        <v>118</v>
      </c>
      <c r="C156" s="1283"/>
      <c r="D156" s="1283"/>
      <c r="E156" s="1284"/>
      <c r="F156" s="168"/>
      <c r="G156" s="992"/>
      <c r="H156" s="992"/>
      <c r="I156" s="992"/>
      <c r="J156" s="992"/>
      <c r="K156" s="992"/>
      <c r="L156" s="993"/>
      <c r="M156" s="993"/>
      <c r="N156" s="993"/>
      <c r="P156" s="992"/>
    </row>
    <row r="157" spans="2:16" ht="28.5" customHeight="1" x14ac:dyDescent="0.2">
      <c r="B157" s="1267" t="str">
        <f>"per 31/12/"&amp;$G$13</f>
        <v>per 31/12/2017</v>
      </c>
      <c r="C157" s="1268"/>
      <c r="D157" s="1268"/>
      <c r="E157" s="1269"/>
      <c r="F157" s="168"/>
      <c r="G157" s="1030">
        <f>+G$20+G76</f>
        <v>0</v>
      </c>
      <c r="H157" s="255"/>
      <c r="I157" s="255"/>
      <c r="J157" s="255"/>
      <c r="K157" s="255"/>
      <c r="L157" s="565"/>
      <c r="M157" s="565"/>
      <c r="N157" s="565"/>
      <c r="P157" s="991">
        <f t="shared" ref="P157:P164" si="18">SUM(G157:N157)</f>
        <v>0</v>
      </c>
    </row>
    <row r="158" spans="2:16" ht="28.5" customHeight="1" x14ac:dyDescent="0.2">
      <c r="B158" s="1267" t="str">
        <f>"per 31/12/"&amp;$H$13</f>
        <v>per 31/12/2018</v>
      </c>
      <c r="C158" s="1268"/>
      <c r="D158" s="1268"/>
      <c r="E158" s="1269"/>
      <c r="F158" s="168"/>
      <c r="G158" s="255">
        <f>+G157+G77</f>
        <v>0</v>
      </c>
      <c r="H158" s="255">
        <f>+H$20+H77</f>
        <v>0</v>
      </c>
      <c r="I158" s="255"/>
      <c r="J158" s="255"/>
      <c r="K158" s="255"/>
      <c r="L158" s="565"/>
      <c r="M158" s="565"/>
      <c r="N158" s="565"/>
      <c r="P158" s="991">
        <f t="shared" si="18"/>
        <v>0</v>
      </c>
    </row>
    <row r="159" spans="2:16" ht="28.5" customHeight="1" x14ac:dyDescent="0.2">
      <c r="B159" s="1267" t="str">
        <f>"per 31/12/"&amp;$I$13</f>
        <v>per 31/12/2019</v>
      </c>
      <c r="C159" s="1268"/>
      <c r="D159" s="1268"/>
      <c r="E159" s="1269"/>
      <c r="F159" s="168"/>
      <c r="G159" s="255">
        <f>+G158+G78</f>
        <v>0</v>
      </c>
      <c r="H159" s="255">
        <f>+H158+H78</f>
        <v>0</v>
      </c>
      <c r="I159" s="255">
        <f>+I$20+I78</f>
        <v>0</v>
      </c>
      <c r="J159" s="255"/>
      <c r="K159" s="255"/>
      <c r="L159" s="565"/>
      <c r="M159" s="565"/>
      <c r="N159" s="565"/>
      <c r="P159" s="991">
        <f t="shared" si="18"/>
        <v>0</v>
      </c>
    </row>
    <row r="160" spans="2:16" ht="28.5" customHeight="1" x14ac:dyDescent="0.2">
      <c r="B160" s="1267" t="str">
        <f>"per 31/12/"&amp;$J$13</f>
        <v>per 31/12/2020</v>
      </c>
      <c r="C160" s="1268"/>
      <c r="D160" s="1268"/>
      <c r="E160" s="1269"/>
      <c r="F160" s="168"/>
      <c r="G160" s="255">
        <f>+G159+G79</f>
        <v>0</v>
      </c>
      <c r="H160" s="255">
        <f>+H159+H79</f>
        <v>0</v>
      </c>
      <c r="I160" s="255">
        <f>+I159+I79</f>
        <v>0</v>
      </c>
      <c r="J160" s="255">
        <f>+J$20+J79</f>
        <v>0</v>
      </c>
      <c r="K160" s="255"/>
      <c r="L160" s="565"/>
      <c r="M160" s="565"/>
      <c r="N160" s="565"/>
      <c r="P160" s="991">
        <f t="shared" si="18"/>
        <v>0</v>
      </c>
    </row>
    <row r="161" spans="2:16" ht="28.5" customHeight="1" x14ac:dyDescent="0.2">
      <c r="B161" s="1267" t="str">
        <f>"per 31/12/"&amp;$K$13</f>
        <v>per 31/12/2021</v>
      </c>
      <c r="C161" s="1268"/>
      <c r="D161" s="1268"/>
      <c r="E161" s="1269"/>
      <c r="F161" s="168"/>
      <c r="G161" s="255">
        <f>+G160+G80</f>
        <v>0</v>
      </c>
      <c r="H161" s="255">
        <f>+H160+H80</f>
        <v>0</v>
      </c>
      <c r="I161" s="255">
        <f>+I160+I80</f>
        <v>0</v>
      </c>
      <c r="J161" s="255">
        <f>+J160+J80</f>
        <v>0</v>
      </c>
      <c r="K161" s="255">
        <f>+K$20+K80</f>
        <v>0</v>
      </c>
      <c r="L161" s="565"/>
      <c r="M161" s="565"/>
      <c r="N161" s="565"/>
      <c r="P161" s="991">
        <f t="shared" si="18"/>
        <v>0</v>
      </c>
    </row>
    <row r="162" spans="2:16" ht="28.5" customHeight="1" x14ac:dyDescent="0.2">
      <c r="B162" s="1270" t="str">
        <f>"per 31/12/"&amp;$L$13</f>
        <v>per 31/12/2022</v>
      </c>
      <c r="C162" s="1271"/>
      <c r="D162" s="1271"/>
      <c r="E162" s="1272"/>
      <c r="F162" s="314"/>
      <c r="G162" s="565">
        <f>+G161+G81</f>
        <v>0</v>
      </c>
      <c r="H162" s="565">
        <f>+H161+H81</f>
        <v>0</v>
      </c>
      <c r="I162" s="565">
        <f>+I161+I81</f>
        <v>0</v>
      </c>
      <c r="J162" s="565">
        <f>+J161+J81</f>
        <v>0</v>
      </c>
      <c r="K162" s="565">
        <f>+K161+K81</f>
        <v>0</v>
      </c>
      <c r="L162" s="565">
        <f>+L$20+L81</f>
        <v>0</v>
      </c>
      <c r="M162" s="565"/>
      <c r="N162" s="565"/>
      <c r="O162" s="845"/>
      <c r="P162" s="994">
        <f t="shared" si="18"/>
        <v>0</v>
      </c>
    </row>
    <row r="163" spans="2:16" ht="28.5" customHeight="1" x14ac:dyDescent="0.2">
      <c r="B163" s="1270" t="str">
        <f>"per 31/12/"&amp;$M$13</f>
        <v>per 31/12/2023</v>
      </c>
      <c r="C163" s="1271"/>
      <c r="D163" s="1271"/>
      <c r="E163" s="1272"/>
      <c r="F163" s="314"/>
      <c r="G163" s="565"/>
      <c r="H163" s="565"/>
      <c r="I163" s="565"/>
      <c r="J163" s="565"/>
      <c r="K163" s="565">
        <f>+K162+K82</f>
        <v>0</v>
      </c>
      <c r="L163" s="565">
        <f>+L162+L82</f>
        <v>0</v>
      </c>
      <c r="M163" s="565">
        <f>+M$20+M82</f>
        <v>0</v>
      </c>
      <c r="N163" s="565"/>
      <c r="O163" s="845"/>
      <c r="P163" s="994">
        <f t="shared" si="18"/>
        <v>0</v>
      </c>
    </row>
    <row r="164" spans="2:16" ht="28.5" customHeight="1" x14ac:dyDescent="0.2">
      <c r="B164" s="1270" t="str">
        <f>"per 31/12/"&amp;$N$13</f>
        <v>per 31/12/2024</v>
      </c>
      <c r="C164" s="1271"/>
      <c r="D164" s="1271"/>
      <c r="E164" s="1272"/>
      <c r="F164" s="314"/>
      <c r="G164" s="565"/>
      <c r="H164" s="565"/>
      <c r="I164" s="565"/>
      <c r="J164" s="565"/>
      <c r="K164" s="565"/>
      <c r="L164" s="565">
        <f>+L163+L83</f>
        <v>0</v>
      </c>
      <c r="M164" s="565">
        <f>+M163+M83</f>
        <v>0</v>
      </c>
      <c r="N164" s="565">
        <f>+N$20+N83</f>
        <v>0</v>
      </c>
      <c r="O164" s="845"/>
      <c r="P164" s="994">
        <f t="shared" si="18"/>
        <v>0</v>
      </c>
    </row>
    <row r="165" spans="2:16" ht="33" customHeight="1" x14ac:dyDescent="0.2">
      <c r="B165" s="1282" t="s">
        <v>68</v>
      </c>
      <c r="C165" s="1283"/>
      <c r="D165" s="1283"/>
      <c r="E165" s="1284"/>
      <c r="F165" s="168"/>
      <c r="G165" s="992"/>
      <c r="H165" s="992"/>
      <c r="I165" s="992"/>
      <c r="J165" s="992"/>
      <c r="K165" s="992"/>
      <c r="L165" s="993"/>
      <c r="M165" s="993"/>
      <c r="N165" s="993"/>
      <c r="P165" s="992"/>
    </row>
    <row r="166" spans="2:16" ht="28.5" customHeight="1" x14ac:dyDescent="0.2">
      <c r="B166" s="1267" t="str">
        <f>"per 31/12/"&amp;$G$13</f>
        <v>per 31/12/2017</v>
      </c>
      <c r="C166" s="1268"/>
      <c r="D166" s="1268"/>
      <c r="E166" s="1269"/>
      <c r="F166" s="168"/>
      <c r="G166" s="1030">
        <f>+G$21+G85</f>
        <v>0</v>
      </c>
      <c r="H166" s="255"/>
      <c r="I166" s="255"/>
      <c r="J166" s="255"/>
      <c r="K166" s="255"/>
      <c r="L166" s="565"/>
      <c r="M166" s="565"/>
      <c r="N166" s="565"/>
      <c r="P166" s="991">
        <f t="shared" ref="P166:P173" si="19">SUM(G166:N166)</f>
        <v>0</v>
      </c>
    </row>
    <row r="167" spans="2:16" ht="28.5" customHeight="1" x14ac:dyDescent="0.2">
      <c r="B167" s="1267" t="str">
        <f>"per 31/12/"&amp;$H$13</f>
        <v>per 31/12/2018</v>
      </c>
      <c r="C167" s="1268"/>
      <c r="D167" s="1268"/>
      <c r="E167" s="1269"/>
      <c r="F167" s="168"/>
      <c r="G167" s="255">
        <f>+G166+G86</f>
        <v>0</v>
      </c>
      <c r="H167" s="255">
        <f>+H$21+H86</f>
        <v>0</v>
      </c>
      <c r="I167" s="255"/>
      <c r="J167" s="255"/>
      <c r="K167" s="255"/>
      <c r="L167" s="565"/>
      <c r="M167" s="565"/>
      <c r="N167" s="565"/>
      <c r="P167" s="991">
        <f t="shared" si="19"/>
        <v>0</v>
      </c>
    </row>
    <row r="168" spans="2:16" ht="28.5" customHeight="1" x14ac:dyDescent="0.2">
      <c r="B168" s="1267" t="str">
        <f>"per 31/12/"&amp;$I$13</f>
        <v>per 31/12/2019</v>
      </c>
      <c r="C168" s="1268"/>
      <c r="D168" s="1268"/>
      <c r="E168" s="1269"/>
      <c r="F168" s="168"/>
      <c r="G168" s="255">
        <f>+G167+G87</f>
        <v>0</v>
      </c>
      <c r="H168" s="255">
        <f>+H167+H87</f>
        <v>0</v>
      </c>
      <c r="I168" s="255">
        <f>+I$21+I87</f>
        <v>0</v>
      </c>
      <c r="J168" s="255"/>
      <c r="K168" s="255"/>
      <c r="L168" s="565"/>
      <c r="M168" s="565"/>
      <c r="N168" s="565"/>
      <c r="P168" s="991">
        <f t="shared" si="19"/>
        <v>0</v>
      </c>
    </row>
    <row r="169" spans="2:16" ht="28.5" customHeight="1" x14ac:dyDescent="0.2">
      <c r="B169" s="1267" t="str">
        <f>"per 31/12/"&amp;$J$13</f>
        <v>per 31/12/2020</v>
      </c>
      <c r="C169" s="1268"/>
      <c r="D169" s="1268"/>
      <c r="E169" s="1269"/>
      <c r="F169" s="168"/>
      <c r="G169" s="255">
        <f>+G168+G88</f>
        <v>0</v>
      </c>
      <c r="H169" s="255">
        <f>+H168+H88</f>
        <v>0</v>
      </c>
      <c r="I169" s="255">
        <f>+I168+I88</f>
        <v>0</v>
      </c>
      <c r="J169" s="255">
        <f>+J$21+J88</f>
        <v>0</v>
      </c>
      <c r="K169" s="255"/>
      <c r="L169" s="565"/>
      <c r="M169" s="565"/>
      <c r="N169" s="565"/>
      <c r="P169" s="991">
        <f t="shared" si="19"/>
        <v>0</v>
      </c>
    </row>
    <row r="170" spans="2:16" ht="28.5" customHeight="1" x14ac:dyDescent="0.2">
      <c r="B170" s="1267" t="str">
        <f>"per 31/12/"&amp;$K$13</f>
        <v>per 31/12/2021</v>
      </c>
      <c r="C170" s="1268"/>
      <c r="D170" s="1268"/>
      <c r="E170" s="1269"/>
      <c r="F170" s="168"/>
      <c r="G170" s="255">
        <f>+G169+G89</f>
        <v>0</v>
      </c>
      <c r="H170" s="255">
        <f>+H169+H89</f>
        <v>0</v>
      </c>
      <c r="I170" s="255">
        <f>+I169+I89</f>
        <v>0</v>
      </c>
      <c r="J170" s="255">
        <f>+J169+J89</f>
        <v>0</v>
      </c>
      <c r="K170" s="255">
        <f>+K$21+K89</f>
        <v>0</v>
      </c>
      <c r="L170" s="565"/>
      <c r="M170" s="565"/>
      <c r="N170" s="565"/>
      <c r="P170" s="991">
        <f t="shared" si="19"/>
        <v>0</v>
      </c>
    </row>
    <row r="171" spans="2:16" ht="28.5" customHeight="1" x14ac:dyDescent="0.2">
      <c r="B171" s="1270" t="str">
        <f>"per 31/12/"&amp;$L$13</f>
        <v>per 31/12/2022</v>
      </c>
      <c r="C171" s="1271"/>
      <c r="D171" s="1271"/>
      <c r="E171" s="1272"/>
      <c r="F171" s="314"/>
      <c r="G171" s="565">
        <f>+G170+G90</f>
        <v>0</v>
      </c>
      <c r="H171" s="565">
        <f>+H170+H90</f>
        <v>0</v>
      </c>
      <c r="I171" s="565">
        <f>+I170+I90</f>
        <v>0</v>
      </c>
      <c r="J171" s="565">
        <f>+J170+J90</f>
        <v>0</v>
      </c>
      <c r="K171" s="565">
        <f>+K170+K90</f>
        <v>0</v>
      </c>
      <c r="L171" s="565">
        <f>+L$21+L90</f>
        <v>0</v>
      </c>
      <c r="M171" s="565"/>
      <c r="N171" s="565"/>
      <c r="O171" s="845"/>
      <c r="P171" s="994">
        <f t="shared" si="19"/>
        <v>0</v>
      </c>
    </row>
    <row r="172" spans="2:16" ht="28.5" customHeight="1" x14ac:dyDescent="0.2">
      <c r="B172" s="1270" t="str">
        <f>"per 31/12/"&amp;$M$13</f>
        <v>per 31/12/2023</v>
      </c>
      <c r="C172" s="1271"/>
      <c r="D172" s="1271"/>
      <c r="E172" s="1272"/>
      <c r="F172" s="314"/>
      <c r="G172" s="565"/>
      <c r="H172" s="565"/>
      <c r="I172" s="565"/>
      <c r="J172" s="565"/>
      <c r="K172" s="565">
        <f>+K171+K91</f>
        <v>0</v>
      </c>
      <c r="L172" s="565">
        <f>+L171+L91</f>
        <v>0</v>
      </c>
      <c r="M172" s="565">
        <f>+M$21+M91</f>
        <v>0</v>
      </c>
      <c r="N172" s="565"/>
      <c r="O172" s="845"/>
      <c r="P172" s="994">
        <f t="shared" si="19"/>
        <v>0</v>
      </c>
    </row>
    <row r="173" spans="2:16" ht="28.5" customHeight="1" x14ac:dyDescent="0.2">
      <c r="B173" s="1270" t="str">
        <f>"per 31/12/"&amp;$N$13</f>
        <v>per 31/12/2024</v>
      </c>
      <c r="C173" s="1271"/>
      <c r="D173" s="1271"/>
      <c r="E173" s="1272"/>
      <c r="F173" s="314"/>
      <c r="G173" s="565"/>
      <c r="H173" s="565"/>
      <c r="I173" s="565"/>
      <c r="J173" s="565"/>
      <c r="K173" s="565"/>
      <c r="L173" s="565">
        <f>+L172+L92</f>
        <v>0</v>
      </c>
      <c r="M173" s="565">
        <f>+M172+M92</f>
        <v>0</v>
      </c>
      <c r="N173" s="565">
        <f>+N$21+N92</f>
        <v>0</v>
      </c>
      <c r="O173" s="845"/>
      <c r="P173" s="994">
        <f t="shared" si="19"/>
        <v>0</v>
      </c>
    </row>
    <row r="174" spans="2:16" x14ac:dyDescent="0.2">
      <c r="G174" s="306"/>
      <c r="H174" s="306"/>
      <c r="I174" s="306"/>
      <c r="J174" s="306"/>
      <c r="K174" s="306"/>
      <c r="L174" s="839"/>
      <c r="M174" s="839"/>
      <c r="N174" s="839"/>
      <c r="P174" s="307"/>
    </row>
    <row r="175" spans="2:16" s="224" customFormat="1" x14ac:dyDescent="0.2">
      <c r="B175" s="315"/>
      <c r="C175" s="316"/>
      <c r="D175" s="316"/>
      <c r="E175" s="317"/>
      <c r="F175" s="283"/>
      <c r="G175" s="166">
        <v>2017</v>
      </c>
      <c r="H175" s="166">
        <f>+G175+1</f>
        <v>2018</v>
      </c>
      <c r="I175" s="166">
        <f>+H175+1</f>
        <v>2019</v>
      </c>
      <c r="J175" s="166">
        <f t="shared" ref="J175:N175" si="20">+I175+1</f>
        <v>2020</v>
      </c>
      <c r="K175" s="166">
        <f t="shared" si="20"/>
        <v>2021</v>
      </c>
      <c r="L175" s="837">
        <f t="shared" si="20"/>
        <v>2022</v>
      </c>
      <c r="M175" s="837">
        <f t="shared" si="20"/>
        <v>2023</v>
      </c>
      <c r="N175" s="837">
        <f t="shared" si="20"/>
        <v>2024</v>
      </c>
      <c r="O175" s="209"/>
      <c r="P175" s="166" t="s">
        <v>20</v>
      </c>
    </row>
    <row r="176" spans="2:16" ht="20.25" customHeight="1" x14ac:dyDescent="0.2">
      <c r="B176" s="1286" t="s">
        <v>158</v>
      </c>
      <c r="C176" s="1287"/>
      <c r="D176" s="1287"/>
      <c r="E176" s="1288"/>
      <c r="F176" s="170"/>
      <c r="G176" s="171"/>
      <c r="H176" s="171"/>
      <c r="I176" s="171"/>
      <c r="J176" s="171"/>
      <c r="K176" s="171"/>
      <c r="L176" s="843"/>
      <c r="M176" s="843"/>
      <c r="N176" s="843"/>
      <c r="P176" s="171"/>
    </row>
    <row r="177" spans="1:16" ht="28.5" customHeight="1" x14ac:dyDescent="0.2">
      <c r="A177" s="209">
        <v>2017</v>
      </c>
      <c r="B177" s="1273" t="str">
        <f>"per 31/12/"&amp;$G$13</f>
        <v>per 31/12/2017</v>
      </c>
      <c r="C177" s="1274"/>
      <c r="D177" s="1274"/>
      <c r="E177" s="1275"/>
      <c r="F177" s="318"/>
      <c r="G177" s="995">
        <f t="shared" ref="G177:G182" si="21">SUMIFS(G$112:G$173,$B$112:$B$173,$B177)</f>
        <v>0</v>
      </c>
      <c r="H177" s="995"/>
      <c r="I177" s="995"/>
      <c r="J177" s="995"/>
      <c r="K177" s="995"/>
      <c r="L177" s="996"/>
      <c r="M177" s="996"/>
      <c r="N177" s="996"/>
      <c r="P177" s="997">
        <f t="shared" ref="P177:P184" si="22">SUMIFS(P$112:P$173,$B$112:$B$173,$B177)</f>
        <v>0</v>
      </c>
    </row>
    <row r="178" spans="1:16" ht="28.5" customHeight="1" x14ac:dyDescent="0.2">
      <c r="A178" s="209">
        <v>2018</v>
      </c>
      <c r="B178" s="1273" t="str">
        <f>"per 31/12/"&amp;$H$13</f>
        <v>per 31/12/2018</v>
      </c>
      <c r="C178" s="1274"/>
      <c r="D178" s="1274"/>
      <c r="E178" s="1275"/>
      <c r="F178" s="318"/>
      <c r="G178" s="995">
        <f t="shared" si="21"/>
        <v>0</v>
      </c>
      <c r="H178" s="995">
        <f>SUMIFS(H$112:H$173,$B$112:$B$173,$B178)</f>
        <v>0</v>
      </c>
      <c r="I178" s="995"/>
      <c r="J178" s="995"/>
      <c r="K178" s="995"/>
      <c r="L178" s="996"/>
      <c r="M178" s="996"/>
      <c r="N178" s="996"/>
      <c r="P178" s="997">
        <f t="shared" si="22"/>
        <v>0</v>
      </c>
    </row>
    <row r="179" spans="1:16" ht="28.5" customHeight="1" x14ac:dyDescent="0.2">
      <c r="A179" s="209">
        <v>2019</v>
      </c>
      <c r="B179" s="1273" t="str">
        <f>"per 31/12/"&amp;$I$13</f>
        <v>per 31/12/2019</v>
      </c>
      <c r="C179" s="1274"/>
      <c r="D179" s="1274"/>
      <c r="E179" s="1275"/>
      <c r="F179" s="318"/>
      <c r="G179" s="995">
        <f t="shared" si="21"/>
        <v>0</v>
      </c>
      <c r="H179" s="995">
        <f>SUMIFS(H$112:H$173,$B$112:$B$173,$B179)</f>
        <v>0</v>
      </c>
      <c r="I179" s="995">
        <f>SUMIFS(I$112:I$173,$B$112:$B$173,$B179)</f>
        <v>0</v>
      </c>
      <c r="J179" s="995"/>
      <c r="K179" s="995"/>
      <c r="L179" s="996"/>
      <c r="M179" s="996"/>
      <c r="N179" s="996"/>
      <c r="P179" s="997">
        <f t="shared" si="22"/>
        <v>0</v>
      </c>
    </row>
    <row r="180" spans="1:16" ht="28.5" customHeight="1" x14ac:dyDescent="0.2">
      <c r="A180" s="209">
        <v>2020</v>
      </c>
      <c r="B180" s="1273" t="str">
        <f>"per 31/12/"&amp;$J$13</f>
        <v>per 31/12/2020</v>
      </c>
      <c r="C180" s="1274"/>
      <c r="D180" s="1274"/>
      <c r="E180" s="1275"/>
      <c r="F180" s="318"/>
      <c r="G180" s="995">
        <f t="shared" si="21"/>
        <v>0</v>
      </c>
      <c r="H180" s="995">
        <f>SUMIFS(H$112:H$173,$B$112:$B$173,$B180)</f>
        <v>0</v>
      </c>
      <c r="I180" s="995">
        <f>SUMIFS(I$112:I$173,$B$112:$B$173,$B180)</f>
        <v>0</v>
      </c>
      <c r="J180" s="995">
        <f>SUMIFS(J$112:J$173,$B$112:$B$173,$B180)</f>
        <v>0</v>
      </c>
      <c r="K180" s="995"/>
      <c r="L180" s="996"/>
      <c r="M180" s="996"/>
      <c r="N180" s="996"/>
      <c r="P180" s="997">
        <f t="shared" si="22"/>
        <v>0</v>
      </c>
    </row>
    <row r="181" spans="1:16" ht="28.5" customHeight="1" x14ac:dyDescent="0.2">
      <c r="A181" s="209">
        <v>2021</v>
      </c>
      <c r="B181" s="1273" t="str">
        <f>"per 31/12/"&amp;$K$13</f>
        <v>per 31/12/2021</v>
      </c>
      <c r="C181" s="1274"/>
      <c r="D181" s="1274"/>
      <c r="E181" s="1275"/>
      <c r="F181" s="318"/>
      <c r="G181" s="995">
        <f t="shared" si="21"/>
        <v>0</v>
      </c>
      <c r="H181" s="995">
        <f>SUMIFS(H$112:H$173,$B$112:$B$173,$B181)</f>
        <v>0</v>
      </c>
      <c r="I181" s="995">
        <f>SUMIFS(I$112:I$173,$B$112:$B$173,$B181)</f>
        <v>0</v>
      </c>
      <c r="J181" s="995">
        <f>SUMIFS(J$112:J$173,$B$112:$B$173,$B181)</f>
        <v>0</v>
      </c>
      <c r="K181" s="995">
        <f>SUMIFS(K$112:K$173,$B$112:$B$173,$B181)</f>
        <v>0</v>
      </c>
      <c r="L181" s="996"/>
      <c r="M181" s="996"/>
      <c r="N181" s="996"/>
      <c r="P181" s="997">
        <f t="shared" si="22"/>
        <v>0</v>
      </c>
    </row>
    <row r="182" spans="1:16" ht="28.5" customHeight="1" x14ac:dyDescent="0.2">
      <c r="A182" s="209">
        <v>2022</v>
      </c>
      <c r="B182" s="1276" t="str">
        <f>"per 31/12/"&amp;$L$13</f>
        <v>per 31/12/2022</v>
      </c>
      <c r="C182" s="1277"/>
      <c r="D182" s="1277"/>
      <c r="E182" s="1278"/>
      <c r="F182" s="846"/>
      <c r="G182" s="996">
        <f t="shared" si="21"/>
        <v>0</v>
      </c>
      <c r="H182" s="996">
        <f>SUMIFS(H$112:H$173,$B$112:$B$173,$B182)</f>
        <v>0</v>
      </c>
      <c r="I182" s="996">
        <f>SUMIFS(I$112:I$173,$B$112:$B$173,$B182)</f>
        <v>0</v>
      </c>
      <c r="J182" s="996">
        <f>SUMIFS(J$112:J$173,$B$112:$B$173,$B182)</f>
        <v>0</v>
      </c>
      <c r="K182" s="996">
        <f>SUMIFS(K$112:K$173,$B$112:$B$173,$B182)</f>
        <v>0</v>
      </c>
      <c r="L182" s="996">
        <f>SUMIFS(L$112:L$173,$B$112:$B$173,$B182)</f>
        <v>0</v>
      </c>
      <c r="M182" s="996"/>
      <c r="N182" s="996"/>
      <c r="O182" s="845"/>
      <c r="P182" s="998">
        <f t="shared" si="22"/>
        <v>0</v>
      </c>
    </row>
    <row r="183" spans="1:16" ht="28.5" customHeight="1" x14ac:dyDescent="0.2">
      <c r="A183" s="209">
        <v>2023</v>
      </c>
      <c r="B183" s="1276" t="str">
        <f>"per 31/12/"&amp;$M$13</f>
        <v>per 31/12/2023</v>
      </c>
      <c r="C183" s="1277"/>
      <c r="D183" s="1277"/>
      <c r="E183" s="1278"/>
      <c r="F183" s="846"/>
      <c r="G183" s="996"/>
      <c r="H183" s="996"/>
      <c r="I183" s="996"/>
      <c r="J183" s="996"/>
      <c r="K183" s="996">
        <f>SUMIFS(K$112:K$173,$B$112:$B$173,$B183)</f>
        <v>0</v>
      </c>
      <c r="L183" s="996">
        <f>SUMIFS(L$112:L$173,$B$112:$B$173,$B183)</f>
        <v>0</v>
      </c>
      <c r="M183" s="996">
        <f>SUMIFS(M$112:M$173,$B$112:$B$173,$B183)</f>
        <v>0</v>
      </c>
      <c r="N183" s="996"/>
      <c r="O183" s="845"/>
      <c r="P183" s="998">
        <f t="shared" si="22"/>
        <v>0</v>
      </c>
    </row>
    <row r="184" spans="1:16" ht="28.5" customHeight="1" x14ac:dyDescent="0.2">
      <c r="A184" s="209">
        <v>2024</v>
      </c>
      <c r="B184" s="1276" t="str">
        <f>"per 31/12/"&amp;$N$13</f>
        <v>per 31/12/2024</v>
      </c>
      <c r="C184" s="1277"/>
      <c r="D184" s="1277"/>
      <c r="E184" s="1278"/>
      <c r="F184" s="846"/>
      <c r="G184" s="996"/>
      <c r="H184" s="996"/>
      <c r="I184" s="996"/>
      <c r="J184" s="996"/>
      <c r="K184" s="996"/>
      <c r="L184" s="996">
        <f>SUMIFS(L$112:L$173,$B$112:$B$173,$B184)</f>
        <v>0</v>
      </c>
      <c r="M184" s="996">
        <f>SUMIFS(M$112:M$173,$B$112:$B$173,$B184)</f>
        <v>0</v>
      </c>
      <c r="N184" s="996">
        <f>SUMIFS(N$112:N$173,$B$112:$B$173,$B184)</f>
        <v>0</v>
      </c>
      <c r="O184" s="845"/>
      <c r="P184" s="998">
        <f t="shared" si="22"/>
        <v>0</v>
      </c>
    </row>
    <row r="185" spans="1:16" s="572" customFormat="1" x14ac:dyDescent="0.2">
      <c r="B185" s="1359" t="s">
        <v>134</v>
      </c>
      <c r="C185" s="1359"/>
      <c r="D185" s="1359"/>
      <c r="E185" s="1359"/>
      <c r="G185" s="573">
        <f>IF($E$2="ex-ante",(INDEX(G$177:G$184,MATCH($D$2,$A$177:$A$184,0),1))-T6A!C89,IF($E$2="ex-post",(INDEX(G$177:G$184,MATCH($D$2,$A$177:$A$184,0),1))-T6A!C89+SUMIFS(T6A!C$95:C$102,T6A!$B$95:$B$102,$D$2+1),"FOUT"))</f>
        <v>0</v>
      </c>
      <c r="H185" s="573">
        <f>IF($E$2="ex-ante",(INDEX(H$177:H$184,MATCH($D$2,$A$177:$A$184,0),1))-T6A!D89,IF($E$2="ex-post",(INDEX(H$177:H$184,MATCH($D$2,$A$177:$A$184,0),1))-T6A!D89+SUMIFS(T6A!D$95:D$102,T6A!$B$95:$B$102,$D$2+1),"FOUT"))</f>
        <v>0</v>
      </c>
      <c r="I185" s="573">
        <f>IF($E$2="ex-ante",(INDEX(I$177:I$184,MATCH($D$2,$A$177:$A$184,0),1))-T6A!E89,IF($E$2="ex-post",(INDEX(I$177:I$184,MATCH($D$2,$A$177:$A$184,0),1))-T6A!E89+SUMIFS(T6A!E$95:E$102,T6A!$B$95:$B$102,$D$2+1),"FOUT"))</f>
        <v>0</v>
      </c>
      <c r="J185" s="573">
        <f>IF($E$2="ex-ante",(INDEX(J$177:J$184,MATCH($D$2,$A$177:$A$184,0),1))-T6A!F89,IF($E$2="ex-post",(INDEX(J$177:J$184,MATCH($D$2,$A$177:$A$184,0),1))-T6A!F89+SUMIFS(T6A!F$95:F$102,T6A!$B$95:$B$102,$D$2+1),"FOUT"))</f>
        <v>0</v>
      </c>
      <c r="K185" s="871">
        <f>IF($E$2="ex-ante",(INDEX(K$177:K$184,MATCH($D$2,$A$177:$A$184,0),1))-T6A!G89,IF($E$2="ex-post",(INDEX(K$177:K$184,MATCH($D$2,$A$177:$A$184,0),1))-T6A!G89+SUMIFS(T6A!G$95:G$102,T6A!$B$95:$B$102,$D$2+1),"FOUT"))</f>
        <v>0</v>
      </c>
      <c r="L185" s="871">
        <f>IF($E$2="ex-ante",(INDEX(L$177:L$184,MATCH($D$2,$A$177:$A$184,0),1))-T6A!H89,IF($E$2="ex-post",(INDEX(L$177:L$184,MATCH($D$2,$A$177:$A$184,0),1))-T6A!H89+SUMIFS(T6A!H$95:H$102,T6A!$B$95:$B$102,$D$2+1),"FOUT"))</f>
        <v>0</v>
      </c>
      <c r="M185" s="871">
        <f>IF($E$2="ex-ante",(INDEX(M$177:M$184,MATCH($D$2,$A$177:$A$184,0),1))-T6A!I89,IF($E$2="ex-post",(INDEX(M$177:M$184,MATCH($D$2,$A$177:$A$184,0),1))-T6A!I89+SUMIFS(T6A!I$95:I$102,T6A!$B$95:$B$102,$D$2+1),"FOUT"))</f>
        <v>0</v>
      </c>
      <c r="N185" s="871">
        <f>IF($E$2="ex-ante",(INDEX(N$177:N$184,MATCH($D$2,$A$177:$A$184,0),1))-T6A!J89,IF($E$2="ex-post",(INDEX(N$177:N$184,MATCH($D$2,$A$177:$A$184,0),1))-T6A!J89+SUMIFS(T6A!J$95:J$102,T6A!$B$95:$B$102,$D$2+1),"FOUT"))</f>
        <v>0</v>
      </c>
      <c r="O185" s="574"/>
      <c r="P185" s="573">
        <f>IF($E$2="ex-ante",(INDEX(P$177:P$184,MATCH($D$2,$A$177:$A$184,0),1))-T6A!L89,IF($E$2="ex-post",(INDEX(P$177:P$184,MATCH($D$2,$A$177:$A$184,0),1))-T6A!L89+SUMIFS(T6A!L$95:L$102,T6A!$B$95:$B$102,$D$2+1),"FOUT"))</f>
        <v>0</v>
      </c>
    </row>
    <row r="186" spans="1:16" x14ac:dyDescent="0.2">
      <c r="B186" s="310"/>
      <c r="C186" s="310"/>
      <c r="D186" s="310"/>
      <c r="E186" s="310"/>
      <c r="F186" s="311"/>
      <c r="G186" s="312"/>
      <c r="H186" s="312"/>
      <c r="I186" s="312"/>
      <c r="J186" s="312"/>
      <c r="K186" s="312"/>
      <c r="L186" s="312"/>
      <c r="M186" s="312"/>
      <c r="N186" s="312"/>
      <c r="P186" s="312"/>
    </row>
    <row r="187" spans="1:16" x14ac:dyDescent="0.2">
      <c r="B187" s="310"/>
      <c r="C187" s="310"/>
      <c r="D187" s="310"/>
      <c r="E187" s="310"/>
      <c r="F187" s="311"/>
      <c r="G187" s="312"/>
      <c r="H187" s="312"/>
      <c r="I187" s="312"/>
      <c r="J187" s="312"/>
      <c r="K187" s="312"/>
      <c r="L187" s="312"/>
      <c r="M187" s="312"/>
      <c r="N187" s="312"/>
      <c r="P187" s="312"/>
    </row>
    <row r="188" spans="1:16" x14ac:dyDescent="0.2">
      <c r="B188" s="310"/>
      <c r="C188" s="310"/>
      <c r="D188" s="310"/>
      <c r="E188" s="310"/>
      <c r="F188" s="311"/>
      <c r="G188" s="313" t="s">
        <v>32</v>
      </c>
      <c r="H188" s="312"/>
      <c r="I188" s="312"/>
      <c r="J188" s="312"/>
      <c r="K188" s="312"/>
      <c r="L188" s="312"/>
      <c r="M188" s="312"/>
      <c r="N188" s="312"/>
      <c r="P188" s="312"/>
    </row>
    <row r="189" spans="1:16" x14ac:dyDescent="0.2">
      <c r="G189" s="313" t="s">
        <v>33</v>
      </c>
      <c r="H189" s="312"/>
      <c r="I189" s="312"/>
      <c r="J189" s="312"/>
    </row>
    <row r="190" spans="1:16" ht="87" customHeight="1" x14ac:dyDescent="0.2">
      <c r="B190" s="1264" t="s">
        <v>65</v>
      </c>
      <c r="C190" s="1265"/>
      <c r="D190" s="1265"/>
      <c r="E190" s="1266"/>
      <c r="F190" s="168"/>
      <c r="G190" s="166" t="str">
        <f>"Afbouw van het regulatoir saldo inzake herindexering budget endogene kosten op te nemen in het toegelaten inkomen voor boekjaar "&amp;D2</f>
        <v>Afbouw van het regulatoir saldo inzake herindexering budget endogene kosten op te nemen in het toegelaten inkomen voor boekjaar 2021</v>
      </c>
      <c r="H190" s="312"/>
      <c r="I190" s="312"/>
      <c r="J190" s="312"/>
    </row>
    <row r="191" spans="1:16" x14ac:dyDescent="0.2">
      <c r="B191" s="325"/>
      <c r="C191" s="302"/>
      <c r="D191" s="302"/>
      <c r="E191" s="302"/>
      <c r="F191" s="303"/>
      <c r="G191" s="981"/>
      <c r="H191" s="312"/>
      <c r="I191" s="312"/>
      <c r="J191" s="312"/>
    </row>
    <row r="192" spans="1:16" ht="30" customHeight="1" x14ac:dyDescent="0.2">
      <c r="B192" s="1263" t="s">
        <v>240</v>
      </c>
      <c r="C192" s="1263"/>
      <c r="D192" s="1263"/>
      <c r="E192" s="1263"/>
      <c r="F192" s="168"/>
      <c r="G192" s="255">
        <f>VLOOKUP($D$2,B258:C261,2,FALSE)+VLOOKUP($D$2,B384:C387,2,FALSE)+VLOOKUP($D$2,B495:C498,2,FALSE)</f>
        <v>0</v>
      </c>
      <c r="H192" s="312"/>
      <c r="I192" s="312"/>
      <c r="J192" s="312"/>
    </row>
    <row r="193" spans="2:16" ht="30" customHeight="1" x14ac:dyDescent="0.2">
      <c r="B193" s="1263" t="s">
        <v>66</v>
      </c>
      <c r="C193" s="1263"/>
      <c r="D193" s="1263"/>
      <c r="E193" s="1263"/>
      <c r="F193" s="168"/>
      <c r="G193" s="255">
        <f>VLOOKUP($D$2,B321:C324,2,FALSE)</f>
        <v>0</v>
      </c>
      <c r="H193" s="312"/>
      <c r="I193" s="312"/>
      <c r="J193" s="312"/>
    </row>
    <row r="194" spans="2:16" ht="30" customHeight="1" x14ac:dyDescent="0.2">
      <c r="B194" s="1263" t="s">
        <v>67</v>
      </c>
      <c r="C194" s="1263"/>
      <c r="D194" s="1263"/>
      <c r="E194" s="1263"/>
      <c r="F194" s="168"/>
      <c r="G194" s="255">
        <f>VLOOKUP($D$2,B447:C450,2,FALSE)</f>
        <v>0</v>
      </c>
      <c r="H194" s="312"/>
      <c r="I194" s="312"/>
      <c r="J194" s="312"/>
    </row>
    <row r="195" spans="2:16" ht="30" customHeight="1" x14ac:dyDescent="0.2">
      <c r="B195" s="1263" t="s">
        <v>118</v>
      </c>
      <c r="C195" s="1263"/>
      <c r="D195" s="1263"/>
      <c r="E195" s="1263"/>
      <c r="F195" s="168"/>
      <c r="G195" s="255">
        <f>VLOOKUP($D$2,B558:C561,2,FALSE)</f>
        <v>0</v>
      </c>
      <c r="H195" s="312"/>
      <c r="I195" s="312"/>
      <c r="J195" s="312"/>
    </row>
    <row r="196" spans="2:16" ht="30" customHeight="1" x14ac:dyDescent="0.2">
      <c r="B196" s="1263" t="s">
        <v>68</v>
      </c>
      <c r="C196" s="1263"/>
      <c r="D196" s="1263"/>
      <c r="E196" s="1263"/>
      <c r="F196" s="168"/>
      <c r="G196" s="255">
        <f>VLOOKUP($D$2,B621:C624,2,FALSE)</f>
        <v>0</v>
      </c>
      <c r="H196" s="312"/>
      <c r="I196" s="312"/>
      <c r="J196" s="312"/>
    </row>
    <row r="197" spans="2:16" x14ac:dyDescent="0.2">
      <c r="H197" s="312"/>
      <c r="I197" s="312"/>
      <c r="J197" s="312"/>
    </row>
    <row r="198" spans="2:16" ht="26.45" customHeight="1" x14ac:dyDescent="0.2">
      <c r="B198" s="1279" t="s">
        <v>22</v>
      </c>
      <c r="C198" s="1280"/>
      <c r="D198" s="1280"/>
      <c r="E198" s="1281"/>
      <c r="F198" s="182"/>
      <c r="G198" s="169">
        <f>SUM(G192:G196)</f>
        <v>0</v>
      </c>
      <c r="H198" s="312"/>
      <c r="I198" s="312"/>
      <c r="J198" s="312"/>
    </row>
    <row r="199" spans="2:16" x14ac:dyDescent="0.2">
      <c r="O199" s="212"/>
    </row>
    <row r="200" spans="2:16" x14ac:dyDescent="0.2">
      <c r="O200" s="212"/>
    </row>
    <row r="201" spans="2:16" x14ac:dyDescent="0.2">
      <c r="B201" s="326" t="s">
        <v>240</v>
      </c>
      <c r="C201" s="327"/>
      <c r="D201" s="327"/>
      <c r="E201" s="327"/>
      <c r="F201" s="328"/>
      <c r="G201" s="328"/>
      <c r="H201" s="328"/>
      <c r="I201" s="328"/>
      <c r="J201" s="328"/>
      <c r="K201" s="328"/>
      <c r="L201" s="328"/>
      <c r="M201" s="328"/>
      <c r="N201" s="328"/>
      <c r="O201" s="329"/>
      <c r="P201" s="328"/>
    </row>
    <row r="202" spans="2:16" x14ac:dyDescent="0.2">
      <c r="O202" s="212"/>
    </row>
    <row r="203" spans="2:16" x14ac:dyDescent="0.2">
      <c r="B203" s="281" t="s">
        <v>172</v>
      </c>
      <c r="F203" s="1000">
        <v>2018</v>
      </c>
      <c r="O203" s="212"/>
    </row>
    <row r="204" spans="2:16" x14ac:dyDescent="0.2">
      <c r="O204" s="167"/>
    </row>
    <row r="205" spans="2:16" ht="109.5" customHeight="1" x14ac:dyDescent="0.2">
      <c r="B205" s="1257" t="s">
        <v>173</v>
      </c>
      <c r="C205" s="1258"/>
      <c r="D205" s="1258"/>
      <c r="E205" s="1259"/>
      <c r="F205" s="282"/>
      <c r="G205" s="166" t="str">
        <f>"Nog af te bouwen regulatoir saldo einde "&amp;F203-1</f>
        <v>Nog af te bouwen regulatoir saldo einde 2017</v>
      </c>
      <c r="H205" s="166" t="str">
        <f>"Afbouw oudste openstaande regulatoir saldo vanaf boekjaar "&amp;F203-2&amp;" en vroeger, door aanwending van compensatie met regulatoir saldo ontstaan over boekjaar "&amp;F203-1</f>
        <v>Afbouw oudste openstaande regulatoir saldo vanaf boekjaar 2016 en vroeger, door aanwending van compensatie met regulatoir saldo ontstaan over boekjaar 2017</v>
      </c>
      <c r="I205" s="166" t="str">
        <f>"Nog af te bouwen regulatoir saldo na compensatie einde "&amp;F203-1</f>
        <v>Nog af te bouwen regulatoir saldo na compensatie einde 2017</v>
      </c>
      <c r="J205" s="166" t="str">
        <f>"Aanwending van 50% van het geaccumuleerd regulatoir saldo door te rekenen volgens de tariefmethodologie in het boekjaar "&amp;F203</f>
        <v>Aanwending van 50% van het geaccumuleerd regulatoir saldo door te rekenen volgens de tariefmethodologie in het boekjaar 2018</v>
      </c>
      <c r="K205" s="166" t="str">
        <f>"Nog af te bouwen regulatoir saldo einde "&amp;F203</f>
        <v>Nog af te bouwen regulatoir saldo einde 2018</v>
      </c>
      <c r="L205" s="228"/>
      <c r="M205" s="228"/>
      <c r="N205" s="228"/>
      <c r="O205" s="167"/>
    </row>
    <row r="206" spans="2:16" x14ac:dyDescent="0.2">
      <c r="B206" s="1260">
        <v>2017</v>
      </c>
      <c r="C206" s="1261"/>
      <c r="D206" s="1261"/>
      <c r="E206" s="1262"/>
      <c r="F206" s="283"/>
      <c r="G206" s="566">
        <f>G112</f>
        <v>0</v>
      </c>
      <c r="H206" s="566">
        <v>0</v>
      </c>
      <c r="I206" s="566">
        <f>+G206+H206</f>
        <v>0</v>
      </c>
      <c r="J206" s="1010">
        <f>-I206*0.5</f>
        <v>0</v>
      </c>
      <c r="K206" s="1032">
        <f>+J206+G206</f>
        <v>0</v>
      </c>
      <c r="L206" s="1002"/>
      <c r="M206" s="1002"/>
      <c r="N206" s="1002"/>
      <c r="O206" s="167"/>
    </row>
    <row r="207" spans="2:16" x14ac:dyDescent="0.2">
      <c r="O207" s="167"/>
    </row>
    <row r="208" spans="2:16" x14ac:dyDescent="0.2">
      <c r="B208" s="281" t="s">
        <v>172</v>
      </c>
      <c r="F208" s="1000">
        <v>2019</v>
      </c>
      <c r="O208" s="212"/>
    </row>
    <row r="209" spans="2:15" x14ac:dyDescent="0.2">
      <c r="O209" s="212"/>
    </row>
    <row r="210" spans="2:15" ht="107.25" customHeight="1" x14ac:dyDescent="0.2">
      <c r="B210" s="1257" t="s">
        <v>173</v>
      </c>
      <c r="C210" s="1258"/>
      <c r="D210" s="1258"/>
      <c r="E210" s="1259"/>
      <c r="F210" s="282"/>
      <c r="G210" s="166" t="str">
        <f>"Nog af te bouwen regulatoir saldo einde "&amp;F208-1</f>
        <v>Nog af te bouwen regulatoir saldo einde 2018</v>
      </c>
      <c r="H210" s="166" t="str">
        <f>"Afbouw oudste openstaande regulatoir saldo vanaf boekjaar "&amp;F208-2&amp;" en vroeger, door aanwending van compensatie met regulatoir saldo ontstaan over boekjaar "&amp;F208-1</f>
        <v>Afbouw oudste openstaande regulatoir saldo vanaf boekjaar 2017 en vroeger, door aanwending van compensatie met regulatoir saldo ontstaan over boekjaar 2018</v>
      </c>
      <c r="I210" s="166" t="str">
        <f>"Nog af te bouwen regulatoir saldo na compensatie einde "&amp;F208-1</f>
        <v>Nog af te bouwen regulatoir saldo na compensatie einde 2018</v>
      </c>
      <c r="J210" s="166" t="str">
        <f>"Aanwending van 50% van het geaccumuleerd regulatoir saldo door te rekenen volgens de tariefmethodologie in het boekjaar "&amp;F208</f>
        <v>Aanwending van 50% van het geaccumuleerd regulatoir saldo door te rekenen volgens de tariefmethodologie in het boekjaar 2019</v>
      </c>
      <c r="K210" s="166" t="str">
        <f>"Aanwending van 50% van het geaccumuleerd regulatoir saldo door te rekenen volgens de tariefmethodologie in het boekjaar "&amp;F208</f>
        <v>Aanwending van 50% van het geaccumuleerd regulatoir saldo door te rekenen volgens de tariefmethodologie in het boekjaar 2019</v>
      </c>
      <c r="L210" s="166" t="str">
        <f>"Totale afbouw over "&amp;F208</f>
        <v>Totale afbouw over 2019</v>
      </c>
      <c r="M210" s="166" t="str">
        <f>"Nog af te bouwen regulatoir saldo einde "&amp;F208</f>
        <v>Nog af te bouwen regulatoir saldo einde 2019</v>
      </c>
      <c r="N210" s="212"/>
      <c r="O210" s="167"/>
    </row>
    <row r="211" spans="2:15" x14ac:dyDescent="0.2">
      <c r="B211" s="1260">
        <v>2017</v>
      </c>
      <c r="C211" s="1261"/>
      <c r="D211" s="1261"/>
      <c r="E211" s="1262"/>
      <c r="F211" s="283"/>
      <c r="G211" s="566">
        <f>K206</f>
        <v>0</v>
      </c>
      <c r="H211" s="566">
        <f>IF(SIGN(G212*K206)&lt;0,IF(G211&lt;&gt;0,-SIGN(G211)*MIN(ABS(G212),ABS(G211)),0),0)</f>
        <v>0</v>
      </c>
      <c r="I211" s="566">
        <f>+G211+H211</f>
        <v>0</v>
      </c>
      <c r="J211" s="1033"/>
      <c r="K211" s="1010">
        <f>-MIN(ABS(I211),ABS(J213))*SIGN(I211)</f>
        <v>0</v>
      </c>
      <c r="L211" s="1003">
        <f>+K211+H211</f>
        <v>0</v>
      </c>
      <c r="M211" s="566">
        <f>+I211+K211</f>
        <v>0</v>
      </c>
      <c r="N211" s="212"/>
      <c r="O211" s="167"/>
    </row>
    <row r="212" spans="2:15" x14ac:dyDescent="0.2">
      <c r="B212" s="1260">
        <v>2018</v>
      </c>
      <c r="C212" s="1261"/>
      <c r="D212" s="1261"/>
      <c r="E212" s="1262"/>
      <c r="F212" s="283"/>
      <c r="G212" s="566">
        <f>+H113</f>
        <v>0</v>
      </c>
      <c r="H212" s="1003">
        <f>IF(SIGN(G212*K206)&lt;0,-H211,0)</f>
        <v>0</v>
      </c>
      <c r="I212" s="566">
        <f>+G212+H212</f>
        <v>0</v>
      </c>
      <c r="J212" s="1033"/>
      <c r="K212" s="1010">
        <f>-MIN(ABS(I212),ABS(J213-K211))*SIGN(I212)</f>
        <v>0</v>
      </c>
      <c r="L212" s="1003">
        <f>+K212+H212</f>
        <v>0</v>
      </c>
      <c r="M212" s="566">
        <f>+I212+K212</f>
        <v>0</v>
      </c>
      <c r="N212" s="212"/>
      <c r="O212" s="167"/>
    </row>
    <row r="213" spans="2:15" s="281" customFormat="1" x14ac:dyDescent="0.2">
      <c r="G213" s="169">
        <f>SUM(G211:G212)</f>
        <v>0</v>
      </c>
      <c r="H213" s="169">
        <f>SUM(H211:H212)</f>
        <v>0</v>
      </c>
      <c r="I213" s="169">
        <f>SUM(I211:I212)</f>
        <v>0</v>
      </c>
      <c r="J213" s="291">
        <f>-I213*0.5</f>
        <v>0</v>
      </c>
      <c r="K213" s="291">
        <f>SUM(K211:K212)</f>
        <v>0</v>
      </c>
      <c r="L213" s="570"/>
      <c r="M213" s="169">
        <f>SUM(M211:M212)</f>
        <v>0</v>
      </c>
    </row>
    <row r="214" spans="2:15" x14ac:dyDescent="0.2">
      <c r="O214" s="167"/>
    </row>
    <row r="215" spans="2:15" x14ac:dyDescent="0.2">
      <c r="B215" s="281" t="s">
        <v>172</v>
      </c>
      <c r="F215" s="1000">
        <v>2020</v>
      </c>
      <c r="O215" s="167"/>
    </row>
    <row r="216" spans="2:15" x14ac:dyDescent="0.2">
      <c r="O216" s="167"/>
    </row>
    <row r="217" spans="2:15" ht="108.75" customHeight="1" x14ac:dyDescent="0.2">
      <c r="B217" s="1257" t="s">
        <v>173</v>
      </c>
      <c r="C217" s="1258"/>
      <c r="D217" s="1258"/>
      <c r="E217" s="1259"/>
      <c r="F217" s="282"/>
      <c r="G217" s="166" t="str">
        <f>"Nog af te bouwen regulatoir saldo einde "&amp;F215-1</f>
        <v>Nog af te bouwen regulatoir saldo einde 2019</v>
      </c>
      <c r="H217" s="166" t="str">
        <f>"Afbouw oudste openstaande regulatoir saldo vanaf boekjaar "&amp;F215-2&amp;" en vroeger, door aanwending van compensatie met regulatoir saldo ontstaan over boekjaar "&amp;F215-1</f>
        <v>Afbouw oudste openstaande regulatoir saldo vanaf boekjaar 2018 en vroeger, door aanwending van compensatie met regulatoir saldo ontstaan over boekjaar 2019</v>
      </c>
      <c r="I217" s="166" t="str">
        <f>"Nog af te bouwen regulatoir saldo na compensatie einde "&amp;F215-1</f>
        <v>Nog af te bouwen regulatoir saldo na compensatie einde 2019</v>
      </c>
      <c r="J217" s="166" t="str">
        <f>"Aanwending van 50% van het geaccumuleerd regulatoir saldo door te rekenen volgens de tariefmethodologie in het boekjaar "&amp;F215</f>
        <v>Aanwending van 50% van het geaccumuleerd regulatoir saldo door te rekenen volgens de tariefmethodologie in het boekjaar 2020</v>
      </c>
      <c r="K217" s="166" t="str">
        <f>"Aanwending van 50% van het geaccumuleerd regulatoir saldo door te rekenen volgens de tariefmethodologie in het boekjaar "&amp;F215</f>
        <v>Aanwending van 50% van het geaccumuleerd regulatoir saldo door te rekenen volgens de tariefmethodologie in het boekjaar 2020</v>
      </c>
      <c r="L217" s="166" t="str">
        <f>"Totale afbouw over "&amp;F215</f>
        <v>Totale afbouw over 2020</v>
      </c>
      <c r="M217" s="166" t="str">
        <f>"Nog af te bouwen regulatoir saldo einde "&amp;F215</f>
        <v>Nog af te bouwen regulatoir saldo einde 2020</v>
      </c>
      <c r="N217" s="212"/>
      <c r="O217" s="167"/>
    </row>
    <row r="218" spans="2:15" x14ac:dyDescent="0.2">
      <c r="B218" s="1260">
        <v>2017</v>
      </c>
      <c r="C218" s="1261"/>
      <c r="D218" s="1261"/>
      <c r="E218" s="1262"/>
      <c r="F218" s="283"/>
      <c r="G218" s="566">
        <f>+M211</f>
        <v>0</v>
      </c>
      <c r="H218" s="1003">
        <f>IF(SIGN(G220*M213)&lt;0,IF(G218&lt;&gt;0,-SIGN(G218)*MIN(ABS(G220),ABS(G218)),0),0)</f>
        <v>0</v>
      </c>
      <c r="I218" s="566">
        <f>+G218+H218</f>
        <v>0</v>
      </c>
      <c r="J218" s="1033"/>
      <c r="K218" s="1010">
        <f>-MIN(ABS(I218),ABS(J221))*SIGN(I218)</f>
        <v>0</v>
      </c>
      <c r="L218" s="1003">
        <f>+K218+H218</f>
        <v>0</v>
      </c>
      <c r="M218" s="566">
        <f>+I218+K218</f>
        <v>0</v>
      </c>
      <c r="N218" s="212"/>
      <c r="O218" s="167"/>
    </row>
    <row r="219" spans="2:15" x14ac:dyDescent="0.2">
      <c r="B219" s="1260">
        <v>2018</v>
      </c>
      <c r="C219" s="1261"/>
      <c r="D219" s="1261">
        <v>2016</v>
      </c>
      <c r="E219" s="1262"/>
      <c r="F219" s="283"/>
      <c r="G219" s="566">
        <f>+M212</f>
        <v>0</v>
      </c>
      <c r="H219" s="1003">
        <f>IF(SIGN(G220*M213)&lt;0,IF(G219&lt;&gt;0,-SIGN(G219)*MIN(ABS(G220-H218),ABS(G219)),0),0)</f>
        <v>0</v>
      </c>
      <c r="I219" s="566">
        <f>+G219+H219</f>
        <v>0</v>
      </c>
      <c r="J219" s="1033"/>
      <c r="K219" s="1010">
        <f>-MIN(ABS(I219),ABS(J221-K218))*SIGN(I219)</f>
        <v>0</v>
      </c>
      <c r="L219" s="1003">
        <f>+K219+H219</f>
        <v>0</v>
      </c>
      <c r="M219" s="566">
        <f>+I219+K219</f>
        <v>0</v>
      </c>
      <c r="N219" s="212"/>
      <c r="O219" s="167"/>
    </row>
    <row r="220" spans="2:15" x14ac:dyDescent="0.2">
      <c r="B220" s="1260">
        <v>2019</v>
      </c>
      <c r="C220" s="1261"/>
      <c r="D220" s="1261"/>
      <c r="E220" s="1262"/>
      <c r="F220" s="283"/>
      <c r="G220" s="566">
        <f>I114</f>
        <v>0</v>
      </c>
      <c r="H220" s="1003">
        <f>IF(SIGN(G220*M213)&lt;0,-SUM(H218:H219),0)</f>
        <v>0</v>
      </c>
      <c r="I220" s="566">
        <f>+G220+H220</f>
        <v>0</v>
      </c>
      <c r="J220" s="1033"/>
      <c r="K220" s="1010">
        <f>-MIN(ABS(I220),ABS(J221-K218-K219))*SIGN(I220)</f>
        <v>0</v>
      </c>
      <c r="L220" s="1003">
        <f>+K220+H220</f>
        <v>0</v>
      </c>
      <c r="M220" s="566">
        <f>+I220+K220</f>
        <v>0</v>
      </c>
      <c r="N220" s="212"/>
      <c r="O220" s="167"/>
    </row>
    <row r="221" spans="2:15" s="281" customFormat="1" x14ac:dyDescent="0.2">
      <c r="G221" s="169">
        <f>SUM(G218:G220)</f>
        <v>0</v>
      </c>
      <c r="H221" s="169">
        <f>SUM(H218:H220)</f>
        <v>0</v>
      </c>
      <c r="I221" s="169">
        <f>SUM(I218:I220)</f>
        <v>0</v>
      </c>
      <c r="J221" s="291">
        <f>-I221*0.5</f>
        <v>0</v>
      </c>
      <c r="K221" s="291">
        <f>SUM(K218:K220)</f>
        <v>0</v>
      </c>
      <c r="L221" s="570"/>
      <c r="M221" s="169">
        <f>SUM(M218:M220)</f>
        <v>0</v>
      </c>
    </row>
    <row r="222" spans="2:15" x14ac:dyDescent="0.2">
      <c r="O222" s="167"/>
    </row>
    <row r="223" spans="2:15" x14ac:dyDescent="0.2">
      <c r="B223" s="281" t="s">
        <v>172</v>
      </c>
      <c r="F223" s="1000">
        <v>2021</v>
      </c>
      <c r="O223" s="167"/>
    </row>
    <row r="224" spans="2:15" x14ac:dyDescent="0.2">
      <c r="O224" s="167"/>
    </row>
    <row r="225" spans="2:15" ht="78" customHeight="1" x14ac:dyDescent="0.2">
      <c r="B225" s="1257" t="s">
        <v>173</v>
      </c>
      <c r="C225" s="1258"/>
      <c r="D225" s="1258"/>
      <c r="E225" s="1259"/>
      <c r="F225" s="282"/>
      <c r="G225" s="166" t="str">
        <f>"Nog af te bouwen regulatoir saldo einde "&amp;F223-1</f>
        <v>Nog af te bouwen regulatoir saldo einde 2020</v>
      </c>
      <c r="H225" s="166" t="str">
        <f>"50% van het oorspronkelijk regulatoir saldo door te rekenen volgens de tariefmethodologie in het boekjaar "&amp;F223</f>
        <v>50% van het oorspronkelijk regulatoir saldo door te rekenen volgens de tariefmethodologie in het boekjaar 2021</v>
      </c>
      <c r="I225" s="166" t="str">
        <f>"Nog af te bouwen regulatoir saldo einde "&amp;F223</f>
        <v>Nog af te bouwen regulatoir saldo einde 2021</v>
      </c>
      <c r="J225" s="212"/>
      <c r="O225" s="167"/>
    </row>
    <row r="226" spans="2:15" x14ac:dyDescent="0.2">
      <c r="B226" s="1260">
        <v>2017</v>
      </c>
      <c r="C226" s="1261"/>
      <c r="D226" s="1261"/>
      <c r="E226" s="1262"/>
      <c r="F226" s="283"/>
      <c r="G226" s="566">
        <f>+M218</f>
        <v>0</v>
      </c>
      <c r="H226" s="566">
        <f>-G226*0.5</f>
        <v>0</v>
      </c>
      <c r="I226" s="566">
        <f>+G226+H226</f>
        <v>0</v>
      </c>
      <c r="J226" s="212"/>
      <c r="O226" s="167"/>
    </row>
    <row r="227" spans="2:15" x14ac:dyDescent="0.2">
      <c r="B227" s="1260">
        <v>2018</v>
      </c>
      <c r="C227" s="1261"/>
      <c r="D227" s="1261"/>
      <c r="E227" s="1262"/>
      <c r="F227" s="283"/>
      <c r="G227" s="566">
        <f t="shared" ref="G227:G228" si="23">+M219</f>
        <v>0</v>
      </c>
      <c r="H227" s="566">
        <f t="shared" ref="H227:H229" si="24">-G227*0.5</f>
        <v>0</v>
      </c>
      <c r="I227" s="566">
        <f t="shared" ref="I227:I229" si="25">+G227+H227</f>
        <v>0</v>
      </c>
      <c r="J227" s="212"/>
      <c r="O227" s="167"/>
    </row>
    <row r="228" spans="2:15" x14ac:dyDescent="0.2">
      <c r="B228" s="1260">
        <v>2019</v>
      </c>
      <c r="C228" s="1261"/>
      <c r="D228" s="1261">
        <v>2016</v>
      </c>
      <c r="E228" s="1262"/>
      <c r="F228" s="283"/>
      <c r="G228" s="566">
        <f t="shared" si="23"/>
        <v>0</v>
      </c>
      <c r="H228" s="566">
        <f t="shared" si="24"/>
        <v>0</v>
      </c>
      <c r="I228" s="566">
        <f t="shared" si="25"/>
        <v>0</v>
      </c>
      <c r="J228" s="212"/>
      <c r="O228" s="167"/>
    </row>
    <row r="229" spans="2:15" x14ac:dyDescent="0.2">
      <c r="B229" s="1260">
        <v>2020</v>
      </c>
      <c r="C229" s="1261"/>
      <c r="D229" s="1261"/>
      <c r="E229" s="1262"/>
      <c r="F229" s="283"/>
      <c r="G229" s="566">
        <f>J115</f>
        <v>0</v>
      </c>
      <c r="H229" s="566">
        <f t="shared" si="24"/>
        <v>0</v>
      </c>
      <c r="I229" s="566">
        <f t="shared" si="25"/>
        <v>0</v>
      </c>
      <c r="J229" s="212"/>
      <c r="O229" s="167"/>
    </row>
    <row r="230" spans="2:15" s="281" customFormat="1" x14ac:dyDescent="0.2">
      <c r="G230" s="169">
        <f>SUM(G226:G229)</f>
        <v>0</v>
      </c>
      <c r="H230" s="169">
        <f>SUM(H226:H229)</f>
        <v>0</v>
      </c>
      <c r="I230" s="169">
        <f>SUM(I226:I229)</f>
        <v>0</v>
      </c>
    </row>
    <row r="231" spans="2:15" x14ac:dyDescent="0.2">
      <c r="G231" s="221"/>
      <c r="H231" s="221"/>
      <c r="I231" s="221"/>
      <c r="O231" s="167"/>
    </row>
    <row r="232" spans="2:15" x14ac:dyDescent="0.2">
      <c r="B232" s="847" t="s">
        <v>172</v>
      </c>
      <c r="C232" s="842"/>
      <c r="D232" s="842"/>
      <c r="E232" s="842"/>
      <c r="F232" s="1004">
        <v>2022</v>
      </c>
      <c r="G232" s="842"/>
      <c r="H232" s="842"/>
      <c r="I232" s="842"/>
      <c r="O232" s="167"/>
    </row>
    <row r="233" spans="2:15" x14ac:dyDescent="0.2">
      <c r="B233" s="842"/>
      <c r="C233" s="842"/>
      <c r="D233" s="842"/>
      <c r="E233" s="842"/>
      <c r="F233" s="842"/>
      <c r="G233" s="842"/>
      <c r="H233" s="842"/>
      <c r="I233" s="842"/>
      <c r="O233" s="167"/>
    </row>
    <row r="234" spans="2:15" ht="78" customHeight="1" x14ac:dyDescent="0.2">
      <c r="B234" s="1254" t="s">
        <v>173</v>
      </c>
      <c r="C234" s="1255"/>
      <c r="D234" s="1255"/>
      <c r="E234" s="1256"/>
      <c r="F234" s="848"/>
      <c r="G234" s="837" t="str">
        <f>"Nog af te bouwen regulatoir saldo einde "&amp;F232-1</f>
        <v>Nog af te bouwen regulatoir saldo einde 2021</v>
      </c>
      <c r="H234" s="837" t="str">
        <f>"50% van het oorspronkelijk regulatoir saldo door te rekenen volgens de tariefmethodologie in het boekjaar "&amp;F232</f>
        <v>50% van het oorspronkelijk regulatoir saldo door te rekenen volgens de tariefmethodologie in het boekjaar 2022</v>
      </c>
      <c r="I234" s="837" t="str">
        <f>"Nog af te bouwen regulatoir saldo einde "&amp;F232</f>
        <v>Nog af te bouwen regulatoir saldo einde 2022</v>
      </c>
      <c r="J234" s="212"/>
      <c r="O234" s="167"/>
    </row>
    <row r="235" spans="2:15" x14ac:dyDescent="0.2">
      <c r="B235" s="1251">
        <v>2017</v>
      </c>
      <c r="C235" s="1252"/>
      <c r="D235" s="1252">
        <v>2016</v>
      </c>
      <c r="E235" s="1253"/>
      <c r="F235" s="341"/>
      <c r="G235" s="568">
        <f>+I226</f>
        <v>0</v>
      </c>
      <c r="H235" s="568">
        <f>-G226*0.5</f>
        <v>0</v>
      </c>
      <c r="I235" s="568">
        <f t="shared" ref="I235:I239" si="26">+G235+H235</f>
        <v>0</v>
      </c>
      <c r="J235" s="212"/>
      <c r="O235" s="167"/>
    </row>
    <row r="236" spans="2:15" x14ac:dyDescent="0.2">
      <c r="B236" s="1251">
        <v>2018</v>
      </c>
      <c r="C236" s="1252"/>
      <c r="D236" s="1252"/>
      <c r="E236" s="1253"/>
      <c r="F236" s="341"/>
      <c r="G236" s="568">
        <f t="shared" ref="G236:G238" si="27">+I227</f>
        <v>0</v>
      </c>
      <c r="H236" s="568">
        <f t="shared" ref="H236:H238" si="28">-G227*0.5</f>
        <v>0</v>
      </c>
      <c r="I236" s="568">
        <f t="shared" si="26"/>
        <v>0</v>
      </c>
      <c r="J236" s="212"/>
      <c r="O236" s="167"/>
    </row>
    <row r="237" spans="2:15" x14ac:dyDescent="0.2">
      <c r="B237" s="1251">
        <v>2019</v>
      </c>
      <c r="C237" s="1252"/>
      <c r="D237" s="1252"/>
      <c r="E237" s="1253"/>
      <c r="F237" s="341"/>
      <c r="G237" s="568">
        <f t="shared" si="27"/>
        <v>0</v>
      </c>
      <c r="H237" s="568">
        <f t="shared" si="28"/>
        <v>0</v>
      </c>
      <c r="I237" s="568">
        <f t="shared" ref="I237" si="29">+G237+H237</f>
        <v>0</v>
      </c>
      <c r="J237" s="212"/>
      <c r="O237" s="167"/>
    </row>
    <row r="238" spans="2:15" x14ac:dyDescent="0.2">
      <c r="B238" s="1251">
        <v>2020</v>
      </c>
      <c r="C238" s="1252"/>
      <c r="D238" s="1252"/>
      <c r="E238" s="1253"/>
      <c r="F238" s="341"/>
      <c r="G238" s="568">
        <f t="shared" si="27"/>
        <v>0</v>
      </c>
      <c r="H238" s="568">
        <f t="shared" si="28"/>
        <v>0</v>
      </c>
      <c r="I238" s="568">
        <f t="shared" si="26"/>
        <v>0</v>
      </c>
      <c r="J238" s="212"/>
      <c r="O238" s="167"/>
    </row>
    <row r="239" spans="2:15" x14ac:dyDescent="0.2">
      <c r="B239" s="1251">
        <v>2021</v>
      </c>
      <c r="C239" s="1252"/>
      <c r="D239" s="1252"/>
      <c r="E239" s="1253"/>
      <c r="F239" s="341"/>
      <c r="G239" s="568">
        <f>K116</f>
        <v>0</v>
      </c>
      <c r="H239" s="568">
        <f t="shared" ref="H239" si="30">-G239*0.5</f>
        <v>0</v>
      </c>
      <c r="I239" s="568">
        <f t="shared" si="26"/>
        <v>0</v>
      </c>
      <c r="J239" s="212"/>
      <c r="O239" s="167"/>
    </row>
    <row r="240" spans="2:15" s="281" customFormat="1" x14ac:dyDescent="0.2">
      <c r="B240" s="847"/>
      <c r="C240" s="847"/>
      <c r="D240" s="847"/>
      <c r="E240" s="847"/>
      <c r="F240" s="847"/>
      <c r="G240" s="856">
        <f>SUM(G235:G239)</f>
        <v>0</v>
      </c>
      <c r="H240" s="856">
        <f>SUM(H235:H239)</f>
        <v>0</v>
      </c>
      <c r="I240" s="856">
        <f>SUM(I235:I239)</f>
        <v>0</v>
      </c>
    </row>
    <row r="241" spans="2:15" x14ac:dyDescent="0.2">
      <c r="B241" s="842"/>
      <c r="C241" s="842"/>
      <c r="D241" s="842"/>
      <c r="E241" s="842"/>
      <c r="F241" s="842"/>
      <c r="G241" s="842"/>
      <c r="H241" s="842"/>
      <c r="I241" s="842"/>
      <c r="O241" s="167"/>
    </row>
    <row r="242" spans="2:15" x14ac:dyDescent="0.2">
      <c r="B242" s="847" t="s">
        <v>172</v>
      </c>
      <c r="C242" s="842"/>
      <c r="D242" s="842"/>
      <c r="E242" s="842"/>
      <c r="F242" s="1004">
        <v>2023</v>
      </c>
      <c r="G242" s="842"/>
      <c r="H242" s="842"/>
      <c r="I242" s="842"/>
      <c r="O242" s="167"/>
    </row>
    <row r="243" spans="2:15" x14ac:dyDescent="0.2">
      <c r="B243" s="842"/>
      <c r="C243" s="842"/>
      <c r="D243" s="842"/>
      <c r="E243" s="842"/>
      <c r="F243" s="842"/>
      <c r="G243" s="842"/>
      <c r="H243" s="842"/>
      <c r="I243" s="842"/>
      <c r="O243" s="167"/>
    </row>
    <row r="244" spans="2:15" ht="78" customHeight="1" x14ac:dyDescent="0.2">
      <c r="B244" s="1254" t="s">
        <v>173</v>
      </c>
      <c r="C244" s="1255"/>
      <c r="D244" s="1255"/>
      <c r="E244" s="1256"/>
      <c r="F244" s="848"/>
      <c r="G244" s="837" t="str">
        <f>"Nog af te bouwen regulatoir saldo einde "&amp;F242-1</f>
        <v>Nog af te bouwen regulatoir saldo einde 2022</v>
      </c>
      <c r="H244" s="837" t="str">
        <f>"50% van het oorspronkelijk regulatoir saldo door te rekenen volgens de tariefmethodologie in het boekjaar "&amp;F242</f>
        <v>50% van het oorspronkelijk regulatoir saldo door te rekenen volgens de tariefmethodologie in het boekjaar 2023</v>
      </c>
      <c r="I244" s="837" t="str">
        <f>"Nog af te bouwen regulatoir saldo einde "&amp;F242</f>
        <v>Nog af te bouwen regulatoir saldo einde 2023</v>
      </c>
      <c r="J244" s="212"/>
      <c r="O244" s="167"/>
    </row>
    <row r="245" spans="2:15" x14ac:dyDescent="0.2">
      <c r="B245" s="1251">
        <v>2021</v>
      </c>
      <c r="C245" s="1252"/>
      <c r="D245" s="1252"/>
      <c r="E245" s="1253"/>
      <c r="F245" s="341"/>
      <c r="G245" s="568">
        <f>+I239</f>
        <v>0</v>
      </c>
      <c r="H245" s="568">
        <f>-G239*0.5</f>
        <v>0</v>
      </c>
      <c r="I245" s="568">
        <f t="shared" ref="I245:I246" si="31">+G245+H245</f>
        <v>0</v>
      </c>
      <c r="J245" s="212"/>
      <c r="O245" s="167"/>
    </row>
    <row r="246" spans="2:15" x14ac:dyDescent="0.2">
      <c r="B246" s="1251">
        <v>2022</v>
      </c>
      <c r="C246" s="1252"/>
      <c r="D246" s="1252"/>
      <c r="E246" s="1253"/>
      <c r="F246" s="341"/>
      <c r="G246" s="568">
        <f>L117</f>
        <v>0</v>
      </c>
      <c r="H246" s="568">
        <f t="shared" ref="H246" si="32">-G246*0.5</f>
        <v>0</v>
      </c>
      <c r="I246" s="568">
        <f t="shared" si="31"/>
        <v>0</v>
      </c>
      <c r="J246" s="212"/>
      <c r="O246" s="167"/>
    </row>
    <row r="247" spans="2:15" s="281" customFormat="1" x14ac:dyDescent="0.2">
      <c r="B247" s="847"/>
      <c r="C247" s="847"/>
      <c r="D247" s="847"/>
      <c r="E247" s="847"/>
      <c r="F247" s="847"/>
      <c r="G247" s="856">
        <f>SUM(G245:G246)</f>
        <v>0</v>
      </c>
      <c r="H247" s="856">
        <f>SUM(H245:H246)</f>
        <v>0</v>
      </c>
      <c r="I247" s="856">
        <f>SUM(I245:I246)</f>
        <v>0</v>
      </c>
    </row>
    <row r="248" spans="2:15" x14ac:dyDescent="0.2">
      <c r="B248" s="842"/>
      <c r="C248" s="842"/>
      <c r="D248" s="842"/>
      <c r="E248" s="842"/>
      <c r="F248" s="842"/>
      <c r="G248" s="842"/>
      <c r="H248" s="842"/>
      <c r="I248" s="842"/>
      <c r="O248" s="167"/>
    </row>
    <row r="249" spans="2:15" x14ac:dyDescent="0.2">
      <c r="B249" s="847" t="s">
        <v>172</v>
      </c>
      <c r="C249" s="842"/>
      <c r="D249" s="842"/>
      <c r="E249" s="842"/>
      <c r="F249" s="1004">
        <v>2024</v>
      </c>
      <c r="G249" s="842"/>
      <c r="H249" s="842"/>
      <c r="I249" s="842"/>
      <c r="O249" s="167"/>
    </row>
    <row r="250" spans="2:15" x14ac:dyDescent="0.2">
      <c r="B250" s="842"/>
      <c r="C250" s="842"/>
      <c r="D250" s="842"/>
      <c r="E250" s="842"/>
      <c r="F250" s="842"/>
      <c r="G250" s="842"/>
      <c r="H250" s="842"/>
      <c r="I250" s="842"/>
      <c r="O250" s="167"/>
    </row>
    <row r="251" spans="2:15" ht="78" customHeight="1" x14ac:dyDescent="0.2">
      <c r="B251" s="1254" t="s">
        <v>173</v>
      </c>
      <c r="C251" s="1255"/>
      <c r="D251" s="1255"/>
      <c r="E251" s="1256"/>
      <c r="F251" s="848"/>
      <c r="G251" s="837" t="str">
        <f>"Nog af te bouwen regulatoir saldo einde "&amp;F249-1</f>
        <v>Nog af te bouwen regulatoir saldo einde 2023</v>
      </c>
      <c r="H251" s="837" t="str">
        <f>"50% van het oorspronkelijk regulatoir saldo door te rekenen volgens de tariefmethodologie in het boekjaar "&amp;F249</f>
        <v>50% van het oorspronkelijk regulatoir saldo door te rekenen volgens de tariefmethodologie in het boekjaar 2024</v>
      </c>
      <c r="I251" s="837" t="str">
        <f>"Nog af te bouwen regulatoir saldo einde "&amp;F249</f>
        <v>Nog af te bouwen regulatoir saldo einde 2024</v>
      </c>
      <c r="J251" s="212"/>
      <c r="O251" s="167"/>
    </row>
    <row r="252" spans="2:15" x14ac:dyDescent="0.2">
      <c r="B252" s="1251">
        <v>2022</v>
      </c>
      <c r="C252" s="1252"/>
      <c r="D252" s="1252"/>
      <c r="E252" s="1253"/>
      <c r="F252" s="341"/>
      <c r="G252" s="568">
        <f>+I246</f>
        <v>0</v>
      </c>
      <c r="H252" s="568">
        <f>-G246*0.5</f>
        <v>0</v>
      </c>
      <c r="I252" s="568">
        <f t="shared" ref="I252:I253" si="33">+G252+H252</f>
        <v>0</v>
      </c>
      <c r="J252" s="212"/>
      <c r="O252" s="167"/>
    </row>
    <row r="253" spans="2:15" x14ac:dyDescent="0.2">
      <c r="B253" s="1251">
        <v>2023</v>
      </c>
      <c r="C253" s="1252"/>
      <c r="D253" s="1252"/>
      <c r="E253" s="1253"/>
      <c r="F253" s="341"/>
      <c r="G253" s="568">
        <f>+M118</f>
        <v>0</v>
      </c>
      <c r="H253" s="568">
        <f t="shared" ref="H253" si="34">-G253*0.5</f>
        <v>0</v>
      </c>
      <c r="I253" s="568">
        <f t="shared" si="33"/>
        <v>0</v>
      </c>
      <c r="J253" s="212"/>
      <c r="O253" s="167"/>
    </row>
    <row r="254" spans="2:15" s="281" customFormat="1" x14ac:dyDescent="0.2">
      <c r="B254" s="847"/>
      <c r="C254" s="847"/>
      <c r="D254" s="847"/>
      <c r="E254" s="847"/>
      <c r="F254" s="847"/>
      <c r="G254" s="856">
        <f>SUM(G252:G253)</f>
        <v>0</v>
      </c>
      <c r="H254" s="856">
        <f>SUM(H252:H253)</f>
        <v>0</v>
      </c>
      <c r="I254" s="856">
        <f>SUM(I252:I253)</f>
        <v>0</v>
      </c>
    </row>
    <row r="255" spans="2:15" x14ac:dyDescent="0.2">
      <c r="B255" s="281" t="str">
        <f>+B201</f>
        <v xml:space="preserve">Het basistarief voor het gebruik van het net </v>
      </c>
      <c r="O255" s="167"/>
    </row>
    <row r="256" spans="2:15" x14ac:dyDescent="0.2">
      <c r="B256" s="281" t="s">
        <v>174</v>
      </c>
      <c r="C256" s="224"/>
      <c r="D256" s="224"/>
      <c r="E256" s="224"/>
      <c r="O256" s="167"/>
    </row>
    <row r="257" spans="2:16" x14ac:dyDescent="0.2">
      <c r="B257" s="281"/>
      <c r="C257" s="224"/>
      <c r="D257" s="224"/>
      <c r="E257" s="224"/>
      <c r="O257" s="167"/>
    </row>
    <row r="258" spans="2:16" x14ac:dyDescent="0.2">
      <c r="B258" s="283">
        <f>F223</f>
        <v>2021</v>
      </c>
      <c r="C258" s="287">
        <f>+H230</f>
        <v>0</v>
      </c>
      <c r="D258" s="224"/>
      <c r="E258" s="224"/>
      <c r="O258" s="167"/>
    </row>
    <row r="259" spans="2:16" x14ac:dyDescent="0.2">
      <c r="B259" s="341">
        <v>2022</v>
      </c>
      <c r="C259" s="342">
        <f>+H240</f>
        <v>0</v>
      </c>
      <c r="D259" s="224"/>
      <c r="E259" s="224"/>
      <c r="O259" s="167"/>
    </row>
    <row r="260" spans="2:16" x14ac:dyDescent="0.2">
      <c r="B260" s="341">
        <v>2023</v>
      </c>
      <c r="C260" s="342">
        <f>+H247</f>
        <v>0</v>
      </c>
      <c r="D260" s="224"/>
      <c r="E260" s="224"/>
      <c r="O260" s="167"/>
    </row>
    <row r="261" spans="2:16" x14ac:dyDescent="0.2">
      <c r="B261" s="341">
        <v>2024</v>
      </c>
      <c r="C261" s="342">
        <f>+H254</f>
        <v>0</v>
      </c>
      <c r="D261" s="224"/>
      <c r="E261" s="224"/>
      <c r="O261" s="167"/>
    </row>
    <row r="262" spans="2:16" x14ac:dyDescent="0.2">
      <c r="O262" s="167"/>
    </row>
    <row r="263" spans="2:16" x14ac:dyDescent="0.2">
      <c r="O263" s="167"/>
    </row>
    <row r="264" spans="2:16" x14ac:dyDescent="0.2">
      <c r="B264" s="326" t="s">
        <v>66</v>
      </c>
      <c r="C264" s="327"/>
      <c r="D264" s="327"/>
      <c r="E264" s="327"/>
      <c r="F264" s="328"/>
      <c r="G264" s="328"/>
      <c r="H264" s="328"/>
      <c r="I264" s="328"/>
      <c r="J264" s="328"/>
      <c r="K264" s="328"/>
      <c r="L264" s="328"/>
      <c r="M264" s="328"/>
      <c r="N264" s="328"/>
      <c r="O264" s="329"/>
      <c r="P264" s="328"/>
    </row>
    <row r="265" spans="2:16" x14ac:dyDescent="0.2">
      <c r="O265" s="212"/>
    </row>
    <row r="266" spans="2:16" x14ac:dyDescent="0.2">
      <c r="B266" s="281" t="s">
        <v>172</v>
      </c>
      <c r="F266" s="1000">
        <v>2018</v>
      </c>
      <c r="O266" s="212"/>
    </row>
    <row r="267" spans="2:16" x14ac:dyDescent="0.2">
      <c r="O267" s="167"/>
    </row>
    <row r="268" spans="2:16" ht="102" customHeight="1" x14ac:dyDescent="0.2">
      <c r="B268" s="1257" t="s">
        <v>173</v>
      </c>
      <c r="C268" s="1258"/>
      <c r="D268" s="1258"/>
      <c r="E268" s="1259"/>
      <c r="F268" s="282"/>
      <c r="G268" s="166" t="str">
        <f>"Nog af te bouwen regulatoir saldo einde "&amp;F266-1</f>
        <v>Nog af te bouwen regulatoir saldo einde 2017</v>
      </c>
      <c r="H268" s="166" t="str">
        <f>"Afbouw oudste openstaande regulatoir saldo vanaf boekjaar "&amp;F266-2&amp;" en vroeger, door aanwending van compensatie met regulatoir saldo ontstaan over boekjaar "&amp;F266-1</f>
        <v>Afbouw oudste openstaande regulatoir saldo vanaf boekjaar 2016 en vroeger, door aanwending van compensatie met regulatoir saldo ontstaan over boekjaar 2017</v>
      </c>
      <c r="I268" s="166" t="str">
        <f>"Nog af te bouwen regulatoir saldo na compensatie einde "&amp;F266-1</f>
        <v>Nog af te bouwen regulatoir saldo na compensatie einde 2017</v>
      </c>
      <c r="J268" s="166" t="str">
        <f>"Aanwending van 50% van het geaccumuleerd regulatoir saldo door te rekenen volgens de tariefmethodologie in het boekjaar "&amp;F266</f>
        <v>Aanwending van 50% van het geaccumuleerd regulatoir saldo door te rekenen volgens de tariefmethodologie in het boekjaar 2018</v>
      </c>
      <c r="K268" s="166" t="str">
        <f>"Nog af te bouwen regulatoir saldo einde "&amp;F266</f>
        <v>Nog af te bouwen regulatoir saldo einde 2018</v>
      </c>
      <c r="L268" s="228"/>
      <c r="M268" s="228"/>
      <c r="N268" s="228"/>
      <c r="O268" s="167"/>
    </row>
    <row r="269" spans="2:16" x14ac:dyDescent="0.2">
      <c r="B269" s="1260">
        <v>2017</v>
      </c>
      <c r="C269" s="1261"/>
      <c r="D269" s="1261"/>
      <c r="E269" s="1262"/>
      <c r="F269" s="283"/>
      <c r="G269" s="566">
        <f>G121</f>
        <v>0</v>
      </c>
      <c r="H269" s="566">
        <v>0</v>
      </c>
      <c r="I269" s="566">
        <f>+G269+H269</f>
        <v>0</v>
      </c>
      <c r="J269" s="1010">
        <f>-I269*0.5</f>
        <v>0</v>
      </c>
      <c r="K269" s="1032">
        <f>+J269+G269</f>
        <v>0</v>
      </c>
      <c r="L269" s="1002"/>
      <c r="M269" s="1002"/>
      <c r="N269" s="1002"/>
      <c r="O269" s="167"/>
    </row>
    <row r="270" spans="2:16" x14ac:dyDescent="0.2">
      <c r="O270" s="167"/>
    </row>
    <row r="271" spans="2:16" x14ac:dyDescent="0.2">
      <c r="B271" s="281" t="s">
        <v>172</v>
      </c>
      <c r="F271" s="1000">
        <v>2019</v>
      </c>
      <c r="O271" s="212"/>
    </row>
    <row r="272" spans="2:16" x14ac:dyDescent="0.2">
      <c r="O272" s="212"/>
    </row>
    <row r="273" spans="2:15" s="220" customFormat="1" ht="107.1" customHeight="1" x14ac:dyDescent="0.2">
      <c r="B273" s="1257" t="s">
        <v>173</v>
      </c>
      <c r="C273" s="1258"/>
      <c r="D273" s="1258"/>
      <c r="E273" s="1259"/>
      <c r="F273" s="804"/>
      <c r="G273" s="166" t="str">
        <f>"Nog af te bouwen regulatoir saldo einde "&amp;F271-1</f>
        <v>Nog af te bouwen regulatoir saldo einde 2018</v>
      </c>
      <c r="H273" s="166" t="str">
        <f>"Afbouw oudste openstaande regulatoir saldo vanaf boekjaar "&amp;F271-2&amp;" en vroeger, door aanwending van compensatie met regulatoir saldo ontstaan over boekjaar "&amp;F271-1</f>
        <v>Afbouw oudste openstaande regulatoir saldo vanaf boekjaar 2017 en vroeger, door aanwending van compensatie met regulatoir saldo ontstaan over boekjaar 2018</v>
      </c>
      <c r="I273" s="166" t="str">
        <f>"Nog af te bouwen regulatoir saldo na compensatie einde "&amp;F271-1</f>
        <v>Nog af te bouwen regulatoir saldo na compensatie einde 2018</v>
      </c>
      <c r="J273" s="166" t="str">
        <f>"Aanwending van 50% van het geaccumuleerd regulatoir saldo door te rekenen volgens de tariefmethodologie in het boekjaar "&amp;F271</f>
        <v>Aanwending van 50% van het geaccumuleerd regulatoir saldo door te rekenen volgens de tariefmethodologie in het boekjaar 2019</v>
      </c>
      <c r="K273" s="166" t="str">
        <f>"Aanwending van 50% van het geaccumuleerd regulatoir saldo door te rekenen volgens de tariefmethodologie in het boekjaar "&amp;F271</f>
        <v>Aanwending van 50% van het geaccumuleerd regulatoir saldo door te rekenen volgens de tariefmethodologie in het boekjaar 2019</v>
      </c>
      <c r="L273" s="166" t="str">
        <f>"Totale afbouw over "&amp;F271</f>
        <v>Totale afbouw over 2019</v>
      </c>
      <c r="M273" s="166" t="str">
        <f>"Nog af te bouwen regulatoir saldo einde "&amp;F271</f>
        <v>Nog af te bouwen regulatoir saldo einde 2019</v>
      </c>
      <c r="N273" s="564"/>
    </row>
    <row r="274" spans="2:15" x14ac:dyDescent="0.2">
      <c r="B274" s="1260">
        <v>2017</v>
      </c>
      <c r="C274" s="1261"/>
      <c r="D274" s="1261"/>
      <c r="E274" s="1262"/>
      <c r="F274" s="283"/>
      <c r="G274" s="566">
        <f>K269</f>
        <v>0</v>
      </c>
      <c r="H274" s="566">
        <f>IF(SIGN(G275*K269)&lt;0,IF(G274&lt;&gt;0,-SIGN(G274)*MIN(ABS(G275),ABS(G274)),0),0)</f>
        <v>0</v>
      </c>
      <c r="I274" s="566">
        <f>+G274+H274</f>
        <v>0</v>
      </c>
      <c r="J274" s="1033"/>
      <c r="K274" s="1010">
        <f>-MIN(ABS(I274),ABS(J276))*SIGN(I274)</f>
        <v>0</v>
      </c>
      <c r="L274" s="1003">
        <f>+K274+H274</f>
        <v>0</v>
      </c>
      <c r="M274" s="566">
        <f>+I274+K274</f>
        <v>0</v>
      </c>
      <c r="N274" s="212"/>
      <c r="O274" s="167"/>
    </row>
    <row r="275" spans="2:15" x14ac:dyDescent="0.2">
      <c r="B275" s="1260">
        <v>2018</v>
      </c>
      <c r="C275" s="1261"/>
      <c r="D275" s="1261"/>
      <c r="E275" s="1262"/>
      <c r="F275" s="283"/>
      <c r="G275" s="566">
        <f>+H122</f>
        <v>0</v>
      </c>
      <c r="H275" s="1003">
        <f>IF(SIGN(G275*K269)&lt;0,-H274,0)</f>
        <v>0</v>
      </c>
      <c r="I275" s="566">
        <f>+G275+H275</f>
        <v>0</v>
      </c>
      <c r="J275" s="1033"/>
      <c r="K275" s="1010">
        <f>-MIN(ABS(I275),ABS(J276-K274))*SIGN(I275)</f>
        <v>0</v>
      </c>
      <c r="L275" s="1003">
        <f>+K275+H275</f>
        <v>0</v>
      </c>
      <c r="M275" s="566">
        <f>+I275+K275</f>
        <v>0</v>
      </c>
      <c r="N275" s="212"/>
      <c r="O275" s="167"/>
    </row>
    <row r="276" spans="2:15" s="281" customFormat="1" x14ac:dyDescent="0.2">
      <c r="G276" s="169">
        <f>SUM(G274:G275)</f>
        <v>0</v>
      </c>
      <c r="H276" s="169">
        <f>SUM(H274:H275)</f>
        <v>0</v>
      </c>
      <c r="I276" s="169">
        <f>SUM(I274:I275)</f>
        <v>0</v>
      </c>
      <c r="J276" s="291">
        <f>-I276*0.5</f>
        <v>0</v>
      </c>
      <c r="K276" s="291">
        <f>SUM(K274:K275)</f>
        <v>0</v>
      </c>
      <c r="L276" s="570"/>
      <c r="M276" s="169">
        <f>SUM(M274:M275)</f>
        <v>0</v>
      </c>
    </row>
    <row r="277" spans="2:15" x14ac:dyDescent="0.2">
      <c r="O277" s="167"/>
    </row>
    <row r="278" spans="2:15" x14ac:dyDescent="0.2">
      <c r="B278" s="281" t="s">
        <v>172</v>
      </c>
      <c r="F278" s="1000">
        <v>2020</v>
      </c>
      <c r="O278" s="167"/>
    </row>
    <row r="279" spans="2:15" x14ac:dyDescent="0.2">
      <c r="O279" s="167"/>
    </row>
    <row r="280" spans="2:15" s="220" customFormat="1" ht="107.1" customHeight="1" x14ac:dyDescent="0.2">
      <c r="B280" s="1257" t="s">
        <v>173</v>
      </c>
      <c r="C280" s="1258"/>
      <c r="D280" s="1258"/>
      <c r="E280" s="1259"/>
      <c r="F280" s="804"/>
      <c r="G280" s="166" t="str">
        <f>"Nog af te bouwen regulatoir saldo einde "&amp;F278-1</f>
        <v>Nog af te bouwen regulatoir saldo einde 2019</v>
      </c>
      <c r="H280" s="166" t="str">
        <f>"Afbouw oudste openstaande regulatoir saldo vanaf boekjaar "&amp;F278-2&amp;" en vroeger, door aanwending van compensatie met regulatoir saldo ontstaan over boekjaar "&amp;F278-1</f>
        <v>Afbouw oudste openstaande regulatoir saldo vanaf boekjaar 2018 en vroeger, door aanwending van compensatie met regulatoir saldo ontstaan over boekjaar 2019</v>
      </c>
      <c r="I280" s="166" t="str">
        <f>"Nog af te bouwen regulatoir saldo na compensatie einde "&amp;F278-1</f>
        <v>Nog af te bouwen regulatoir saldo na compensatie einde 2019</v>
      </c>
      <c r="J280" s="166" t="str">
        <f>"Aanwending van 50% van het geaccumuleerd regulatoir saldo door te rekenen volgens de tariefmethodologie in het boekjaar "&amp;F278</f>
        <v>Aanwending van 50% van het geaccumuleerd regulatoir saldo door te rekenen volgens de tariefmethodologie in het boekjaar 2020</v>
      </c>
      <c r="K280" s="166" t="str">
        <f>"Aanwending van 50% van het geaccumuleerd regulatoir saldo door te rekenen volgens de tariefmethodologie in het boekjaar "&amp;F278</f>
        <v>Aanwending van 50% van het geaccumuleerd regulatoir saldo door te rekenen volgens de tariefmethodologie in het boekjaar 2020</v>
      </c>
      <c r="L280" s="166" t="str">
        <f>"Totale afbouw over "&amp;F278</f>
        <v>Totale afbouw over 2020</v>
      </c>
      <c r="M280" s="166" t="str">
        <f>"Nog af te bouwen regulatoir saldo einde "&amp;F278</f>
        <v>Nog af te bouwen regulatoir saldo einde 2020</v>
      </c>
      <c r="N280" s="564"/>
    </row>
    <row r="281" spans="2:15" x14ac:dyDescent="0.2">
      <c r="B281" s="1260">
        <v>2017</v>
      </c>
      <c r="C281" s="1261"/>
      <c r="D281" s="1261"/>
      <c r="E281" s="1262"/>
      <c r="F281" s="283"/>
      <c r="G281" s="566">
        <f>+M274</f>
        <v>0</v>
      </c>
      <c r="H281" s="1003">
        <f>IF(SIGN(G283*M276)&lt;0,IF(G281&lt;&gt;0,-SIGN(G281)*MIN(ABS(G283),ABS(G281)),0),0)</f>
        <v>0</v>
      </c>
      <c r="I281" s="566">
        <f>+G281+H281</f>
        <v>0</v>
      </c>
      <c r="J281" s="1033"/>
      <c r="K281" s="1010">
        <f>-MIN(ABS(I281),ABS(J284))*SIGN(I281)</f>
        <v>0</v>
      </c>
      <c r="L281" s="1003">
        <f>+K281+H281</f>
        <v>0</v>
      </c>
      <c r="M281" s="566">
        <f>+I281+K281</f>
        <v>0</v>
      </c>
      <c r="N281" s="212"/>
      <c r="O281" s="167"/>
    </row>
    <row r="282" spans="2:15" x14ac:dyDescent="0.2">
      <c r="B282" s="1260">
        <v>2018</v>
      </c>
      <c r="C282" s="1261"/>
      <c r="D282" s="1261">
        <v>2016</v>
      </c>
      <c r="E282" s="1262"/>
      <c r="F282" s="283"/>
      <c r="G282" s="566">
        <f>+M275</f>
        <v>0</v>
      </c>
      <c r="H282" s="1003">
        <f>IF(SIGN(G283*M276)&lt;0,IF(G282&lt;&gt;0,-SIGN(G282)*MIN(ABS(G283-H281),ABS(G282)),0),0)</f>
        <v>0</v>
      </c>
      <c r="I282" s="566">
        <f>+G282+H282</f>
        <v>0</v>
      </c>
      <c r="J282" s="1033"/>
      <c r="K282" s="1010">
        <f>-MIN(ABS(I282),ABS(J284-K281))*SIGN(I282)</f>
        <v>0</v>
      </c>
      <c r="L282" s="1003">
        <f>+K282+H282</f>
        <v>0</v>
      </c>
      <c r="M282" s="566">
        <f>+I282+K282</f>
        <v>0</v>
      </c>
      <c r="N282" s="212"/>
      <c r="O282" s="167"/>
    </row>
    <row r="283" spans="2:15" x14ac:dyDescent="0.2">
      <c r="B283" s="1260">
        <v>2019</v>
      </c>
      <c r="C283" s="1261"/>
      <c r="D283" s="1261"/>
      <c r="E283" s="1262"/>
      <c r="F283" s="283"/>
      <c r="G283" s="566">
        <f>I123</f>
        <v>0</v>
      </c>
      <c r="H283" s="1003">
        <f>IF(SIGN(G283*M276)&lt;0,-SUM(H281:H282),0)</f>
        <v>0</v>
      </c>
      <c r="I283" s="566">
        <f>+G283+H283</f>
        <v>0</v>
      </c>
      <c r="J283" s="1033"/>
      <c r="K283" s="1010">
        <f>-MIN(ABS(I283),ABS(J284-K281-K282))*SIGN(I283)</f>
        <v>0</v>
      </c>
      <c r="L283" s="1003">
        <f>+K283+H283</f>
        <v>0</v>
      </c>
      <c r="M283" s="566">
        <f>+I283+K283</f>
        <v>0</v>
      </c>
      <c r="N283" s="212"/>
      <c r="O283" s="167"/>
    </row>
    <row r="284" spans="2:15" s="281" customFormat="1" x14ac:dyDescent="0.2">
      <c r="G284" s="169">
        <f>SUM(G281:G283)</f>
        <v>0</v>
      </c>
      <c r="H284" s="169">
        <f>SUM(H281:H283)</f>
        <v>0</v>
      </c>
      <c r="I284" s="169">
        <f>SUM(I281:I283)</f>
        <v>0</v>
      </c>
      <c r="J284" s="291">
        <f>-I284*0.5</f>
        <v>0</v>
      </c>
      <c r="K284" s="291">
        <f>SUM(K281:K283)</f>
        <v>0</v>
      </c>
      <c r="L284" s="570"/>
      <c r="M284" s="169">
        <f>SUM(M281:M283)</f>
        <v>0</v>
      </c>
    </row>
    <row r="285" spans="2:15" x14ac:dyDescent="0.2">
      <c r="O285" s="167"/>
    </row>
    <row r="286" spans="2:15" x14ac:dyDescent="0.2">
      <c r="B286" s="281" t="s">
        <v>172</v>
      </c>
      <c r="F286" s="1000">
        <v>2021</v>
      </c>
      <c r="O286" s="167"/>
    </row>
    <row r="287" spans="2:15" x14ac:dyDescent="0.2">
      <c r="O287" s="167"/>
    </row>
    <row r="288" spans="2:15" ht="78" customHeight="1" x14ac:dyDescent="0.2">
      <c r="B288" s="1257" t="s">
        <v>173</v>
      </c>
      <c r="C288" s="1258"/>
      <c r="D288" s="1258"/>
      <c r="E288" s="1259"/>
      <c r="F288" s="282"/>
      <c r="G288" s="166" t="str">
        <f>"Nog af te bouwen regulatoir saldo einde "&amp;F286-1</f>
        <v>Nog af te bouwen regulatoir saldo einde 2020</v>
      </c>
      <c r="H288" s="166" t="str">
        <f>"50% van het oorspronkelijk regulatoir saldo door te rekenen volgens de tariefmethodologie in het boekjaar "&amp;F286</f>
        <v>50% van het oorspronkelijk regulatoir saldo door te rekenen volgens de tariefmethodologie in het boekjaar 2021</v>
      </c>
      <c r="I288" s="166" t="str">
        <f>"Nog af te bouwen regulatoir saldo einde "&amp;F286</f>
        <v>Nog af te bouwen regulatoir saldo einde 2021</v>
      </c>
      <c r="J288" s="212"/>
      <c r="O288" s="167"/>
    </row>
    <row r="289" spans="2:15" x14ac:dyDescent="0.2">
      <c r="B289" s="1260">
        <v>2017</v>
      </c>
      <c r="C289" s="1261"/>
      <c r="D289" s="1261"/>
      <c r="E289" s="1262"/>
      <c r="F289" s="283"/>
      <c r="G289" s="566">
        <f>+M281</f>
        <v>0</v>
      </c>
      <c r="H289" s="566">
        <f>-G289*0.5</f>
        <v>0</v>
      </c>
      <c r="I289" s="566">
        <f>+G289+H289</f>
        <v>0</v>
      </c>
      <c r="J289" s="212"/>
      <c r="O289" s="167"/>
    </row>
    <row r="290" spans="2:15" x14ac:dyDescent="0.2">
      <c r="B290" s="1260">
        <v>2018</v>
      </c>
      <c r="C290" s="1261"/>
      <c r="D290" s="1261"/>
      <c r="E290" s="1262"/>
      <c r="F290" s="283"/>
      <c r="G290" s="566">
        <f t="shared" ref="G290:G291" si="35">+M282</f>
        <v>0</v>
      </c>
      <c r="H290" s="566">
        <f t="shared" ref="H290:H292" si="36">-G290*0.5</f>
        <v>0</v>
      </c>
      <c r="I290" s="566">
        <f t="shared" ref="I290:I292" si="37">+G290+H290</f>
        <v>0</v>
      </c>
      <c r="J290" s="212"/>
      <c r="O290" s="167"/>
    </row>
    <row r="291" spans="2:15" x14ac:dyDescent="0.2">
      <c r="B291" s="1260">
        <v>2019</v>
      </c>
      <c r="C291" s="1261"/>
      <c r="D291" s="1261">
        <v>2016</v>
      </c>
      <c r="E291" s="1262"/>
      <c r="F291" s="283"/>
      <c r="G291" s="566">
        <f t="shared" si="35"/>
        <v>0</v>
      </c>
      <c r="H291" s="566">
        <f t="shared" si="36"/>
        <v>0</v>
      </c>
      <c r="I291" s="566">
        <f t="shared" si="37"/>
        <v>0</v>
      </c>
      <c r="J291" s="212"/>
      <c r="O291" s="167"/>
    </row>
    <row r="292" spans="2:15" x14ac:dyDescent="0.2">
      <c r="B292" s="1260">
        <v>2020</v>
      </c>
      <c r="C292" s="1261"/>
      <c r="D292" s="1261"/>
      <c r="E292" s="1262"/>
      <c r="F292" s="283"/>
      <c r="G292" s="566">
        <f>J124</f>
        <v>0</v>
      </c>
      <c r="H292" s="566">
        <f t="shared" si="36"/>
        <v>0</v>
      </c>
      <c r="I292" s="566">
        <f t="shared" si="37"/>
        <v>0</v>
      </c>
      <c r="J292" s="212"/>
      <c r="O292" s="167"/>
    </row>
    <row r="293" spans="2:15" s="281" customFormat="1" x14ac:dyDescent="0.2">
      <c r="G293" s="169">
        <f>SUM(G289:G292)</f>
        <v>0</v>
      </c>
      <c r="H293" s="169">
        <f>SUM(H289:H292)</f>
        <v>0</v>
      </c>
      <c r="I293" s="169">
        <f>SUM(I289:I292)</f>
        <v>0</v>
      </c>
    </row>
    <row r="294" spans="2:15" x14ac:dyDescent="0.2">
      <c r="G294" s="221"/>
      <c r="H294" s="221"/>
      <c r="I294" s="221"/>
      <c r="O294" s="167"/>
    </row>
    <row r="295" spans="2:15" x14ac:dyDescent="0.2">
      <c r="B295" s="847" t="s">
        <v>172</v>
      </c>
      <c r="C295" s="842"/>
      <c r="D295" s="842"/>
      <c r="E295" s="842"/>
      <c r="F295" s="1004">
        <v>2022</v>
      </c>
      <c r="G295" s="842"/>
      <c r="H295" s="842"/>
      <c r="I295" s="842"/>
      <c r="O295" s="167"/>
    </row>
    <row r="296" spans="2:15" x14ac:dyDescent="0.2">
      <c r="B296" s="842"/>
      <c r="C296" s="842"/>
      <c r="D296" s="842"/>
      <c r="E296" s="842"/>
      <c r="F296" s="842"/>
      <c r="G296" s="842"/>
      <c r="H296" s="842"/>
      <c r="I296" s="842"/>
      <c r="O296" s="167"/>
    </row>
    <row r="297" spans="2:15" ht="78" customHeight="1" x14ac:dyDescent="0.2">
      <c r="B297" s="1254" t="s">
        <v>173</v>
      </c>
      <c r="C297" s="1255"/>
      <c r="D297" s="1255"/>
      <c r="E297" s="1256"/>
      <c r="F297" s="848"/>
      <c r="G297" s="837" t="str">
        <f>"Nog af te bouwen regulatoir saldo einde "&amp;F295-1</f>
        <v>Nog af te bouwen regulatoir saldo einde 2021</v>
      </c>
      <c r="H297" s="837" t="str">
        <f>"50% van het oorspronkelijk regulatoir saldo door te rekenen volgens de tariefmethodologie in het boekjaar "&amp;F295</f>
        <v>50% van het oorspronkelijk regulatoir saldo door te rekenen volgens de tariefmethodologie in het boekjaar 2022</v>
      </c>
      <c r="I297" s="837" t="str">
        <f>"Nog af te bouwen regulatoir saldo einde "&amp;F295</f>
        <v>Nog af te bouwen regulatoir saldo einde 2022</v>
      </c>
      <c r="J297" s="212"/>
      <c r="O297" s="167"/>
    </row>
    <row r="298" spans="2:15" x14ac:dyDescent="0.2">
      <c r="B298" s="1251">
        <v>2017</v>
      </c>
      <c r="C298" s="1252"/>
      <c r="D298" s="1252">
        <v>2016</v>
      </c>
      <c r="E298" s="1253"/>
      <c r="F298" s="341"/>
      <c r="G298" s="568">
        <f>+I289</f>
        <v>0</v>
      </c>
      <c r="H298" s="568">
        <f>-G289*0.5</f>
        <v>0</v>
      </c>
      <c r="I298" s="568">
        <f t="shared" ref="I298:I302" si="38">+G298+H298</f>
        <v>0</v>
      </c>
      <c r="J298" s="212"/>
      <c r="O298" s="167"/>
    </row>
    <row r="299" spans="2:15" x14ac:dyDescent="0.2">
      <c r="B299" s="1251">
        <v>2018</v>
      </c>
      <c r="C299" s="1252"/>
      <c r="D299" s="1252"/>
      <c r="E299" s="1253"/>
      <c r="F299" s="341"/>
      <c r="G299" s="568">
        <f t="shared" ref="G299:G301" si="39">+I290</f>
        <v>0</v>
      </c>
      <c r="H299" s="568">
        <f t="shared" ref="H299:H301" si="40">-G290*0.5</f>
        <v>0</v>
      </c>
      <c r="I299" s="568">
        <f t="shared" si="38"/>
        <v>0</v>
      </c>
      <c r="J299" s="212"/>
      <c r="O299" s="167"/>
    </row>
    <row r="300" spans="2:15" x14ac:dyDescent="0.2">
      <c r="B300" s="1251">
        <v>2019</v>
      </c>
      <c r="C300" s="1252"/>
      <c r="D300" s="1252"/>
      <c r="E300" s="1253"/>
      <c r="F300" s="341"/>
      <c r="G300" s="568">
        <f t="shared" si="39"/>
        <v>0</v>
      </c>
      <c r="H300" s="568">
        <f t="shared" si="40"/>
        <v>0</v>
      </c>
      <c r="I300" s="568">
        <f t="shared" si="38"/>
        <v>0</v>
      </c>
      <c r="J300" s="212"/>
      <c r="O300" s="167"/>
    </row>
    <row r="301" spans="2:15" x14ac:dyDescent="0.2">
      <c r="B301" s="1251">
        <v>2020</v>
      </c>
      <c r="C301" s="1252"/>
      <c r="D301" s="1252"/>
      <c r="E301" s="1253"/>
      <c r="F301" s="341"/>
      <c r="G301" s="568">
        <f t="shared" si="39"/>
        <v>0</v>
      </c>
      <c r="H301" s="568">
        <f t="shared" si="40"/>
        <v>0</v>
      </c>
      <c r="I301" s="568">
        <f t="shared" si="38"/>
        <v>0</v>
      </c>
      <c r="J301" s="212"/>
      <c r="O301" s="167"/>
    </row>
    <row r="302" spans="2:15" x14ac:dyDescent="0.2">
      <c r="B302" s="1251">
        <v>2021</v>
      </c>
      <c r="C302" s="1252"/>
      <c r="D302" s="1252"/>
      <c r="E302" s="1253"/>
      <c r="F302" s="341"/>
      <c r="G302" s="568">
        <f>K125</f>
        <v>0</v>
      </c>
      <c r="H302" s="568">
        <f t="shared" ref="H302" si="41">-G302*0.5</f>
        <v>0</v>
      </c>
      <c r="I302" s="568">
        <f t="shared" si="38"/>
        <v>0</v>
      </c>
      <c r="J302" s="212"/>
      <c r="O302" s="167"/>
    </row>
    <row r="303" spans="2:15" s="281" customFormat="1" x14ac:dyDescent="0.2">
      <c r="B303" s="847"/>
      <c r="C303" s="847"/>
      <c r="D303" s="847"/>
      <c r="E303" s="847"/>
      <c r="F303" s="847"/>
      <c r="G303" s="856">
        <f>SUM(G298:G302)</f>
        <v>0</v>
      </c>
      <c r="H303" s="856">
        <f>SUM(H298:H302)</f>
        <v>0</v>
      </c>
      <c r="I303" s="856">
        <f>SUM(I298:I302)</f>
        <v>0</v>
      </c>
    </row>
    <row r="304" spans="2:15" x14ac:dyDescent="0.2">
      <c r="B304" s="842"/>
      <c r="C304" s="842"/>
      <c r="D304" s="842"/>
      <c r="E304" s="842"/>
      <c r="F304" s="842"/>
      <c r="G304" s="842"/>
      <c r="H304" s="842"/>
      <c r="I304" s="842"/>
      <c r="O304" s="167"/>
    </row>
    <row r="305" spans="2:15" x14ac:dyDescent="0.2">
      <c r="B305" s="847" t="s">
        <v>172</v>
      </c>
      <c r="C305" s="842"/>
      <c r="D305" s="842"/>
      <c r="E305" s="842"/>
      <c r="F305" s="1004">
        <v>2023</v>
      </c>
      <c r="G305" s="842"/>
      <c r="H305" s="842"/>
      <c r="I305" s="842"/>
      <c r="O305" s="167"/>
    </row>
    <row r="306" spans="2:15" x14ac:dyDescent="0.2">
      <c r="B306" s="842"/>
      <c r="C306" s="842"/>
      <c r="D306" s="842"/>
      <c r="E306" s="842"/>
      <c r="F306" s="842"/>
      <c r="G306" s="842"/>
      <c r="H306" s="842"/>
      <c r="I306" s="842"/>
      <c r="O306" s="167"/>
    </row>
    <row r="307" spans="2:15" ht="78" customHeight="1" x14ac:dyDescent="0.2">
      <c r="B307" s="1254" t="s">
        <v>173</v>
      </c>
      <c r="C307" s="1255"/>
      <c r="D307" s="1255"/>
      <c r="E307" s="1256"/>
      <c r="F307" s="848"/>
      <c r="G307" s="837" t="str">
        <f>"Nog af te bouwen regulatoir saldo einde "&amp;F305-1</f>
        <v>Nog af te bouwen regulatoir saldo einde 2022</v>
      </c>
      <c r="H307" s="837" t="str">
        <f>"50% van het oorspronkelijk regulatoir saldo door te rekenen volgens de tariefmethodologie in het boekjaar "&amp;F305</f>
        <v>50% van het oorspronkelijk regulatoir saldo door te rekenen volgens de tariefmethodologie in het boekjaar 2023</v>
      </c>
      <c r="I307" s="837" t="str">
        <f>"Nog af te bouwen regulatoir saldo einde "&amp;F305</f>
        <v>Nog af te bouwen regulatoir saldo einde 2023</v>
      </c>
      <c r="J307" s="212"/>
      <c r="O307" s="167"/>
    </row>
    <row r="308" spans="2:15" x14ac:dyDescent="0.2">
      <c r="B308" s="1251">
        <v>2021</v>
      </c>
      <c r="C308" s="1252"/>
      <c r="D308" s="1252"/>
      <c r="E308" s="1253"/>
      <c r="F308" s="341"/>
      <c r="G308" s="568">
        <f>+I302</f>
        <v>0</v>
      </c>
      <c r="H308" s="568">
        <f>-G302*0.5</f>
        <v>0</v>
      </c>
      <c r="I308" s="568">
        <f t="shared" ref="I308:I309" si="42">+G308+H308</f>
        <v>0</v>
      </c>
      <c r="J308" s="212"/>
      <c r="O308" s="167"/>
    </row>
    <row r="309" spans="2:15" x14ac:dyDescent="0.2">
      <c r="B309" s="1251">
        <v>2022</v>
      </c>
      <c r="C309" s="1252"/>
      <c r="D309" s="1252"/>
      <c r="E309" s="1253"/>
      <c r="F309" s="341"/>
      <c r="G309" s="568">
        <f>L126</f>
        <v>0</v>
      </c>
      <c r="H309" s="568">
        <f t="shared" ref="H309" si="43">-G309*0.5</f>
        <v>0</v>
      </c>
      <c r="I309" s="568">
        <f t="shared" si="42"/>
        <v>0</v>
      </c>
      <c r="J309" s="212"/>
      <c r="O309" s="167"/>
    </row>
    <row r="310" spans="2:15" s="281" customFormat="1" x14ac:dyDescent="0.2">
      <c r="B310" s="847"/>
      <c r="C310" s="847"/>
      <c r="D310" s="847"/>
      <c r="E310" s="847"/>
      <c r="F310" s="847"/>
      <c r="G310" s="856">
        <f>SUM(G308:G309)</f>
        <v>0</v>
      </c>
      <c r="H310" s="856">
        <f>SUM(H308:H309)</f>
        <v>0</v>
      </c>
      <c r="I310" s="856">
        <f>SUM(I308:I309)</f>
        <v>0</v>
      </c>
    </row>
    <row r="311" spans="2:15" x14ac:dyDescent="0.2">
      <c r="B311" s="842"/>
      <c r="C311" s="842"/>
      <c r="D311" s="842"/>
      <c r="E311" s="842"/>
      <c r="F311" s="842"/>
      <c r="G311" s="842"/>
      <c r="H311" s="842"/>
      <c r="I311" s="842"/>
      <c r="O311" s="167"/>
    </row>
    <row r="312" spans="2:15" x14ac:dyDescent="0.2">
      <c r="B312" s="847" t="s">
        <v>172</v>
      </c>
      <c r="C312" s="842"/>
      <c r="D312" s="842"/>
      <c r="E312" s="842"/>
      <c r="F312" s="1004">
        <v>2024</v>
      </c>
      <c r="G312" s="842"/>
      <c r="H312" s="842"/>
      <c r="I312" s="842"/>
      <c r="O312" s="167"/>
    </row>
    <row r="313" spans="2:15" x14ac:dyDescent="0.2">
      <c r="B313" s="842"/>
      <c r="C313" s="842"/>
      <c r="D313" s="842"/>
      <c r="E313" s="842"/>
      <c r="F313" s="842"/>
      <c r="G313" s="842"/>
      <c r="H313" s="842"/>
      <c r="I313" s="842"/>
      <c r="O313" s="167"/>
    </row>
    <row r="314" spans="2:15" ht="78" customHeight="1" x14ac:dyDescent="0.2">
      <c r="B314" s="1254" t="s">
        <v>173</v>
      </c>
      <c r="C314" s="1255"/>
      <c r="D314" s="1255"/>
      <c r="E314" s="1256"/>
      <c r="F314" s="848"/>
      <c r="G314" s="837" t="str">
        <f>"Nog af te bouwen regulatoir saldo einde "&amp;F312-1</f>
        <v>Nog af te bouwen regulatoir saldo einde 2023</v>
      </c>
      <c r="H314" s="837" t="str">
        <f>"50% van het oorspronkelijk regulatoir saldo door te rekenen volgens de tariefmethodologie in het boekjaar "&amp;F312</f>
        <v>50% van het oorspronkelijk regulatoir saldo door te rekenen volgens de tariefmethodologie in het boekjaar 2024</v>
      </c>
      <c r="I314" s="837" t="str">
        <f>"Nog af te bouwen regulatoir saldo einde "&amp;F312</f>
        <v>Nog af te bouwen regulatoir saldo einde 2024</v>
      </c>
      <c r="J314" s="212"/>
      <c r="O314" s="167"/>
    </row>
    <row r="315" spans="2:15" x14ac:dyDescent="0.2">
      <c r="B315" s="1251">
        <v>2022</v>
      </c>
      <c r="C315" s="1252"/>
      <c r="D315" s="1252"/>
      <c r="E315" s="1253"/>
      <c r="F315" s="341"/>
      <c r="G315" s="568">
        <f>+I309</f>
        <v>0</v>
      </c>
      <c r="H315" s="568">
        <f>-G309*0.5</f>
        <v>0</v>
      </c>
      <c r="I315" s="568">
        <f t="shared" ref="I315:I316" si="44">+G315+H315</f>
        <v>0</v>
      </c>
      <c r="J315" s="212"/>
      <c r="O315" s="167"/>
    </row>
    <row r="316" spans="2:15" x14ac:dyDescent="0.2">
      <c r="B316" s="1251">
        <v>2023</v>
      </c>
      <c r="C316" s="1252"/>
      <c r="D316" s="1252"/>
      <c r="E316" s="1253"/>
      <c r="F316" s="341"/>
      <c r="G316" s="568">
        <f>+M127</f>
        <v>0</v>
      </c>
      <c r="H316" s="568">
        <f t="shared" ref="H316" si="45">-G316*0.5</f>
        <v>0</v>
      </c>
      <c r="I316" s="568">
        <f t="shared" si="44"/>
        <v>0</v>
      </c>
      <c r="J316" s="212"/>
      <c r="O316" s="167"/>
    </row>
    <row r="317" spans="2:15" s="281" customFormat="1" x14ac:dyDescent="0.2">
      <c r="B317" s="847"/>
      <c r="C317" s="847"/>
      <c r="D317" s="847"/>
      <c r="E317" s="847"/>
      <c r="F317" s="847"/>
      <c r="G317" s="856">
        <f>SUM(G315:G316)</f>
        <v>0</v>
      </c>
      <c r="H317" s="856">
        <f>SUM(H315:H316)</f>
        <v>0</v>
      </c>
      <c r="I317" s="856">
        <f>SUM(I315:I316)</f>
        <v>0</v>
      </c>
    </row>
    <row r="318" spans="2:15" x14ac:dyDescent="0.2">
      <c r="B318" s="281" t="str">
        <f>+B264</f>
        <v>Het tarief voor het systeembeheer</v>
      </c>
      <c r="O318" s="167"/>
    </row>
    <row r="319" spans="2:15" x14ac:dyDescent="0.2">
      <c r="B319" s="281" t="s">
        <v>174</v>
      </c>
      <c r="C319" s="224"/>
      <c r="D319" s="224"/>
      <c r="E319" s="224"/>
      <c r="O319" s="167"/>
    </row>
    <row r="320" spans="2:15" x14ac:dyDescent="0.2">
      <c r="B320" s="281"/>
      <c r="C320" s="224"/>
      <c r="D320" s="224"/>
      <c r="E320" s="224"/>
      <c r="O320" s="167"/>
    </row>
    <row r="321" spans="2:16" x14ac:dyDescent="0.2">
      <c r="B321" s="283">
        <f>F286</f>
        <v>2021</v>
      </c>
      <c r="C321" s="287">
        <f>+H293</f>
        <v>0</v>
      </c>
      <c r="D321" s="224"/>
      <c r="E321" s="224"/>
      <c r="O321" s="167"/>
    </row>
    <row r="322" spans="2:16" x14ac:dyDescent="0.2">
      <c r="B322" s="341">
        <v>2022</v>
      </c>
      <c r="C322" s="342">
        <f>+H303</f>
        <v>0</v>
      </c>
      <c r="D322" s="224"/>
      <c r="E322" s="224"/>
      <c r="O322" s="167"/>
    </row>
    <row r="323" spans="2:16" x14ac:dyDescent="0.2">
      <c r="B323" s="341">
        <v>2023</v>
      </c>
      <c r="C323" s="342">
        <f>+H310</f>
        <v>0</v>
      </c>
      <c r="D323" s="224"/>
      <c r="E323" s="224"/>
      <c r="O323" s="167"/>
    </row>
    <row r="324" spans="2:16" x14ac:dyDescent="0.2">
      <c r="B324" s="341">
        <v>2024</v>
      </c>
      <c r="C324" s="342">
        <f>+H317</f>
        <v>0</v>
      </c>
      <c r="D324" s="224"/>
      <c r="E324" s="224"/>
      <c r="O324" s="167"/>
    </row>
    <row r="325" spans="2:16" x14ac:dyDescent="0.2">
      <c r="O325" s="167"/>
    </row>
    <row r="326" spans="2:16" x14ac:dyDescent="0.2">
      <c r="O326" s="167"/>
    </row>
    <row r="327" spans="2:16" x14ac:dyDescent="0.2">
      <c r="B327" s="326" t="s">
        <v>205</v>
      </c>
      <c r="C327" s="327"/>
      <c r="D327" s="327"/>
      <c r="E327" s="327"/>
      <c r="F327" s="328"/>
      <c r="G327" s="328"/>
      <c r="H327" s="328"/>
      <c r="I327" s="328"/>
      <c r="J327" s="328"/>
      <c r="K327" s="328"/>
      <c r="L327" s="328"/>
      <c r="M327" s="328"/>
      <c r="N327" s="328"/>
      <c r="O327" s="329"/>
      <c r="P327" s="328"/>
    </row>
    <row r="328" spans="2:16" x14ac:dyDescent="0.2">
      <c r="O328" s="212"/>
    </row>
    <row r="329" spans="2:16" x14ac:dyDescent="0.2">
      <c r="B329" s="281" t="s">
        <v>172</v>
      </c>
      <c r="F329" s="1000">
        <v>2018</v>
      </c>
      <c r="O329" s="212"/>
    </row>
    <row r="330" spans="2:16" x14ac:dyDescent="0.2">
      <c r="O330" s="167"/>
    </row>
    <row r="331" spans="2:16" s="220" customFormat="1" ht="107.1" customHeight="1" x14ac:dyDescent="0.2">
      <c r="B331" s="1257" t="s">
        <v>173</v>
      </c>
      <c r="C331" s="1258"/>
      <c r="D331" s="1258"/>
      <c r="E331" s="1259"/>
      <c r="F331" s="804"/>
      <c r="G331" s="166" t="str">
        <f>"Nog af te bouwen regulatoir saldo einde "&amp;F329-1</f>
        <v>Nog af te bouwen regulatoir saldo einde 2017</v>
      </c>
      <c r="H331" s="166" t="str">
        <f>"Afbouw oudste openstaande regulatoir saldo vanaf boekjaar "&amp;F329-2&amp;" en vroeger, door aanwending van compensatie met regulatoir saldo ontstaan over boekjaar "&amp;F329-1</f>
        <v>Afbouw oudste openstaande regulatoir saldo vanaf boekjaar 2016 en vroeger, door aanwending van compensatie met regulatoir saldo ontstaan over boekjaar 2017</v>
      </c>
      <c r="I331" s="166" t="str">
        <f>"Nog af te bouwen regulatoir saldo na compensatie einde "&amp;F329-1</f>
        <v>Nog af te bouwen regulatoir saldo na compensatie einde 2017</v>
      </c>
      <c r="J331" s="166" t="str">
        <f>"Aanwending van 50% van het geaccumuleerd regulatoir saldo door te rekenen volgens de tariefmethodologie in het boekjaar "&amp;F329</f>
        <v>Aanwending van 50% van het geaccumuleerd regulatoir saldo door te rekenen volgens de tariefmethodologie in het boekjaar 2018</v>
      </c>
      <c r="K331" s="166" t="str">
        <f>"Nog af te bouwen regulatoir saldo einde "&amp;F329</f>
        <v>Nog af te bouwen regulatoir saldo einde 2018</v>
      </c>
      <c r="L331" s="228"/>
      <c r="M331" s="228"/>
      <c r="N331" s="228"/>
    </row>
    <row r="332" spans="2:16" x14ac:dyDescent="0.2">
      <c r="B332" s="1260">
        <v>2017</v>
      </c>
      <c r="C332" s="1261"/>
      <c r="D332" s="1261"/>
      <c r="E332" s="1262"/>
      <c r="F332" s="283"/>
      <c r="G332" s="566">
        <f>+G130</f>
        <v>0</v>
      </c>
      <c r="H332" s="566">
        <v>0</v>
      </c>
      <c r="I332" s="566">
        <f>+G332+H332</f>
        <v>0</v>
      </c>
      <c r="J332" s="1010">
        <f>-I332*0.5</f>
        <v>0</v>
      </c>
      <c r="K332" s="1032">
        <f>+J332+G332</f>
        <v>0</v>
      </c>
      <c r="L332" s="1002"/>
      <c r="M332" s="1002"/>
      <c r="N332" s="1002"/>
      <c r="O332" s="167"/>
    </row>
    <row r="333" spans="2:16" x14ac:dyDescent="0.2">
      <c r="O333" s="167"/>
    </row>
    <row r="334" spans="2:16" x14ac:dyDescent="0.2">
      <c r="B334" s="281" t="s">
        <v>172</v>
      </c>
      <c r="F334" s="1000">
        <v>2019</v>
      </c>
      <c r="O334" s="212"/>
    </row>
    <row r="335" spans="2:16" x14ac:dyDescent="0.2">
      <c r="O335" s="212"/>
    </row>
    <row r="336" spans="2:16" s="220" customFormat="1" ht="107.1" customHeight="1" x14ac:dyDescent="0.2">
      <c r="B336" s="1257" t="s">
        <v>173</v>
      </c>
      <c r="C336" s="1258"/>
      <c r="D336" s="1258"/>
      <c r="E336" s="1259"/>
      <c r="F336" s="804"/>
      <c r="G336" s="166" t="str">
        <f>"Nog af te bouwen regulatoir saldo einde "&amp;F334-1</f>
        <v>Nog af te bouwen regulatoir saldo einde 2018</v>
      </c>
      <c r="H336" s="166" t="str">
        <f>"Afbouw oudste openstaande regulatoir saldo vanaf boekjaar "&amp;F334-2&amp;" en vroeger, door aanwending van compensatie met regulatoir saldo ontstaan over boekjaar "&amp;F334-1</f>
        <v>Afbouw oudste openstaande regulatoir saldo vanaf boekjaar 2017 en vroeger, door aanwending van compensatie met regulatoir saldo ontstaan over boekjaar 2018</v>
      </c>
      <c r="I336" s="166" t="str">
        <f>"Nog af te bouwen regulatoir saldo na compensatie einde "&amp;F334-1</f>
        <v>Nog af te bouwen regulatoir saldo na compensatie einde 2018</v>
      </c>
      <c r="J336" s="166" t="str">
        <f>"Aanwending van 50% van het geaccumuleerd regulatoir saldo door te rekenen volgens de tariefmethodologie in het boekjaar "&amp;F334</f>
        <v>Aanwending van 50% van het geaccumuleerd regulatoir saldo door te rekenen volgens de tariefmethodologie in het boekjaar 2019</v>
      </c>
      <c r="K336" s="166" t="str">
        <f>"Aanwending van 50% van het geaccumuleerd regulatoir saldo door te rekenen volgens de tariefmethodologie in het boekjaar "&amp;F334</f>
        <v>Aanwending van 50% van het geaccumuleerd regulatoir saldo door te rekenen volgens de tariefmethodologie in het boekjaar 2019</v>
      </c>
      <c r="L336" s="166" t="str">
        <f>"Totale afbouw over "&amp;F334</f>
        <v>Totale afbouw over 2019</v>
      </c>
      <c r="M336" s="166" t="str">
        <f>"Nog af te bouwen regulatoir saldo einde "&amp;F334</f>
        <v>Nog af te bouwen regulatoir saldo einde 2019</v>
      </c>
      <c r="N336" s="564"/>
    </row>
    <row r="337" spans="2:15" x14ac:dyDescent="0.2">
      <c r="B337" s="1260">
        <v>2017</v>
      </c>
      <c r="C337" s="1261"/>
      <c r="D337" s="1261"/>
      <c r="E337" s="1262"/>
      <c r="F337" s="283"/>
      <c r="G337" s="566">
        <f>K332</f>
        <v>0</v>
      </c>
      <c r="H337" s="566">
        <f>IF(SIGN(G338*K332)&lt;0,IF(G337&lt;&gt;0,-SIGN(G337)*MIN(ABS(G338),ABS(G337)),0),0)</f>
        <v>0</v>
      </c>
      <c r="I337" s="566">
        <f>+G337+H337</f>
        <v>0</v>
      </c>
      <c r="J337" s="1033"/>
      <c r="K337" s="1010">
        <f>-MIN(ABS(I337),ABS(J339))*SIGN(I337)</f>
        <v>0</v>
      </c>
      <c r="L337" s="1003">
        <f>+K337+H337</f>
        <v>0</v>
      </c>
      <c r="M337" s="566">
        <f>+I337+K337</f>
        <v>0</v>
      </c>
      <c r="N337" s="212"/>
      <c r="O337" s="167"/>
    </row>
    <row r="338" spans="2:15" x14ac:dyDescent="0.2">
      <c r="B338" s="1260">
        <v>2018</v>
      </c>
      <c r="C338" s="1261"/>
      <c r="D338" s="1261"/>
      <c r="E338" s="1262"/>
      <c r="F338" s="283"/>
      <c r="G338" s="566">
        <f>+H131</f>
        <v>0</v>
      </c>
      <c r="H338" s="1003">
        <f>IF(SIGN(G338*K332)&lt;0,-H337,0)</f>
        <v>0</v>
      </c>
      <c r="I338" s="566">
        <f>+G338+H338</f>
        <v>0</v>
      </c>
      <c r="J338" s="1033"/>
      <c r="K338" s="1010">
        <f>-MIN(ABS(I338),ABS(J339-K337))*SIGN(I338)</f>
        <v>0</v>
      </c>
      <c r="L338" s="1003">
        <f>+K338+H338</f>
        <v>0</v>
      </c>
      <c r="M338" s="566">
        <f>+I338+K338</f>
        <v>0</v>
      </c>
      <c r="N338" s="212"/>
      <c r="O338" s="167"/>
    </row>
    <row r="339" spans="2:15" s="281" customFormat="1" x14ac:dyDescent="0.2">
      <c r="G339" s="169">
        <f>SUM(G337:G338)</f>
        <v>0</v>
      </c>
      <c r="H339" s="169">
        <f>SUM(H337:H338)</f>
        <v>0</v>
      </c>
      <c r="I339" s="169">
        <f>SUM(I337:I338)</f>
        <v>0</v>
      </c>
      <c r="J339" s="291">
        <f>-I339*0.5</f>
        <v>0</v>
      </c>
      <c r="K339" s="291">
        <f>SUM(K337:K338)</f>
        <v>0</v>
      </c>
      <c r="L339" s="570"/>
      <c r="M339" s="169">
        <f>SUM(M337:M338)</f>
        <v>0</v>
      </c>
    </row>
    <row r="340" spans="2:15" x14ac:dyDescent="0.2">
      <c r="O340" s="167"/>
    </row>
    <row r="341" spans="2:15" x14ac:dyDescent="0.2">
      <c r="B341" s="281" t="s">
        <v>172</v>
      </c>
      <c r="F341" s="1000">
        <v>2020</v>
      </c>
      <c r="O341" s="167"/>
    </row>
    <row r="342" spans="2:15" x14ac:dyDescent="0.2">
      <c r="O342" s="167"/>
    </row>
    <row r="343" spans="2:15" s="220" customFormat="1" ht="107.1" customHeight="1" x14ac:dyDescent="0.2">
      <c r="B343" s="1257" t="s">
        <v>173</v>
      </c>
      <c r="C343" s="1258"/>
      <c r="D343" s="1258"/>
      <c r="E343" s="1259"/>
      <c r="F343" s="804"/>
      <c r="G343" s="166" t="str">
        <f>"Nog af te bouwen regulatoir saldo einde "&amp;F341-1</f>
        <v>Nog af te bouwen regulatoir saldo einde 2019</v>
      </c>
      <c r="H343" s="166" t="str">
        <f>"Afbouw oudste openstaande regulatoir saldo vanaf boekjaar "&amp;F341-2&amp;" en vroeger, door aanwending van compensatie met regulatoir saldo ontstaan over boekjaar "&amp;F341-1</f>
        <v>Afbouw oudste openstaande regulatoir saldo vanaf boekjaar 2018 en vroeger, door aanwending van compensatie met regulatoir saldo ontstaan over boekjaar 2019</v>
      </c>
      <c r="I343" s="166" t="str">
        <f>"Nog af te bouwen regulatoir saldo na compensatie einde "&amp;F341-1</f>
        <v>Nog af te bouwen regulatoir saldo na compensatie einde 2019</v>
      </c>
      <c r="J343" s="166" t="str">
        <f>"Aanwending van 50% van het geaccumuleerd regulatoir saldo door te rekenen volgens de tariefmethodologie in het boekjaar "&amp;F341</f>
        <v>Aanwending van 50% van het geaccumuleerd regulatoir saldo door te rekenen volgens de tariefmethodologie in het boekjaar 2020</v>
      </c>
      <c r="K343" s="166" t="str">
        <f>"Aanwending van 50% van het geaccumuleerd regulatoir saldo door te rekenen volgens de tariefmethodologie in het boekjaar "&amp;F341</f>
        <v>Aanwending van 50% van het geaccumuleerd regulatoir saldo door te rekenen volgens de tariefmethodologie in het boekjaar 2020</v>
      </c>
      <c r="L343" s="166" t="str">
        <f>"Totale afbouw over "&amp;F341</f>
        <v>Totale afbouw over 2020</v>
      </c>
      <c r="M343" s="166" t="str">
        <f>"Nog af te bouwen regulatoir saldo einde "&amp;F341</f>
        <v>Nog af te bouwen regulatoir saldo einde 2020</v>
      </c>
      <c r="N343" s="564"/>
    </row>
    <row r="344" spans="2:15" x14ac:dyDescent="0.2">
      <c r="B344" s="1260">
        <v>2017</v>
      </c>
      <c r="C344" s="1261"/>
      <c r="D344" s="1261"/>
      <c r="E344" s="1262"/>
      <c r="F344" s="283"/>
      <c r="G344" s="566">
        <f>+M337</f>
        <v>0</v>
      </c>
      <c r="H344" s="1003">
        <f>IF(SIGN(G346*M339)&lt;0,IF(G344&lt;&gt;0,-SIGN(G344)*MIN(ABS(G346),ABS(G344)),0),0)</f>
        <v>0</v>
      </c>
      <c r="I344" s="566">
        <f>+G344+H344</f>
        <v>0</v>
      </c>
      <c r="J344" s="1033"/>
      <c r="K344" s="1010">
        <f>-MIN(ABS(I344),ABS(J347))*SIGN(I344)</f>
        <v>0</v>
      </c>
      <c r="L344" s="1003">
        <f>+K344+H344</f>
        <v>0</v>
      </c>
      <c r="M344" s="566">
        <f>+I344+K344</f>
        <v>0</v>
      </c>
      <c r="N344" s="212"/>
      <c r="O344" s="167"/>
    </row>
    <row r="345" spans="2:15" x14ac:dyDescent="0.2">
      <c r="B345" s="1260">
        <v>2018</v>
      </c>
      <c r="C345" s="1261"/>
      <c r="D345" s="1261">
        <v>2016</v>
      </c>
      <c r="E345" s="1262"/>
      <c r="F345" s="283"/>
      <c r="G345" s="566">
        <f>+M338</f>
        <v>0</v>
      </c>
      <c r="H345" s="1003">
        <f>IF(SIGN(G346*M339)&lt;0,IF(G345&lt;&gt;0,-SIGN(G345)*MIN(ABS(G346-H344),ABS(G345)),0),0)</f>
        <v>0</v>
      </c>
      <c r="I345" s="566">
        <f>+G345+H345</f>
        <v>0</v>
      </c>
      <c r="J345" s="1033"/>
      <c r="K345" s="1010">
        <f>-MIN(ABS(I345),ABS(J347-K344))*SIGN(I345)</f>
        <v>0</v>
      </c>
      <c r="L345" s="1003">
        <f>+K345+H345</f>
        <v>0</v>
      </c>
      <c r="M345" s="566">
        <f>+I345+K345</f>
        <v>0</v>
      </c>
      <c r="N345" s="212"/>
      <c r="O345" s="167"/>
    </row>
    <row r="346" spans="2:15" x14ac:dyDescent="0.2">
      <c r="B346" s="1260">
        <v>2019</v>
      </c>
      <c r="C346" s="1261"/>
      <c r="D346" s="1261"/>
      <c r="E346" s="1262"/>
      <c r="F346" s="283"/>
      <c r="G346" s="566">
        <f>I132</f>
        <v>0</v>
      </c>
      <c r="H346" s="1003">
        <f>IF(SIGN(G346*M339)&lt;0,-SUM(H344:H345),0)</f>
        <v>0</v>
      </c>
      <c r="I346" s="566">
        <f>+G346+H346</f>
        <v>0</v>
      </c>
      <c r="J346" s="1033"/>
      <c r="K346" s="1010">
        <f>-MIN(ABS(I346),ABS(J347-K344-K345))*SIGN(I346)</f>
        <v>0</v>
      </c>
      <c r="L346" s="1003">
        <f>+K346+H346</f>
        <v>0</v>
      </c>
      <c r="M346" s="566">
        <f>+I346+K346</f>
        <v>0</v>
      </c>
      <c r="N346" s="212"/>
      <c r="O346" s="167"/>
    </row>
    <row r="347" spans="2:15" s="281" customFormat="1" x14ac:dyDescent="0.2">
      <c r="G347" s="169">
        <f>SUM(G344:G346)</f>
        <v>0</v>
      </c>
      <c r="H347" s="169">
        <f>SUM(H344:H346)</f>
        <v>0</v>
      </c>
      <c r="I347" s="169">
        <f>SUM(I344:I346)</f>
        <v>0</v>
      </c>
      <c r="J347" s="291">
        <f>-I347*0.5</f>
        <v>0</v>
      </c>
      <c r="K347" s="291">
        <f>SUM(K344:K346)</f>
        <v>0</v>
      </c>
      <c r="L347" s="570"/>
      <c r="M347" s="169">
        <f>SUM(M344:M346)</f>
        <v>0</v>
      </c>
    </row>
    <row r="348" spans="2:15" x14ac:dyDescent="0.2">
      <c r="O348" s="167"/>
    </row>
    <row r="349" spans="2:15" x14ac:dyDescent="0.2">
      <c r="B349" s="281" t="s">
        <v>172</v>
      </c>
      <c r="F349" s="1000">
        <v>2021</v>
      </c>
      <c r="O349" s="167"/>
    </row>
    <row r="350" spans="2:15" x14ac:dyDescent="0.2">
      <c r="O350" s="167"/>
    </row>
    <row r="351" spans="2:15" ht="78" customHeight="1" x14ac:dyDescent="0.2">
      <c r="B351" s="1257" t="s">
        <v>173</v>
      </c>
      <c r="C351" s="1258"/>
      <c r="D351" s="1258"/>
      <c r="E351" s="1259"/>
      <c r="F351" s="282"/>
      <c r="G351" s="166" t="str">
        <f>"Nog af te bouwen regulatoir saldo einde "&amp;F349-1</f>
        <v>Nog af te bouwen regulatoir saldo einde 2020</v>
      </c>
      <c r="H351" s="166" t="str">
        <f>"50% van het oorspronkelijk regulatoir saldo door te rekenen volgens de tariefmethodologie in het boekjaar "&amp;F349</f>
        <v>50% van het oorspronkelijk regulatoir saldo door te rekenen volgens de tariefmethodologie in het boekjaar 2021</v>
      </c>
      <c r="I351" s="166" t="str">
        <f>"Nog af te bouwen regulatoir saldo einde "&amp;F349</f>
        <v>Nog af te bouwen regulatoir saldo einde 2021</v>
      </c>
      <c r="J351" s="212"/>
      <c r="O351" s="167"/>
    </row>
    <row r="352" spans="2:15" x14ac:dyDescent="0.2">
      <c r="B352" s="1260">
        <v>2017</v>
      </c>
      <c r="C352" s="1261"/>
      <c r="D352" s="1261"/>
      <c r="E352" s="1262"/>
      <c r="F352" s="283"/>
      <c r="G352" s="566">
        <f>+M344</f>
        <v>0</v>
      </c>
      <c r="H352" s="566">
        <f>-G352*0.5</f>
        <v>0</v>
      </c>
      <c r="I352" s="566">
        <f>+G352+H352</f>
        <v>0</v>
      </c>
      <c r="J352" s="212"/>
      <c r="O352" s="167"/>
    </row>
    <row r="353" spans="2:15" x14ac:dyDescent="0.2">
      <c r="B353" s="1260">
        <v>2018</v>
      </c>
      <c r="C353" s="1261"/>
      <c r="D353" s="1261"/>
      <c r="E353" s="1262"/>
      <c r="F353" s="283"/>
      <c r="G353" s="566">
        <f t="shared" ref="G353:G354" si="46">+M345</f>
        <v>0</v>
      </c>
      <c r="H353" s="566">
        <f t="shared" ref="H353:H355" si="47">-G353*0.5</f>
        <v>0</v>
      </c>
      <c r="I353" s="566">
        <f t="shared" ref="I353:I355" si="48">+G353+H353</f>
        <v>0</v>
      </c>
      <c r="J353" s="212"/>
      <c r="O353" s="167"/>
    </row>
    <row r="354" spans="2:15" x14ac:dyDescent="0.2">
      <c r="B354" s="1260">
        <v>2019</v>
      </c>
      <c r="C354" s="1261"/>
      <c r="D354" s="1261">
        <v>2016</v>
      </c>
      <c r="E354" s="1262"/>
      <c r="F354" s="283"/>
      <c r="G354" s="566">
        <f t="shared" si="46"/>
        <v>0</v>
      </c>
      <c r="H354" s="566">
        <f t="shared" si="47"/>
        <v>0</v>
      </c>
      <c r="I354" s="566">
        <f t="shared" si="48"/>
        <v>0</v>
      </c>
      <c r="J354" s="212"/>
      <c r="O354" s="167"/>
    </row>
    <row r="355" spans="2:15" x14ac:dyDescent="0.2">
      <c r="B355" s="1260">
        <v>2020</v>
      </c>
      <c r="C355" s="1261"/>
      <c r="D355" s="1261"/>
      <c r="E355" s="1262"/>
      <c r="F355" s="283"/>
      <c r="G355" s="566">
        <f>J133</f>
        <v>0</v>
      </c>
      <c r="H355" s="566">
        <f t="shared" si="47"/>
        <v>0</v>
      </c>
      <c r="I355" s="566">
        <f t="shared" si="48"/>
        <v>0</v>
      </c>
      <c r="J355" s="212"/>
      <c r="O355" s="167"/>
    </row>
    <row r="356" spans="2:15" s="281" customFormat="1" x14ac:dyDescent="0.2">
      <c r="G356" s="169">
        <f>SUM(G352:G355)</f>
        <v>0</v>
      </c>
      <c r="H356" s="169">
        <f>SUM(H352:H355)</f>
        <v>0</v>
      </c>
      <c r="I356" s="169">
        <f>SUM(I352:I355)</f>
        <v>0</v>
      </c>
    </row>
    <row r="357" spans="2:15" x14ac:dyDescent="0.2">
      <c r="G357" s="221"/>
      <c r="H357" s="221"/>
      <c r="I357" s="221"/>
      <c r="O357" s="167"/>
    </row>
    <row r="358" spans="2:15" x14ac:dyDescent="0.2">
      <c r="B358" s="847" t="s">
        <v>172</v>
      </c>
      <c r="C358" s="842"/>
      <c r="D358" s="842"/>
      <c r="E358" s="842"/>
      <c r="F358" s="1004">
        <v>2022</v>
      </c>
      <c r="G358" s="842"/>
      <c r="H358" s="842"/>
      <c r="I358" s="842"/>
      <c r="O358" s="167"/>
    </row>
    <row r="359" spans="2:15" x14ac:dyDescent="0.2">
      <c r="B359" s="842"/>
      <c r="C359" s="842"/>
      <c r="D359" s="842"/>
      <c r="E359" s="842"/>
      <c r="F359" s="842"/>
      <c r="G359" s="842"/>
      <c r="H359" s="842"/>
      <c r="I359" s="842"/>
      <c r="O359" s="167"/>
    </row>
    <row r="360" spans="2:15" ht="78" customHeight="1" x14ac:dyDescent="0.2">
      <c r="B360" s="1254" t="s">
        <v>173</v>
      </c>
      <c r="C360" s="1255"/>
      <c r="D360" s="1255"/>
      <c r="E360" s="1256"/>
      <c r="F360" s="848"/>
      <c r="G360" s="837" t="str">
        <f>"Nog af te bouwen regulatoir saldo einde "&amp;F358-1</f>
        <v>Nog af te bouwen regulatoir saldo einde 2021</v>
      </c>
      <c r="H360" s="837" t="str">
        <f>"50% van het oorspronkelijk regulatoir saldo door te rekenen volgens de tariefmethodologie in het boekjaar "&amp;F358</f>
        <v>50% van het oorspronkelijk regulatoir saldo door te rekenen volgens de tariefmethodologie in het boekjaar 2022</v>
      </c>
      <c r="I360" s="837" t="str">
        <f>"Nog af te bouwen regulatoir saldo einde "&amp;F358</f>
        <v>Nog af te bouwen regulatoir saldo einde 2022</v>
      </c>
      <c r="J360" s="212"/>
      <c r="O360" s="167"/>
    </row>
    <row r="361" spans="2:15" x14ac:dyDescent="0.2">
      <c r="B361" s="1251">
        <v>2017</v>
      </c>
      <c r="C361" s="1252"/>
      <c r="D361" s="1252">
        <v>2016</v>
      </c>
      <c r="E361" s="1253"/>
      <c r="F361" s="341"/>
      <c r="G361" s="568">
        <f>+I352</f>
        <v>0</v>
      </c>
      <c r="H361" s="568">
        <f>-G352*0.5</f>
        <v>0</v>
      </c>
      <c r="I361" s="568">
        <f t="shared" ref="I361:I365" si="49">+G361+H361</f>
        <v>0</v>
      </c>
      <c r="J361" s="212"/>
      <c r="O361" s="167"/>
    </row>
    <row r="362" spans="2:15" x14ac:dyDescent="0.2">
      <c r="B362" s="1251">
        <v>2018</v>
      </c>
      <c r="C362" s="1252"/>
      <c r="D362" s="1252"/>
      <c r="E362" s="1253"/>
      <c r="F362" s="341"/>
      <c r="G362" s="568">
        <f t="shared" ref="G362:G364" si="50">+I353</f>
        <v>0</v>
      </c>
      <c r="H362" s="568">
        <f t="shared" ref="H362:H364" si="51">-G353*0.5</f>
        <v>0</v>
      </c>
      <c r="I362" s="568">
        <f t="shared" si="49"/>
        <v>0</v>
      </c>
      <c r="J362" s="212"/>
      <c r="O362" s="167"/>
    </row>
    <row r="363" spans="2:15" x14ac:dyDescent="0.2">
      <c r="B363" s="1251">
        <v>2019</v>
      </c>
      <c r="C363" s="1252"/>
      <c r="D363" s="1252"/>
      <c r="E363" s="1253"/>
      <c r="F363" s="341"/>
      <c r="G363" s="568">
        <f t="shared" si="50"/>
        <v>0</v>
      </c>
      <c r="H363" s="568">
        <f t="shared" si="51"/>
        <v>0</v>
      </c>
      <c r="I363" s="568">
        <f t="shared" si="49"/>
        <v>0</v>
      </c>
      <c r="J363" s="212"/>
      <c r="O363" s="167"/>
    </row>
    <row r="364" spans="2:15" x14ac:dyDescent="0.2">
      <c r="B364" s="1251">
        <v>2020</v>
      </c>
      <c r="C364" s="1252"/>
      <c r="D364" s="1252"/>
      <c r="E364" s="1253"/>
      <c r="F364" s="341"/>
      <c r="G364" s="568">
        <f t="shared" si="50"/>
        <v>0</v>
      </c>
      <c r="H364" s="568">
        <f t="shared" si="51"/>
        <v>0</v>
      </c>
      <c r="I364" s="568">
        <f t="shared" si="49"/>
        <v>0</v>
      </c>
      <c r="J364" s="212"/>
      <c r="O364" s="167"/>
    </row>
    <row r="365" spans="2:15" x14ac:dyDescent="0.2">
      <c r="B365" s="1251">
        <v>2021</v>
      </c>
      <c r="C365" s="1252"/>
      <c r="D365" s="1252"/>
      <c r="E365" s="1253"/>
      <c r="F365" s="341"/>
      <c r="G365" s="568">
        <f>K134</f>
        <v>0</v>
      </c>
      <c r="H365" s="568">
        <f t="shared" ref="H365" si="52">-G365*0.5</f>
        <v>0</v>
      </c>
      <c r="I365" s="568">
        <f t="shared" si="49"/>
        <v>0</v>
      </c>
      <c r="J365" s="212"/>
      <c r="O365" s="167"/>
    </row>
    <row r="366" spans="2:15" s="281" customFormat="1" x14ac:dyDescent="0.2">
      <c r="B366" s="847"/>
      <c r="C366" s="847"/>
      <c r="D366" s="847"/>
      <c r="E366" s="847"/>
      <c r="F366" s="847"/>
      <c r="G366" s="856">
        <f>SUM(G361:G365)</f>
        <v>0</v>
      </c>
      <c r="H366" s="856">
        <f>SUM(H361:H365)</f>
        <v>0</v>
      </c>
      <c r="I366" s="856">
        <f>SUM(I361:I365)</f>
        <v>0</v>
      </c>
    </row>
    <row r="367" spans="2:15" x14ac:dyDescent="0.2">
      <c r="B367" s="842"/>
      <c r="C367" s="842"/>
      <c r="D367" s="842"/>
      <c r="E367" s="842"/>
      <c r="F367" s="842"/>
      <c r="G367" s="842"/>
      <c r="H367" s="842"/>
      <c r="I367" s="842"/>
      <c r="O367" s="167"/>
    </row>
    <row r="368" spans="2:15" x14ac:dyDescent="0.2">
      <c r="B368" s="847" t="s">
        <v>172</v>
      </c>
      <c r="C368" s="842"/>
      <c r="D368" s="842"/>
      <c r="E368" s="842"/>
      <c r="F368" s="1004">
        <v>2023</v>
      </c>
      <c r="G368" s="842"/>
      <c r="H368" s="842"/>
      <c r="I368" s="842"/>
      <c r="O368" s="167"/>
    </row>
    <row r="369" spans="2:15" x14ac:dyDescent="0.2">
      <c r="B369" s="842"/>
      <c r="C369" s="842"/>
      <c r="D369" s="842"/>
      <c r="E369" s="842"/>
      <c r="F369" s="842"/>
      <c r="G369" s="842"/>
      <c r="H369" s="842"/>
      <c r="I369" s="842"/>
      <c r="O369" s="167"/>
    </row>
    <row r="370" spans="2:15" ht="78" customHeight="1" x14ac:dyDescent="0.2">
      <c r="B370" s="1254" t="s">
        <v>173</v>
      </c>
      <c r="C370" s="1255"/>
      <c r="D370" s="1255"/>
      <c r="E370" s="1256"/>
      <c r="F370" s="848"/>
      <c r="G370" s="837" t="str">
        <f>"Nog af te bouwen regulatoir saldo einde "&amp;F368-1</f>
        <v>Nog af te bouwen regulatoir saldo einde 2022</v>
      </c>
      <c r="H370" s="837" t="str">
        <f>"50% van het oorspronkelijk regulatoir saldo door te rekenen volgens de tariefmethodologie in het boekjaar "&amp;F368</f>
        <v>50% van het oorspronkelijk regulatoir saldo door te rekenen volgens de tariefmethodologie in het boekjaar 2023</v>
      </c>
      <c r="I370" s="837" t="str">
        <f>"Nog af te bouwen regulatoir saldo einde "&amp;F368</f>
        <v>Nog af te bouwen regulatoir saldo einde 2023</v>
      </c>
      <c r="J370" s="212"/>
      <c r="O370" s="167"/>
    </row>
    <row r="371" spans="2:15" x14ac:dyDescent="0.2">
      <c r="B371" s="1251">
        <v>2021</v>
      </c>
      <c r="C371" s="1252"/>
      <c r="D371" s="1252"/>
      <c r="E371" s="1253"/>
      <c r="F371" s="341"/>
      <c r="G371" s="568">
        <f>+I365</f>
        <v>0</v>
      </c>
      <c r="H371" s="568">
        <f>-G365*0.5</f>
        <v>0</v>
      </c>
      <c r="I371" s="568">
        <f t="shared" ref="I371:I372" si="53">+G371+H371</f>
        <v>0</v>
      </c>
      <c r="J371" s="212"/>
      <c r="O371" s="167"/>
    </row>
    <row r="372" spans="2:15" x14ac:dyDescent="0.2">
      <c r="B372" s="1251">
        <v>2022</v>
      </c>
      <c r="C372" s="1252"/>
      <c r="D372" s="1252"/>
      <c r="E372" s="1253"/>
      <c r="F372" s="341"/>
      <c r="G372" s="568">
        <f>L135</f>
        <v>0</v>
      </c>
      <c r="H372" s="568">
        <f t="shared" ref="H372" si="54">-G372*0.5</f>
        <v>0</v>
      </c>
      <c r="I372" s="568">
        <f t="shared" si="53"/>
        <v>0</v>
      </c>
      <c r="J372" s="212"/>
      <c r="O372" s="167"/>
    </row>
    <row r="373" spans="2:15" s="281" customFormat="1" x14ac:dyDescent="0.2">
      <c r="B373" s="847"/>
      <c r="C373" s="847"/>
      <c r="D373" s="847"/>
      <c r="E373" s="847"/>
      <c r="F373" s="847"/>
      <c r="G373" s="856">
        <f>SUM(G371:G372)</f>
        <v>0</v>
      </c>
      <c r="H373" s="856">
        <f>SUM(H371:H372)</f>
        <v>0</v>
      </c>
      <c r="I373" s="856">
        <f>SUM(I371:I372)</f>
        <v>0</v>
      </c>
    </row>
    <row r="374" spans="2:15" x14ac:dyDescent="0.2">
      <c r="B374" s="842"/>
      <c r="C374" s="842"/>
      <c r="D374" s="842"/>
      <c r="E374" s="842"/>
      <c r="F374" s="842"/>
      <c r="G374" s="842"/>
      <c r="H374" s="842"/>
      <c r="I374" s="842"/>
      <c r="O374" s="167"/>
    </row>
    <row r="375" spans="2:15" x14ac:dyDescent="0.2">
      <c r="B375" s="847" t="s">
        <v>172</v>
      </c>
      <c r="C375" s="842"/>
      <c r="D375" s="842"/>
      <c r="E375" s="842"/>
      <c r="F375" s="1004">
        <v>2024</v>
      </c>
      <c r="G375" s="842"/>
      <c r="H375" s="842"/>
      <c r="I375" s="842"/>
      <c r="O375" s="167"/>
    </row>
    <row r="376" spans="2:15" x14ac:dyDescent="0.2">
      <c r="B376" s="842"/>
      <c r="C376" s="842"/>
      <c r="D376" s="842"/>
      <c r="E376" s="842"/>
      <c r="F376" s="842"/>
      <c r="G376" s="842"/>
      <c r="H376" s="842"/>
      <c r="I376" s="842"/>
      <c r="O376" s="167"/>
    </row>
    <row r="377" spans="2:15" ht="78" customHeight="1" x14ac:dyDescent="0.2">
      <c r="B377" s="1254" t="s">
        <v>173</v>
      </c>
      <c r="C377" s="1255"/>
      <c r="D377" s="1255"/>
      <c r="E377" s="1256"/>
      <c r="F377" s="848"/>
      <c r="G377" s="837" t="str">
        <f>"Nog af te bouwen regulatoir saldo einde "&amp;F375-1</f>
        <v>Nog af te bouwen regulatoir saldo einde 2023</v>
      </c>
      <c r="H377" s="837" t="str">
        <f>"50% van het oorspronkelijk regulatoir saldo door te rekenen volgens de tariefmethodologie in het boekjaar "&amp;F375</f>
        <v>50% van het oorspronkelijk regulatoir saldo door te rekenen volgens de tariefmethodologie in het boekjaar 2024</v>
      </c>
      <c r="I377" s="837" t="str">
        <f>"Nog af te bouwen regulatoir saldo einde "&amp;F375</f>
        <v>Nog af te bouwen regulatoir saldo einde 2024</v>
      </c>
      <c r="J377" s="212"/>
      <c r="O377" s="167"/>
    </row>
    <row r="378" spans="2:15" x14ac:dyDescent="0.2">
      <c r="B378" s="1251">
        <v>2022</v>
      </c>
      <c r="C378" s="1252"/>
      <c r="D378" s="1252"/>
      <c r="E378" s="1253"/>
      <c r="F378" s="341"/>
      <c r="G378" s="568">
        <f>+I372</f>
        <v>0</v>
      </c>
      <c r="H378" s="568">
        <f>-G372*0.5</f>
        <v>0</v>
      </c>
      <c r="I378" s="568">
        <f t="shared" ref="I378:I379" si="55">+G378+H378</f>
        <v>0</v>
      </c>
      <c r="J378" s="212"/>
      <c r="O378" s="167"/>
    </row>
    <row r="379" spans="2:15" x14ac:dyDescent="0.2">
      <c r="B379" s="1251">
        <v>2023</v>
      </c>
      <c r="C379" s="1252"/>
      <c r="D379" s="1252"/>
      <c r="E379" s="1253"/>
      <c r="F379" s="341"/>
      <c r="G379" s="568">
        <f>+M136</f>
        <v>0</v>
      </c>
      <c r="H379" s="568">
        <f t="shared" ref="H379" si="56">-G379*0.5</f>
        <v>0</v>
      </c>
      <c r="I379" s="568">
        <f t="shared" si="55"/>
        <v>0</v>
      </c>
      <c r="J379" s="212"/>
      <c r="O379" s="167"/>
    </row>
    <row r="380" spans="2:15" s="281" customFormat="1" x14ac:dyDescent="0.2">
      <c r="B380" s="847"/>
      <c r="C380" s="847"/>
      <c r="D380" s="847"/>
      <c r="E380" s="847"/>
      <c r="F380" s="847"/>
      <c r="G380" s="856">
        <f>SUM(G378:G379)</f>
        <v>0</v>
      </c>
      <c r="H380" s="856">
        <f>SUM(H378:H379)</f>
        <v>0</v>
      </c>
      <c r="I380" s="856">
        <f>SUM(I378:I379)</f>
        <v>0</v>
      </c>
    </row>
    <row r="381" spans="2:15" x14ac:dyDescent="0.2">
      <c r="B381" s="281" t="str">
        <f>+B327</f>
        <v>Het tarief voor het databeheer</v>
      </c>
      <c r="O381" s="167"/>
    </row>
    <row r="382" spans="2:15" x14ac:dyDescent="0.2">
      <c r="B382" s="281" t="s">
        <v>174</v>
      </c>
      <c r="C382" s="224"/>
      <c r="D382" s="224"/>
      <c r="E382" s="224"/>
      <c r="O382" s="167"/>
    </row>
    <row r="383" spans="2:15" x14ac:dyDescent="0.2">
      <c r="B383" s="281"/>
      <c r="C383" s="224"/>
      <c r="D383" s="224"/>
      <c r="E383" s="224"/>
      <c r="O383" s="167"/>
    </row>
    <row r="384" spans="2:15" x14ac:dyDescent="0.2">
      <c r="B384" s="283">
        <f>F349</f>
        <v>2021</v>
      </c>
      <c r="C384" s="287">
        <f>+H356</f>
        <v>0</v>
      </c>
      <c r="D384" s="224"/>
      <c r="E384" s="224"/>
      <c r="O384" s="167"/>
    </row>
    <row r="385" spans="2:16" x14ac:dyDescent="0.2">
      <c r="B385" s="341">
        <v>2022</v>
      </c>
      <c r="C385" s="342">
        <f>+H366</f>
        <v>0</v>
      </c>
      <c r="D385" s="224"/>
      <c r="E385" s="224"/>
      <c r="O385" s="167"/>
    </row>
    <row r="386" spans="2:16" x14ac:dyDescent="0.2">
      <c r="B386" s="341">
        <v>2023</v>
      </c>
      <c r="C386" s="342">
        <f>+H373</f>
        <v>0</v>
      </c>
      <c r="D386" s="224"/>
      <c r="E386" s="224"/>
      <c r="O386" s="167"/>
    </row>
    <row r="387" spans="2:16" x14ac:dyDescent="0.2">
      <c r="B387" s="341">
        <v>2024</v>
      </c>
      <c r="C387" s="342">
        <f>+H380</f>
        <v>0</v>
      </c>
      <c r="D387" s="224"/>
      <c r="E387" s="224"/>
      <c r="O387" s="167"/>
    </row>
    <row r="388" spans="2:16" x14ac:dyDescent="0.2">
      <c r="O388" s="167"/>
    </row>
    <row r="389" spans="2:16" x14ac:dyDescent="0.2">
      <c r="O389" s="167"/>
    </row>
    <row r="390" spans="2:16" x14ac:dyDescent="0.2">
      <c r="B390" s="326" t="s">
        <v>67</v>
      </c>
      <c r="C390" s="327"/>
      <c r="D390" s="327"/>
      <c r="E390" s="327"/>
      <c r="F390" s="328"/>
      <c r="G390" s="328"/>
      <c r="H390" s="328"/>
      <c r="I390" s="328"/>
      <c r="J390" s="328"/>
      <c r="K390" s="328"/>
      <c r="L390" s="328"/>
      <c r="M390" s="328"/>
      <c r="N390" s="328"/>
      <c r="O390" s="329"/>
      <c r="P390" s="328"/>
    </row>
    <row r="391" spans="2:16" x14ac:dyDescent="0.2">
      <c r="O391" s="212"/>
    </row>
    <row r="392" spans="2:16" x14ac:dyDescent="0.2">
      <c r="B392" s="281" t="s">
        <v>172</v>
      </c>
      <c r="F392" s="1000">
        <v>2018</v>
      </c>
      <c r="O392" s="212"/>
    </row>
    <row r="393" spans="2:16" x14ac:dyDescent="0.2">
      <c r="O393" s="167"/>
    </row>
    <row r="394" spans="2:16" s="220" customFormat="1" ht="107.1" customHeight="1" x14ac:dyDescent="0.2">
      <c r="B394" s="1257" t="s">
        <v>173</v>
      </c>
      <c r="C394" s="1258"/>
      <c r="D394" s="1258"/>
      <c r="E394" s="1259"/>
      <c r="F394" s="804"/>
      <c r="G394" s="166" t="str">
        <f>"Nog af te bouwen regulatoir saldo einde "&amp;F392-1</f>
        <v>Nog af te bouwen regulatoir saldo einde 2017</v>
      </c>
      <c r="H394" s="166" t="str">
        <f>"Afbouw oudste openstaande regulatoir saldo vanaf boekjaar "&amp;F392-2&amp;" en vroeger, door aanwending van compensatie met regulatoir saldo ontstaan over boekjaar "&amp;F392-1</f>
        <v>Afbouw oudste openstaande regulatoir saldo vanaf boekjaar 2016 en vroeger, door aanwending van compensatie met regulatoir saldo ontstaan over boekjaar 2017</v>
      </c>
      <c r="I394" s="166" t="str">
        <f>"Nog af te bouwen regulatoir saldo na compensatie einde "&amp;F392-1</f>
        <v>Nog af te bouwen regulatoir saldo na compensatie einde 2017</v>
      </c>
      <c r="J394" s="166" t="str">
        <f>"Aanwending van 50% van het geaccumuleerd regulatoir saldo door te rekenen volgens de tariefmethodologie in het boekjaar "&amp;F392</f>
        <v>Aanwending van 50% van het geaccumuleerd regulatoir saldo door te rekenen volgens de tariefmethodologie in het boekjaar 2018</v>
      </c>
      <c r="K394" s="166" t="str">
        <f>"Nog af te bouwen regulatoir saldo einde "&amp;F392</f>
        <v>Nog af te bouwen regulatoir saldo einde 2018</v>
      </c>
      <c r="L394" s="228"/>
      <c r="M394" s="228"/>
      <c r="N394" s="228"/>
    </row>
    <row r="395" spans="2:16" x14ac:dyDescent="0.2">
      <c r="B395" s="1260">
        <v>2017</v>
      </c>
      <c r="C395" s="1261"/>
      <c r="D395" s="1261"/>
      <c r="E395" s="1262"/>
      <c r="F395" s="283"/>
      <c r="G395" s="566">
        <f>+G139</f>
        <v>0</v>
      </c>
      <c r="H395" s="566">
        <v>0</v>
      </c>
      <c r="I395" s="566">
        <f>+G395+H395</f>
        <v>0</v>
      </c>
      <c r="J395" s="1010">
        <f>-I395*0.5</f>
        <v>0</v>
      </c>
      <c r="K395" s="1032">
        <f>+J395+G395</f>
        <v>0</v>
      </c>
      <c r="L395" s="1002"/>
      <c r="M395" s="1002"/>
      <c r="N395" s="1002"/>
      <c r="O395" s="167"/>
    </row>
    <row r="396" spans="2:16" x14ac:dyDescent="0.2">
      <c r="O396" s="167"/>
    </row>
    <row r="397" spans="2:16" x14ac:dyDescent="0.2">
      <c r="B397" s="281" t="s">
        <v>172</v>
      </c>
      <c r="F397" s="1000">
        <v>2019</v>
      </c>
      <c r="O397" s="212"/>
    </row>
    <row r="398" spans="2:16" x14ac:dyDescent="0.2">
      <c r="O398" s="212"/>
    </row>
    <row r="399" spans="2:16" s="220" customFormat="1" ht="107.1" customHeight="1" x14ac:dyDescent="0.2">
      <c r="B399" s="1257" t="s">
        <v>173</v>
      </c>
      <c r="C399" s="1258"/>
      <c r="D399" s="1258"/>
      <c r="E399" s="1259"/>
      <c r="F399" s="804"/>
      <c r="G399" s="166" t="str">
        <f>"Nog af te bouwen regulatoir saldo einde "&amp;F397-1</f>
        <v>Nog af te bouwen regulatoir saldo einde 2018</v>
      </c>
      <c r="H399" s="166" t="str">
        <f>"Afbouw oudste openstaande regulatoir saldo vanaf boekjaar "&amp;F397-2&amp;" en vroeger, door aanwending van compensatie met regulatoir saldo ontstaan over boekjaar "&amp;F397-1</f>
        <v>Afbouw oudste openstaande regulatoir saldo vanaf boekjaar 2017 en vroeger, door aanwending van compensatie met regulatoir saldo ontstaan over boekjaar 2018</v>
      </c>
      <c r="I399" s="166" t="str">
        <f>"Nog af te bouwen regulatoir saldo na compensatie einde "&amp;F397-1</f>
        <v>Nog af te bouwen regulatoir saldo na compensatie einde 2018</v>
      </c>
      <c r="J399" s="166" t="str">
        <f>"Aanwending van 50% van het geaccumuleerd regulatoir saldo door te rekenen volgens de tariefmethodologie in het boekjaar "&amp;F397</f>
        <v>Aanwending van 50% van het geaccumuleerd regulatoir saldo door te rekenen volgens de tariefmethodologie in het boekjaar 2019</v>
      </c>
      <c r="K399" s="166" t="str">
        <f>"Aanwending van 50% van het geaccumuleerd regulatoir saldo door te rekenen volgens de tariefmethodologie in het boekjaar "&amp;F397</f>
        <v>Aanwending van 50% van het geaccumuleerd regulatoir saldo door te rekenen volgens de tariefmethodologie in het boekjaar 2019</v>
      </c>
      <c r="L399" s="166" t="str">
        <f>"Totale afbouw over "&amp;F397</f>
        <v>Totale afbouw over 2019</v>
      </c>
      <c r="M399" s="166" t="str">
        <f>"Nog af te bouwen regulatoir saldo einde "&amp;F397</f>
        <v>Nog af te bouwen regulatoir saldo einde 2019</v>
      </c>
      <c r="N399" s="564"/>
    </row>
    <row r="400" spans="2:16" x14ac:dyDescent="0.2">
      <c r="B400" s="1260">
        <v>2017</v>
      </c>
      <c r="C400" s="1261"/>
      <c r="D400" s="1261"/>
      <c r="E400" s="1262"/>
      <c r="F400" s="283"/>
      <c r="G400" s="566">
        <f>K395</f>
        <v>0</v>
      </c>
      <c r="H400" s="566">
        <f>IF(SIGN(G401*K395)&lt;0,IF(G400&lt;&gt;0,-SIGN(G400)*MIN(ABS(G401),ABS(G400)),0),0)</f>
        <v>0</v>
      </c>
      <c r="I400" s="566">
        <f>+G400+H400</f>
        <v>0</v>
      </c>
      <c r="J400" s="1033"/>
      <c r="K400" s="1010">
        <f>-MIN(ABS(I400),ABS(J402))*SIGN(I400)</f>
        <v>0</v>
      </c>
      <c r="L400" s="1003">
        <f>+K400+H400</f>
        <v>0</v>
      </c>
      <c r="M400" s="566">
        <f>+I400+K400</f>
        <v>0</v>
      </c>
      <c r="N400" s="212"/>
      <c r="O400" s="167"/>
    </row>
    <row r="401" spans="2:15" x14ac:dyDescent="0.2">
      <c r="B401" s="1260">
        <v>2018</v>
      </c>
      <c r="C401" s="1261"/>
      <c r="D401" s="1261"/>
      <c r="E401" s="1262"/>
      <c r="F401" s="283"/>
      <c r="G401" s="566">
        <f>+H140</f>
        <v>0</v>
      </c>
      <c r="H401" s="1003">
        <f>IF(SIGN(G401*K395)&lt;0,-H400,0)</f>
        <v>0</v>
      </c>
      <c r="I401" s="566">
        <f>+G401+H401</f>
        <v>0</v>
      </c>
      <c r="J401" s="1033"/>
      <c r="K401" s="1010">
        <f>-MIN(ABS(I401),ABS(J402-K400))*SIGN(I401)</f>
        <v>0</v>
      </c>
      <c r="L401" s="1003">
        <f>+K401+H401</f>
        <v>0</v>
      </c>
      <c r="M401" s="566">
        <f>+I401+K401</f>
        <v>0</v>
      </c>
      <c r="N401" s="212"/>
      <c r="O401" s="167"/>
    </row>
    <row r="402" spans="2:15" s="281" customFormat="1" x14ac:dyDescent="0.2">
      <c r="G402" s="169">
        <f>SUM(G400:G401)</f>
        <v>0</v>
      </c>
      <c r="H402" s="169">
        <f>SUM(H400:H401)</f>
        <v>0</v>
      </c>
      <c r="I402" s="169">
        <f>SUM(I400:I401)</f>
        <v>0</v>
      </c>
      <c r="J402" s="291">
        <f>-I402*0.5</f>
        <v>0</v>
      </c>
      <c r="K402" s="291">
        <f>SUM(K400:K401)</f>
        <v>0</v>
      </c>
      <c r="L402" s="570"/>
      <c r="M402" s="169">
        <f>SUM(M400:M401)</f>
        <v>0</v>
      </c>
    </row>
    <row r="403" spans="2:15" x14ac:dyDescent="0.2">
      <c r="O403" s="167"/>
    </row>
    <row r="404" spans="2:15" x14ac:dyDescent="0.2">
      <c r="B404" s="281" t="s">
        <v>172</v>
      </c>
      <c r="F404" s="1000">
        <v>2020</v>
      </c>
      <c r="O404" s="167"/>
    </row>
    <row r="405" spans="2:15" x14ac:dyDescent="0.2">
      <c r="O405" s="167"/>
    </row>
    <row r="406" spans="2:15" s="220" customFormat="1" ht="107.1" customHeight="1" x14ac:dyDescent="0.2">
      <c r="B406" s="1257" t="s">
        <v>173</v>
      </c>
      <c r="C406" s="1258"/>
      <c r="D406" s="1258"/>
      <c r="E406" s="1259"/>
      <c r="F406" s="804"/>
      <c r="G406" s="166" t="str">
        <f>"Nog af te bouwen regulatoir saldo einde "&amp;F404-1</f>
        <v>Nog af te bouwen regulatoir saldo einde 2019</v>
      </c>
      <c r="H406" s="166" t="str">
        <f>"Afbouw oudste openstaande regulatoir saldo vanaf boekjaar "&amp;F404-2&amp;" en vroeger, door aanwending van compensatie met regulatoir saldo ontstaan over boekjaar "&amp;F404-1</f>
        <v>Afbouw oudste openstaande regulatoir saldo vanaf boekjaar 2018 en vroeger, door aanwending van compensatie met regulatoir saldo ontstaan over boekjaar 2019</v>
      </c>
      <c r="I406" s="166" t="str">
        <f>"Nog af te bouwen regulatoir saldo na compensatie einde "&amp;F404-1</f>
        <v>Nog af te bouwen regulatoir saldo na compensatie einde 2019</v>
      </c>
      <c r="J406" s="166" t="str">
        <f>"Aanwending van 50% van het geaccumuleerd regulatoir saldo door te rekenen volgens de tariefmethodologie in het boekjaar "&amp;F404</f>
        <v>Aanwending van 50% van het geaccumuleerd regulatoir saldo door te rekenen volgens de tariefmethodologie in het boekjaar 2020</v>
      </c>
      <c r="K406" s="166" t="str">
        <f>"Aanwending van 50% van het geaccumuleerd regulatoir saldo door te rekenen volgens de tariefmethodologie in het boekjaar "&amp;F404</f>
        <v>Aanwending van 50% van het geaccumuleerd regulatoir saldo door te rekenen volgens de tariefmethodologie in het boekjaar 2020</v>
      </c>
      <c r="L406" s="166" t="str">
        <f>"Totale afbouw over "&amp;F404</f>
        <v>Totale afbouw over 2020</v>
      </c>
      <c r="M406" s="166" t="str">
        <f>"Nog af te bouwen regulatoir saldo einde "&amp;F404</f>
        <v>Nog af te bouwen regulatoir saldo einde 2020</v>
      </c>
      <c r="N406" s="564"/>
    </row>
    <row r="407" spans="2:15" x14ac:dyDescent="0.2">
      <c r="B407" s="1260">
        <v>2017</v>
      </c>
      <c r="C407" s="1261"/>
      <c r="D407" s="1261"/>
      <c r="E407" s="1262"/>
      <c r="F407" s="283"/>
      <c r="G407" s="566">
        <f>+M400</f>
        <v>0</v>
      </c>
      <c r="H407" s="1003">
        <f>IF(SIGN(G409*M402)&lt;0,IF(G407&lt;&gt;0,-SIGN(G407)*MIN(ABS(G409),ABS(G407)),0),0)</f>
        <v>0</v>
      </c>
      <c r="I407" s="566">
        <f>+G407+H407</f>
        <v>0</v>
      </c>
      <c r="J407" s="1033"/>
      <c r="K407" s="1010">
        <f>-MIN(ABS(I407),ABS(J410))*SIGN(I407)</f>
        <v>0</v>
      </c>
      <c r="L407" s="1003">
        <f>+K407+H407</f>
        <v>0</v>
      </c>
      <c r="M407" s="566">
        <f>+I407+K407</f>
        <v>0</v>
      </c>
      <c r="N407" s="212"/>
      <c r="O407" s="167"/>
    </row>
    <row r="408" spans="2:15" x14ac:dyDescent="0.2">
      <c r="B408" s="1260">
        <v>2018</v>
      </c>
      <c r="C408" s="1261"/>
      <c r="D408" s="1261">
        <v>2016</v>
      </c>
      <c r="E408" s="1262"/>
      <c r="F408" s="283"/>
      <c r="G408" s="566">
        <f>+M401</f>
        <v>0</v>
      </c>
      <c r="H408" s="1003">
        <f>IF(SIGN(G409*M402)&lt;0,IF(G408&lt;&gt;0,-SIGN(G408)*MIN(ABS(G409-H407),ABS(G408)),0),0)</f>
        <v>0</v>
      </c>
      <c r="I408" s="566">
        <f>+G408+H408</f>
        <v>0</v>
      </c>
      <c r="J408" s="1033"/>
      <c r="K408" s="1010">
        <f>-MIN(ABS(I408),ABS(J410-K407))*SIGN(I408)</f>
        <v>0</v>
      </c>
      <c r="L408" s="1003">
        <f>+K408+H408</f>
        <v>0</v>
      </c>
      <c r="M408" s="566">
        <f>+I408+K408</f>
        <v>0</v>
      </c>
      <c r="N408" s="212"/>
      <c r="O408" s="167"/>
    </row>
    <row r="409" spans="2:15" x14ac:dyDescent="0.2">
      <c r="B409" s="1260">
        <v>2019</v>
      </c>
      <c r="C409" s="1261"/>
      <c r="D409" s="1261"/>
      <c r="E409" s="1262"/>
      <c r="F409" s="283"/>
      <c r="G409" s="566">
        <f>I141</f>
        <v>0</v>
      </c>
      <c r="H409" s="1003">
        <f>IF(SIGN(G409*M402)&lt;0,-SUM(H407:H408),0)</f>
        <v>0</v>
      </c>
      <c r="I409" s="566">
        <f>+G409+H409</f>
        <v>0</v>
      </c>
      <c r="J409" s="1033"/>
      <c r="K409" s="1010">
        <f>-MIN(ABS(I409),ABS(J410-K407-K408))*SIGN(I409)</f>
        <v>0</v>
      </c>
      <c r="L409" s="1003">
        <f>+K409+H409</f>
        <v>0</v>
      </c>
      <c r="M409" s="566">
        <f>+I409+K409</f>
        <v>0</v>
      </c>
      <c r="N409" s="212"/>
      <c r="O409" s="167"/>
    </row>
    <row r="410" spans="2:15" s="281" customFormat="1" x14ac:dyDescent="0.2">
      <c r="G410" s="169">
        <f>SUM(G407:G409)</f>
        <v>0</v>
      </c>
      <c r="H410" s="169">
        <f>SUM(H407:H409)</f>
        <v>0</v>
      </c>
      <c r="I410" s="169">
        <f>SUM(I407:I409)</f>
        <v>0</v>
      </c>
      <c r="J410" s="291">
        <f>-I410*0.5</f>
        <v>0</v>
      </c>
      <c r="K410" s="291">
        <f>SUM(K407:K409)</f>
        <v>0</v>
      </c>
      <c r="L410" s="570"/>
      <c r="M410" s="169">
        <f>SUM(M407:M409)</f>
        <v>0</v>
      </c>
    </row>
    <row r="411" spans="2:15" x14ac:dyDescent="0.2">
      <c r="O411" s="167"/>
    </row>
    <row r="412" spans="2:15" x14ac:dyDescent="0.2">
      <c r="B412" s="281" t="s">
        <v>172</v>
      </c>
      <c r="F412" s="1000">
        <v>2021</v>
      </c>
      <c r="O412" s="167"/>
    </row>
    <row r="413" spans="2:15" x14ac:dyDescent="0.2">
      <c r="O413" s="167"/>
    </row>
    <row r="414" spans="2:15" ht="78" customHeight="1" x14ac:dyDescent="0.2">
      <c r="B414" s="1257" t="s">
        <v>173</v>
      </c>
      <c r="C414" s="1258"/>
      <c r="D414" s="1258"/>
      <c r="E414" s="1259"/>
      <c r="F414" s="282"/>
      <c r="G414" s="166" t="str">
        <f>"Nog af te bouwen regulatoir saldo einde "&amp;F412-1</f>
        <v>Nog af te bouwen regulatoir saldo einde 2020</v>
      </c>
      <c r="H414" s="166" t="str">
        <f>"50% van het oorspronkelijk regulatoir saldo door te rekenen volgens de tariefmethodologie in het boekjaar "&amp;F412</f>
        <v>50% van het oorspronkelijk regulatoir saldo door te rekenen volgens de tariefmethodologie in het boekjaar 2021</v>
      </c>
      <c r="I414" s="166" t="str">
        <f>"Nog af te bouwen regulatoir saldo einde "&amp;F412</f>
        <v>Nog af te bouwen regulatoir saldo einde 2021</v>
      </c>
      <c r="J414" s="212"/>
      <c r="O414" s="167"/>
    </row>
    <row r="415" spans="2:15" x14ac:dyDescent="0.2">
      <c r="B415" s="1260">
        <v>2017</v>
      </c>
      <c r="C415" s="1261"/>
      <c r="D415" s="1261"/>
      <c r="E415" s="1262"/>
      <c r="F415" s="283"/>
      <c r="G415" s="566">
        <f>+M407</f>
        <v>0</v>
      </c>
      <c r="H415" s="566">
        <f>-G415*0.5</f>
        <v>0</v>
      </c>
      <c r="I415" s="566">
        <f>+G415+H415</f>
        <v>0</v>
      </c>
      <c r="J415" s="212"/>
      <c r="O415" s="167"/>
    </row>
    <row r="416" spans="2:15" x14ac:dyDescent="0.2">
      <c r="B416" s="1260">
        <v>2018</v>
      </c>
      <c r="C416" s="1261"/>
      <c r="D416" s="1261"/>
      <c r="E416" s="1262"/>
      <c r="F416" s="283"/>
      <c r="G416" s="566">
        <f t="shared" ref="G416:G417" si="57">+M408</f>
        <v>0</v>
      </c>
      <c r="H416" s="566">
        <f t="shared" ref="H416:H418" si="58">-G416*0.5</f>
        <v>0</v>
      </c>
      <c r="I416" s="566">
        <f t="shared" ref="I416:I418" si="59">+G416+H416</f>
        <v>0</v>
      </c>
      <c r="J416" s="212"/>
      <c r="O416" s="167"/>
    </row>
    <row r="417" spans="2:15" x14ac:dyDescent="0.2">
      <c r="B417" s="1260">
        <v>2019</v>
      </c>
      <c r="C417" s="1261"/>
      <c r="D417" s="1261">
        <v>2016</v>
      </c>
      <c r="E417" s="1262"/>
      <c r="F417" s="283"/>
      <c r="G417" s="566">
        <f t="shared" si="57"/>
        <v>0</v>
      </c>
      <c r="H417" s="566">
        <f t="shared" si="58"/>
        <v>0</v>
      </c>
      <c r="I417" s="566">
        <f t="shared" si="59"/>
        <v>0</v>
      </c>
      <c r="J417" s="212"/>
      <c r="O417" s="167"/>
    </row>
    <row r="418" spans="2:15" x14ac:dyDescent="0.2">
      <c r="B418" s="1260">
        <v>2020</v>
      </c>
      <c r="C418" s="1261"/>
      <c r="D418" s="1261"/>
      <c r="E418" s="1262"/>
      <c r="F418" s="283"/>
      <c r="G418" s="566">
        <f>J142</f>
        <v>0</v>
      </c>
      <c r="H418" s="566">
        <f t="shared" si="58"/>
        <v>0</v>
      </c>
      <c r="I418" s="566">
        <f t="shared" si="59"/>
        <v>0</v>
      </c>
      <c r="J418" s="212"/>
      <c r="O418" s="167"/>
    </row>
    <row r="419" spans="2:15" s="281" customFormat="1" x14ac:dyDescent="0.2">
      <c r="G419" s="169">
        <f>SUM(G415:G418)</f>
        <v>0</v>
      </c>
      <c r="H419" s="169">
        <f>SUM(H415:H418)</f>
        <v>0</v>
      </c>
      <c r="I419" s="169">
        <f>SUM(I415:I418)</f>
        <v>0</v>
      </c>
    </row>
    <row r="420" spans="2:15" x14ac:dyDescent="0.2">
      <c r="G420" s="221"/>
      <c r="H420" s="221"/>
      <c r="I420" s="221"/>
      <c r="O420" s="167"/>
    </row>
    <row r="421" spans="2:15" x14ac:dyDescent="0.2">
      <c r="B421" s="847" t="s">
        <v>172</v>
      </c>
      <c r="C421" s="842"/>
      <c r="D421" s="842"/>
      <c r="E421" s="842"/>
      <c r="F421" s="1004">
        <v>2022</v>
      </c>
      <c r="G421" s="842"/>
      <c r="H421" s="842"/>
      <c r="I421" s="842"/>
      <c r="O421" s="167"/>
    </row>
    <row r="422" spans="2:15" x14ac:dyDescent="0.2">
      <c r="B422" s="842"/>
      <c r="C422" s="842"/>
      <c r="D422" s="842"/>
      <c r="E422" s="842"/>
      <c r="F422" s="842"/>
      <c r="G422" s="842"/>
      <c r="H422" s="842"/>
      <c r="I422" s="842"/>
      <c r="O422" s="167"/>
    </row>
    <row r="423" spans="2:15" ht="78" customHeight="1" x14ac:dyDescent="0.2">
      <c r="B423" s="1254" t="s">
        <v>173</v>
      </c>
      <c r="C423" s="1255"/>
      <c r="D423" s="1255"/>
      <c r="E423" s="1256"/>
      <c r="F423" s="848"/>
      <c r="G423" s="837" t="str">
        <f>"Nog af te bouwen regulatoir saldo einde "&amp;F421-1</f>
        <v>Nog af te bouwen regulatoir saldo einde 2021</v>
      </c>
      <c r="H423" s="837" t="str">
        <f>"50% van het oorspronkelijk regulatoir saldo door te rekenen volgens de tariefmethodologie in het boekjaar "&amp;F421</f>
        <v>50% van het oorspronkelijk regulatoir saldo door te rekenen volgens de tariefmethodologie in het boekjaar 2022</v>
      </c>
      <c r="I423" s="837" t="str">
        <f>"Nog af te bouwen regulatoir saldo einde "&amp;F421</f>
        <v>Nog af te bouwen regulatoir saldo einde 2022</v>
      </c>
      <c r="J423" s="212"/>
      <c r="O423" s="167"/>
    </row>
    <row r="424" spans="2:15" x14ac:dyDescent="0.2">
      <c r="B424" s="1251">
        <v>2017</v>
      </c>
      <c r="C424" s="1252"/>
      <c r="D424" s="1252">
        <v>2016</v>
      </c>
      <c r="E424" s="1253"/>
      <c r="F424" s="341"/>
      <c r="G424" s="568">
        <f>+I415</f>
        <v>0</v>
      </c>
      <c r="H424" s="568">
        <f>-G415*0.5</f>
        <v>0</v>
      </c>
      <c r="I424" s="568">
        <f t="shared" ref="I424:I428" si="60">+G424+H424</f>
        <v>0</v>
      </c>
      <c r="J424" s="212"/>
      <c r="O424" s="167"/>
    </row>
    <row r="425" spans="2:15" x14ac:dyDescent="0.2">
      <c r="B425" s="1251">
        <v>2018</v>
      </c>
      <c r="C425" s="1252"/>
      <c r="D425" s="1252"/>
      <c r="E425" s="1253"/>
      <c r="F425" s="341"/>
      <c r="G425" s="568">
        <f t="shared" ref="G425:G427" si="61">+I416</f>
        <v>0</v>
      </c>
      <c r="H425" s="568">
        <f t="shared" ref="H425:H427" si="62">-G416*0.5</f>
        <v>0</v>
      </c>
      <c r="I425" s="568">
        <f t="shared" si="60"/>
        <v>0</v>
      </c>
      <c r="J425" s="212"/>
      <c r="O425" s="167"/>
    </row>
    <row r="426" spans="2:15" x14ac:dyDescent="0.2">
      <c r="B426" s="1251">
        <v>2019</v>
      </c>
      <c r="C426" s="1252"/>
      <c r="D426" s="1252"/>
      <c r="E426" s="1253"/>
      <c r="F426" s="341"/>
      <c r="G426" s="568">
        <f t="shared" si="61"/>
        <v>0</v>
      </c>
      <c r="H426" s="568">
        <f t="shared" si="62"/>
        <v>0</v>
      </c>
      <c r="I426" s="568">
        <f t="shared" si="60"/>
        <v>0</v>
      </c>
      <c r="J426" s="212"/>
      <c r="O426" s="167"/>
    </row>
    <row r="427" spans="2:15" x14ac:dyDescent="0.2">
      <c r="B427" s="1251">
        <v>2020</v>
      </c>
      <c r="C427" s="1252"/>
      <c r="D427" s="1252"/>
      <c r="E427" s="1253"/>
      <c r="F427" s="341"/>
      <c r="G427" s="568">
        <f t="shared" si="61"/>
        <v>0</v>
      </c>
      <c r="H427" s="568">
        <f t="shared" si="62"/>
        <v>0</v>
      </c>
      <c r="I427" s="568">
        <f t="shared" si="60"/>
        <v>0</v>
      </c>
      <c r="J427" s="212"/>
      <c r="O427" s="167"/>
    </row>
    <row r="428" spans="2:15" x14ac:dyDescent="0.2">
      <c r="B428" s="1251">
        <v>2021</v>
      </c>
      <c r="C428" s="1252"/>
      <c r="D428" s="1252"/>
      <c r="E428" s="1253"/>
      <c r="F428" s="341"/>
      <c r="G428" s="568">
        <f>K143</f>
        <v>0</v>
      </c>
      <c r="H428" s="568">
        <f t="shared" ref="H428" si="63">-G428*0.5</f>
        <v>0</v>
      </c>
      <c r="I428" s="568">
        <f t="shared" si="60"/>
        <v>0</v>
      </c>
      <c r="J428" s="212"/>
      <c r="O428" s="167"/>
    </row>
    <row r="429" spans="2:15" s="281" customFormat="1" x14ac:dyDescent="0.2">
      <c r="B429" s="847"/>
      <c r="C429" s="847"/>
      <c r="D429" s="847"/>
      <c r="E429" s="847"/>
      <c r="F429" s="847"/>
      <c r="G429" s="856">
        <f>SUM(G424:G428)</f>
        <v>0</v>
      </c>
      <c r="H429" s="856">
        <f>SUM(H424:H428)</f>
        <v>0</v>
      </c>
      <c r="I429" s="856">
        <f>SUM(I424:I428)</f>
        <v>0</v>
      </c>
    </row>
    <row r="430" spans="2:15" x14ac:dyDescent="0.2">
      <c r="B430" s="842"/>
      <c r="C430" s="842"/>
      <c r="D430" s="842"/>
      <c r="E430" s="842"/>
      <c r="F430" s="842"/>
      <c r="G430" s="842"/>
      <c r="H430" s="842"/>
      <c r="I430" s="842"/>
      <c r="O430" s="167"/>
    </row>
    <row r="431" spans="2:15" x14ac:dyDescent="0.2">
      <c r="B431" s="847" t="s">
        <v>172</v>
      </c>
      <c r="C431" s="842"/>
      <c r="D431" s="842"/>
      <c r="E431" s="842"/>
      <c r="F431" s="1004">
        <v>2023</v>
      </c>
      <c r="G431" s="842"/>
      <c r="H431" s="842"/>
      <c r="I431" s="842"/>
      <c r="O431" s="167"/>
    </row>
    <row r="432" spans="2:15" x14ac:dyDescent="0.2">
      <c r="B432" s="842"/>
      <c r="C432" s="842"/>
      <c r="D432" s="842"/>
      <c r="E432" s="842"/>
      <c r="F432" s="842"/>
      <c r="G432" s="842"/>
      <c r="H432" s="842"/>
      <c r="I432" s="842"/>
      <c r="O432" s="167"/>
    </row>
    <row r="433" spans="2:15" ht="78" customHeight="1" x14ac:dyDescent="0.2">
      <c r="B433" s="1254" t="s">
        <v>173</v>
      </c>
      <c r="C433" s="1255"/>
      <c r="D433" s="1255"/>
      <c r="E433" s="1256"/>
      <c r="F433" s="848"/>
      <c r="G433" s="837" t="str">
        <f>"Nog af te bouwen regulatoir saldo einde "&amp;F431-1</f>
        <v>Nog af te bouwen regulatoir saldo einde 2022</v>
      </c>
      <c r="H433" s="837" t="str">
        <f>"50% van het oorspronkelijk regulatoir saldo door te rekenen volgens de tariefmethodologie in het boekjaar "&amp;F431</f>
        <v>50% van het oorspronkelijk regulatoir saldo door te rekenen volgens de tariefmethodologie in het boekjaar 2023</v>
      </c>
      <c r="I433" s="837" t="str">
        <f>"Nog af te bouwen regulatoir saldo einde "&amp;F431</f>
        <v>Nog af te bouwen regulatoir saldo einde 2023</v>
      </c>
      <c r="J433" s="212"/>
      <c r="O433" s="167"/>
    </row>
    <row r="434" spans="2:15" x14ac:dyDescent="0.2">
      <c r="B434" s="1251">
        <v>2021</v>
      </c>
      <c r="C434" s="1252"/>
      <c r="D434" s="1252"/>
      <c r="E434" s="1253"/>
      <c r="F434" s="341"/>
      <c r="G434" s="568">
        <f>+I428</f>
        <v>0</v>
      </c>
      <c r="H434" s="568">
        <f>-G428*0.5</f>
        <v>0</v>
      </c>
      <c r="I434" s="568">
        <f t="shared" ref="I434:I435" si="64">+G434+H434</f>
        <v>0</v>
      </c>
      <c r="J434" s="212"/>
      <c r="O434" s="167"/>
    </row>
    <row r="435" spans="2:15" x14ac:dyDescent="0.2">
      <c r="B435" s="1251">
        <v>2022</v>
      </c>
      <c r="C435" s="1252"/>
      <c r="D435" s="1252"/>
      <c r="E435" s="1253"/>
      <c r="F435" s="341"/>
      <c r="G435" s="568">
        <f>L144</f>
        <v>0</v>
      </c>
      <c r="H435" s="568">
        <f t="shared" ref="H435" si="65">-G435*0.5</f>
        <v>0</v>
      </c>
      <c r="I435" s="568">
        <f t="shared" si="64"/>
        <v>0</v>
      </c>
      <c r="J435" s="212"/>
      <c r="O435" s="167"/>
    </row>
    <row r="436" spans="2:15" s="281" customFormat="1" x14ac:dyDescent="0.2">
      <c r="B436" s="847"/>
      <c r="C436" s="847"/>
      <c r="D436" s="847"/>
      <c r="E436" s="847"/>
      <c r="F436" s="847"/>
      <c r="G436" s="856">
        <f>SUM(G434:G435)</f>
        <v>0</v>
      </c>
      <c r="H436" s="856">
        <f>SUM(H434:H435)</f>
        <v>0</v>
      </c>
      <c r="I436" s="856">
        <f>SUM(I434:I435)</f>
        <v>0</v>
      </c>
    </row>
    <row r="437" spans="2:15" x14ac:dyDescent="0.2">
      <c r="B437" s="842"/>
      <c r="C437" s="842"/>
      <c r="D437" s="842"/>
      <c r="E437" s="842"/>
      <c r="F437" s="842"/>
      <c r="G437" s="842"/>
      <c r="H437" s="842"/>
      <c r="I437" s="842"/>
      <c r="O437" s="167"/>
    </row>
    <row r="438" spans="2:15" x14ac:dyDescent="0.2">
      <c r="B438" s="847" t="s">
        <v>172</v>
      </c>
      <c r="C438" s="842"/>
      <c r="D438" s="842"/>
      <c r="E438" s="842"/>
      <c r="F438" s="1004">
        <v>2024</v>
      </c>
      <c r="G438" s="842"/>
      <c r="H438" s="842"/>
      <c r="I438" s="842"/>
      <c r="O438" s="167"/>
    </row>
    <row r="439" spans="2:15" x14ac:dyDescent="0.2">
      <c r="B439" s="842"/>
      <c r="C439" s="842"/>
      <c r="D439" s="842"/>
      <c r="E439" s="842"/>
      <c r="F439" s="842"/>
      <c r="G439" s="842"/>
      <c r="H439" s="842"/>
      <c r="I439" s="842"/>
      <c r="O439" s="167"/>
    </row>
    <row r="440" spans="2:15" ht="78" customHeight="1" x14ac:dyDescent="0.2">
      <c r="B440" s="1254" t="s">
        <v>173</v>
      </c>
      <c r="C440" s="1255"/>
      <c r="D440" s="1255"/>
      <c r="E440" s="1256"/>
      <c r="F440" s="848"/>
      <c r="G440" s="837" t="str">
        <f>"Nog af te bouwen regulatoir saldo einde "&amp;F438-1</f>
        <v>Nog af te bouwen regulatoir saldo einde 2023</v>
      </c>
      <c r="H440" s="837" t="str">
        <f>"50% van het oorspronkelijk regulatoir saldo door te rekenen volgens de tariefmethodologie in het boekjaar "&amp;F438</f>
        <v>50% van het oorspronkelijk regulatoir saldo door te rekenen volgens de tariefmethodologie in het boekjaar 2024</v>
      </c>
      <c r="I440" s="837" t="str">
        <f>"Nog af te bouwen regulatoir saldo einde "&amp;F438</f>
        <v>Nog af te bouwen regulatoir saldo einde 2024</v>
      </c>
      <c r="J440" s="212"/>
      <c r="O440" s="167"/>
    </row>
    <row r="441" spans="2:15" x14ac:dyDescent="0.2">
      <c r="B441" s="1251">
        <v>2022</v>
      </c>
      <c r="C441" s="1252"/>
      <c r="D441" s="1252"/>
      <c r="E441" s="1253"/>
      <c r="F441" s="341"/>
      <c r="G441" s="568">
        <f>+I435</f>
        <v>0</v>
      </c>
      <c r="H441" s="568">
        <f>-G435*0.5</f>
        <v>0</v>
      </c>
      <c r="I441" s="568">
        <f t="shared" ref="I441:I442" si="66">+G441+H441</f>
        <v>0</v>
      </c>
      <c r="J441" s="212"/>
      <c r="O441" s="167"/>
    </row>
    <row r="442" spans="2:15" x14ac:dyDescent="0.2">
      <c r="B442" s="1251">
        <v>2023</v>
      </c>
      <c r="C442" s="1252"/>
      <c r="D442" s="1252"/>
      <c r="E442" s="1253"/>
      <c r="F442" s="341"/>
      <c r="G442" s="568">
        <f>+M145</f>
        <v>0</v>
      </c>
      <c r="H442" s="568">
        <f t="shared" ref="H442" si="67">-G442*0.5</f>
        <v>0</v>
      </c>
      <c r="I442" s="568">
        <f t="shared" si="66"/>
        <v>0</v>
      </c>
      <c r="J442" s="212"/>
      <c r="O442" s="167"/>
    </row>
    <row r="443" spans="2:15" s="281" customFormat="1" x14ac:dyDescent="0.2">
      <c r="B443" s="847"/>
      <c r="C443" s="847"/>
      <c r="D443" s="847"/>
      <c r="E443" s="847"/>
      <c r="F443" s="847"/>
      <c r="G443" s="856">
        <f>SUM(G441:G442)</f>
        <v>0</v>
      </c>
      <c r="H443" s="856">
        <f>SUM(H441:H442)</f>
        <v>0</v>
      </c>
      <c r="I443" s="856">
        <f>SUM(I441:I442)</f>
        <v>0</v>
      </c>
    </row>
    <row r="444" spans="2:15" x14ac:dyDescent="0.2">
      <c r="B444" s="281" t="str">
        <f>+B390</f>
        <v>Het tarief voor openbare dienstverplichtingen</v>
      </c>
      <c r="O444" s="167"/>
    </row>
    <row r="445" spans="2:15" x14ac:dyDescent="0.2">
      <c r="B445" s="281" t="s">
        <v>174</v>
      </c>
      <c r="C445" s="224"/>
      <c r="D445" s="224"/>
      <c r="E445" s="224"/>
      <c r="O445" s="167"/>
    </row>
    <row r="446" spans="2:15" x14ac:dyDescent="0.2">
      <c r="B446" s="281"/>
      <c r="C446" s="224"/>
      <c r="D446" s="224"/>
      <c r="E446" s="224"/>
      <c r="O446" s="167"/>
    </row>
    <row r="447" spans="2:15" x14ac:dyDescent="0.2">
      <c r="B447" s="283">
        <f>F412</f>
        <v>2021</v>
      </c>
      <c r="C447" s="287">
        <f>+H419</f>
        <v>0</v>
      </c>
      <c r="D447" s="224"/>
      <c r="E447" s="224"/>
      <c r="O447" s="167"/>
    </row>
    <row r="448" spans="2:15" x14ac:dyDescent="0.2">
      <c r="B448" s="341">
        <v>2022</v>
      </c>
      <c r="C448" s="342">
        <f>+H429</f>
        <v>0</v>
      </c>
      <c r="D448" s="224"/>
      <c r="E448" s="224"/>
      <c r="O448" s="167"/>
    </row>
    <row r="449" spans="2:16" x14ac:dyDescent="0.2">
      <c r="B449" s="341">
        <v>2023</v>
      </c>
      <c r="C449" s="342">
        <f>+H436</f>
        <v>0</v>
      </c>
      <c r="D449" s="224"/>
      <c r="E449" s="224"/>
      <c r="O449" s="167"/>
    </row>
    <row r="450" spans="2:16" x14ac:dyDescent="0.2">
      <c r="B450" s="341">
        <v>2024</v>
      </c>
      <c r="C450" s="342">
        <f>+H443</f>
        <v>0</v>
      </c>
      <c r="D450" s="224"/>
      <c r="E450" s="224"/>
      <c r="O450" s="167"/>
    </row>
    <row r="451" spans="2:16" x14ac:dyDescent="0.2">
      <c r="O451" s="167"/>
    </row>
    <row r="452" spans="2:16" x14ac:dyDescent="0.2">
      <c r="O452" s="167"/>
    </row>
    <row r="453" spans="2:16" x14ac:dyDescent="0.2">
      <c r="B453" s="326" t="s">
        <v>119</v>
      </c>
      <c r="C453" s="327"/>
      <c r="D453" s="327"/>
      <c r="E453" s="327"/>
      <c r="F453" s="328"/>
      <c r="G453" s="328"/>
      <c r="H453" s="328"/>
      <c r="I453" s="328"/>
      <c r="J453" s="328"/>
      <c r="K453" s="328"/>
      <c r="L453" s="328"/>
      <c r="M453" s="328"/>
      <c r="N453" s="328"/>
      <c r="O453" s="329"/>
      <c r="P453" s="328"/>
    </row>
    <row r="454" spans="2:16" x14ac:dyDescent="0.2">
      <c r="O454" s="212"/>
    </row>
    <row r="455" spans="2:16" x14ac:dyDescent="0.2">
      <c r="B455" s="281" t="s">
        <v>172</v>
      </c>
      <c r="F455" s="1000">
        <v>2018</v>
      </c>
      <c r="O455" s="212"/>
    </row>
    <row r="456" spans="2:16" x14ac:dyDescent="0.2">
      <c r="O456" s="167"/>
    </row>
    <row r="457" spans="2:16" s="220" customFormat="1" ht="107.1" customHeight="1" x14ac:dyDescent="0.2">
      <c r="B457" s="1257" t="s">
        <v>173</v>
      </c>
      <c r="C457" s="1258"/>
      <c r="D457" s="1258"/>
      <c r="E457" s="1259"/>
      <c r="F457" s="804"/>
      <c r="G457" s="166" t="str">
        <f>"Nog af te bouwen regulatoir saldo einde "&amp;F455-1</f>
        <v>Nog af te bouwen regulatoir saldo einde 2017</v>
      </c>
      <c r="H457" s="166" t="str">
        <f>"Afbouw oudste openstaande regulatoir saldo vanaf boekjaar "&amp;F455-2&amp;" en vroeger, door aanwending van compensatie met regulatoir saldo ontstaan over boekjaar "&amp;F455-1</f>
        <v>Afbouw oudste openstaande regulatoir saldo vanaf boekjaar 2016 en vroeger, door aanwending van compensatie met regulatoir saldo ontstaan over boekjaar 2017</v>
      </c>
      <c r="I457" s="166" t="str">
        <f>"Nog af te bouwen regulatoir saldo na compensatie einde "&amp;F455-1</f>
        <v>Nog af te bouwen regulatoir saldo na compensatie einde 2017</v>
      </c>
      <c r="J457" s="166" t="str">
        <f>"Aanwending van 50% van het geaccumuleerd regulatoir saldo door te rekenen volgens de tariefmethodologie in het boekjaar "&amp;F455</f>
        <v>Aanwending van 50% van het geaccumuleerd regulatoir saldo door te rekenen volgens de tariefmethodologie in het boekjaar 2018</v>
      </c>
      <c r="K457" s="166" t="str">
        <f>"Nog af te bouwen regulatoir saldo einde "&amp;F455</f>
        <v>Nog af te bouwen regulatoir saldo einde 2018</v>
      </c>
      <c r="L457" s="228"/>
      <c r="M457" s="228"/>
      <c r="N457" s="228"/>
    </row>
    <row r="458" spans="2:16" x14ac:dyDescent="0.2">
      <c r="B458" s="1260">
        <v>2017</v>
      </c>
      <c r="C458" s="1261"/>
      <c r="D458" s="1261"/>
      <c r="E458" s="1262"/>
      <c r="F458" s="283"/>
      <c r="G458" s="566">
        <f>+G148</f>
        <v>0</v>
      </c>
      <c r="H458" s="566">
        <v>0</v>
      </c>
      <c r="I458" s="566">
        <f>+G458+H458</f>
        <v>0</v>
      </c>
      <c r="J458" s="1010">
        <f>-I458*0.5</f>
        <v>0</v>
      </c>
      <c r="K458" s="1032">
        <f>+J458+G458</f>
        <v>0</v>
      </c>
      <c r="L458" s="1002"/>
      <c r="M458" s="1002"/>
      <c r="N458" s="1002"/>
      <c r="O458" s="167"/>
    </row>
    <row r="459" spans="2:16" x14ac:dyDescent="0.2">
      <c r="O459" s="167"/>
    </row>
    <row r="460" spans="2:16" x14ac:dyDescent="0.2">
      <c r="B460" s="281" t="s">
        <v>172</v>
      </c>
      <c r="F460" s="1000">
        <v>2019</v>
      </c>
      <c r="O460" s="212"/>
    </row>
    <row r="461" spans="2:16" x14ac:dyDescent="0.2">
      <c r="O461" s="212"/>
    </row>
    <row r="462" spans="2:16" s="220" customFormat="1" ht="107.1" customHeight="1" x14ac:dyDescent="0.2">
      <c r="B462" s="1257" t="s">
        <v>173</v>
      </c>
      <c r="C462" s="1258"/>
      <c r="D462" s="1258"/>
      <c r="E462" s="1259"/>
      <c r="F462" s="804"/>
      <c r="G462" s="166" t="str">
        <f>"Nog af te bouwen regulatoir saldo einde "&amp;F460-1</f>
        <v>Nog af te bouwen regulatoir saldo einde 2018</v>
      </c>
      <c r="H462" s="166" t="str">
        <f>"Afbouw oudste openstaande regulatoir saldo vanaf boekjaar "&amp;F460-2&amp;" en vroeger, door aanwending van compensatie met regulatoir saldo ontstaan over boekjaar "&amp;F460-1</f>
        <v>Afbouw oudste openstaande regulatoir saldo vanaf boekjaar 2017 en vroeger, door aanwending van compensatie met regulatoir saldo ontstaan over boekjaar 2018</v>
      </c>
      <c r="I462" s="166" t="str">
        <f>"Nog af te bouwen regulatoir saldo na compensatie einde "&amp;F460-1</f>
        <v>Nog af te bouwen regulatoir saldo na compensatie einde 2018</v>
      </c>
      <c r="J462" s="166" t="str">
        <f>"Aanwending van 50% van het geaccumuleerd regulatoir saldo door te rekenen volgens de tariefmethodologie in het boekjaar "&amp;F460</f>
        <v>Aanwending van 50% van het geaccumuleerd regulatoir saldo door te rekenen volgens de tariefmethodologie in het boekjaar 2019</v>
      </c>
      <c r="K462" s="166" t="str">
        <f>"Aanwending van 50% van het geaccumuleerd regulatoir saldo door te rekenen volgens de tariefmethodologie in het boekjaar "&amp;F460</f>
        <v>Aanwending van 50% van het geaccumuleerd regulatoir saldo door te rekenen volgens de tariefmethodologie in het boekjaar 2019</v>
      </c>
      <c r="L462" s="166" t="str">
        <f>"Totale afbouw over "&amp;F460</f>
        <v>Totale afbouw over 2019</v>
      </c>
      <c r="M462" s="166" t="str">
        <f>"Nog af te bouwen regulatoir saldo einde "&amp;F460</f>
        <v>Nog af te bouwen regulatoir saldo einde 2019</v>
      </c>
      <c r="N462" s="564"/>
    </row>
    <row r="463" spans="2:16" x14ac:dyDescent="0.2">
      <c r="B463" s="1260">
        <v>2017</v>
      </c>
      <c r="C463" s="1261"/>
      <c r="D463" s="1261"/>
      <c r="E463" s="1262"/>
      <c r="F463" s="283"/>
      <c r="G463" s="566">
        <f>K458</f>
        <v>0</v>
      </c>
      <c r="H463" s="566">
        <f>IF(SIGN(G464*K458)&lt;0,IF(G463&lt;&gt;0,-SIGN(G463)*MIN(ABS(G464),ABS(G463)),0),0)</f>
        <v>0</v>
      </c>
      <c r="I463" s="566">
        <f>+G463+H463</f>
        <v>0</v>
      </c>
      <c r="J463" s="1033"/>
      <c r="K463" s="1010">
        <f>-MIN(ABS(I463),ABS(J465))*SIGN(I463)</f>
        <v>0</v>
      </c>
      <c r="L463" s="1003">
        <f>+K463+H463</f>
        <v>0</v>
      </c>
      <c r="M463" s="566">
        <f>+I463+K463</f>
        <v>0</v>
      </c>
      <c r="N463" s="212"/>
      <c r="O463" s="167"/>
    </row>
    <row r="464" spans="2:16" x14ac:dyDescent="0.2">
      <c r="B464" s="1260">
        <v>2018</v>
      </c>
      <c r="C464" s="1261"/>
      <c r="D464" s="1261"/>
      <c r="E464" s="1262"/>
      <c r="F464" s="283"/>
      <c r="G464" s="566">
        <f>+H149</f>
        <v>0</v>
      </c>
      <c r="H464" s="1003">
        <f>IF(SIGN(G464*K458)&lt;0,-H463,0)</f>
        <v>0</v>
      </c>
      <c r="I464" s="566">
        <f>+G464+H464</f>
        <v>0</v>
      </c>
      <c r="J464" s="1033"/>
      <c r="K464" s="1010">
        <f>-MIN(ABS(I464),ABS(J465-K463))*SIGN(I464)</f>
        <v>0</v>
      </c>
      <c r="L464" s="1003">
        <f>+K464+H464</f>
        <v>0</v>
      </c>
      <c r="M464" s="566">
        <f>+I464+K464</f>
        <v>0</v>
      </c>
      <c r="N464" s="212"/>
      <c r="O464" s="167"/>
    </row>
    <row r="465" spans="2:15" s="281" customFormat="1" x14ac:dyDescent="0.2">
      <c r="G465" s="169">
        <f>SUM(G463:G464)</f>
        <v>0</v>
      </c>
      <c r="H465" s="169">
        <f>SUM(H463:H464)</f>
        <v>0</v>
      </c>
      <c r="I465" s="169">
        <f>SUM(I463:I464)</f>
        <v>0</v>
      </c>
      <c r="J465" s="291">
        <f>-I465*0.5</f>
        <v>0</v>
      </c>
      <c r="K465" s="291">
        <f>SUM(K463:K464)</f>
        <v>0</v>
      </c>
      <c r="L465" s="570"/>
      <c r="M465" s="169">
        <f>SUM(M463:M464)</f>
        <v>0</v>
      </c>
    </row>
    <row r="466" spans="2:15" x14ac:dyDescent="0.2">
      <c r="O466" s="167"/>
    </row>
    <row r="467" spans="2:15" x14ac:dyDescent="0.2">
      <c r="B467" s="281" t="s">
        <v>172</v>
      </c>
      <c r="F467" s="1000">
        <v>2020</v>
      </c>
      <c r="O467" s="167"/>
    </row>
    <row r="468" spans="2:15" x14ac:dyDescent="0.2">
      <c r="O468" s="167"/>
    </row>
    <row r="469" spans="2:15" s="220" customFormat="1" ht="107.1" customHeight="1" x14ac:dyDescent="0.2">
      <c r="B469" s="1257" t="s">
        <v>173</v>
      </c>
      <c r="C469" s="1258"/>
      <c r="D469" s="1258"/>
      <c r="E469" s="1259"/>
      <c r="F469" s="804"/>
      <c r="G469" s="166" t="str">
        <f>"Nog af te bouwen regulatoir saldo einde "&amp;F467-1</f>
        <v>Nog af te bouwen regulatoir saldo einde 2019</v>
      </c>
      <c r="H469" s="166" t="str">
        <f>"Afbouw oudste openstaande regulatoir saldo vanaf boekjaar "&amp;F467-2&amp;" en vroeger, door aanwending van compensatie met regulatoir saldo ontstaan over boekjaar "&amp;F467-1</f>
        <v>Afbouw oudste openstaande regulatoir saldo vanaf boekjaar 2018 en vroeger, door aanwending van compensatie met regulatoir saldo ontstaan over boekjaar 2019</v>
      </c>
      <c r="I469" s="166" t="str">
        <f>"Nog af te bouwen regulatoir saldo na compensatie einde "&amp;F467-1</f>
        <v>Nog af te bouwen regulatoir saldo na compensatie einde 2019</v>
      </c>
      <c r="J469" s="166" t="str">
        <f>"Aanwending van 50% van het geaccumuleerd regulatoir saldo door te rekenen volgens de tariefmethodologie in het boekjaar "&amp;F467</f>
        <v>Aanwending van 50% van het geaccumuleerd regulatoir saldo door te rekenen volgens de tariefmethodologie in het boekjaar 2020</v>
      </c>
      <c r="K469" s="166" t="str">
        <f>"Aanwending van 50% van het geaccumuleerd regulatoir saldo door te rekenen volgens de tariefmethodologie in het boekjaar "&amp;F467</f>
        <v>Aanwending van 50% van het geaccumuleerd regulatoir saldo door te rekenen volgens de tariefmethodologie in het boekjaar 2020</v>
      </c>
      <c r="L469" s="166" t="str">
        <f>"Totale afbouw over "&amp;F467</f>
        <v>Totale afbouw over 2020</v>
      </c>
      <c r="M469" s="166" t="str">
        <f>"Nog af te bouwen regulatoir saldo einde "&amp;F467</f>
        <v>Nog af te bouwen regulatoir saldo einde 2020</v>
      </c>
      <c r="N469" s="564"/>
    </row>
    <row r="470" spans="2:15" x14ac:dyDescent="0.2">
      <c r="B470" s="1260">
        <v>2017</v>
      </c>
      <c r="C470" s="1261"/>
      <c r="D470" s="1261"/>
      <c r="E470" s="1262"/>
      <c r="F470" s="283"/>
      <c r="G470" s="566">
        <f>+M463</f>
        <v>0</v>
      </c>
      <c r="H470" s="1003">
        <f>IF(SIGN(G472*M465)&lt;0,IF(G470&lt;&gt;0,-SIGN(G470)*MIN(ABS(G472),ABS(G470)),0),0)</f>
        <v>0</v>
      </c>
      <c r="I470" s="566">
        <f>+G470+H470</f>
        <v>0</v>
      </c>
      <c r="J470" s="1033"/>
      <c r="K470" s="1010">
        <f>-MIN(ABS(I470),ABS(J473))*SIGN(I470)</f>
        <v>0</v>
      </c>
      <c r="L470" s="1003">
        <f>+K470+H470</f>
        <v>0</v>
      </c>
      <c r="M470" s="566">
        <f>+I470+K470</f>
        <v>0</v>
      </c>
      <c r="N470" s="212"/>
      <c r="O470" s="167"/>
    </row>
    <row r="471" spans="2:15" x14ac:dyDescent="0.2">
      <c r="B471" s="1260">
        <v>2018</v>
      </c>
      <c r="C471" s="1261"/>
      <c r="D471" s="1261">
        <v>2016</v>
      </c>
      <c r="E471" s="1262"/>
      <c r="F471" s="283"/>
      <c r="G471" s="566">
        <f>+M464</f>
        <v>0</v>
      </c>
      <c r="H471" s="1003">
        <f>IF(SIGN(G472*M465)&lt;0,IF(G471&lt;&gt;0,-SIGN(G471)*MIN(ABS(G472-H470),ABS(G471)),0),0)</f>
        <v>0</v>
      </c>
      <c r="I471" s="566">
        <f>+G471+H471</f>
        <v>0</v>
      </c>
      <c r="J471" s="1033"/>
      <c r="K471" s="1010">
        <f>-MIN(ABS(I471),ABS(J473-K470))*SIGN(I471)</f>
        <v>0</v>
      </c>
      <c r="L471" s="1003">
        <f>+K471+H471</f>
        <v>0</v>
      </c>
      <c r="M471" s="566">
        <f>+I471+K471</f>
        <v>0</v>
      </c>
      <c r="N471" s="212"/>
      <c r="O471" s="167"/>
    </row>
    <row r="472" spans="2:15" x14ac:dyDescent="0.2">
      <c r="B472" s="1260">
        <v>2019</v>
      </c>
      <c r="C472" s="1261"/>
      <c r="D472" s="1261"/>
      <c r="E472" s="1262"/>
      <c r="F472" s="283"/>
      <c r="G472" s="566">
        <f>I150</f>
        <v>0</v>
      </c>
      <c r="H472" s="1003">
        <f>IF(SIGN(G472*M465)&lt;0,-SUM(H470:H471),0)</f>
        <v>0</v>
      </c>
      <c r="I472" s="566">
        <f>+G472+H472</f>
        <v>0</v>
      </c>
      <c r="J472" s="1033"/>
      <c r="K472" s="1010">
        <f>-MIN(ABS(I472),ABS(J473-K470-K471))*SIGN(I472)</f>
        <v>0</v>
      </c>
      <c r="L472" s="1003">
        <f>+K472+H472</f>
        <v>0</v>
      </c>
      <c r="M472" s="566">
        <f>+I472+K472</f>
        <v>0</v>
      </c>
      <c r="N472" s="212"/>
      <c r="O472" s="167"/>
    </row>
    <row r="473" spans="2:15" s="281" customFormat="1" x14ac:dyDescent="0.2">
      <c r="G473" s="169">
        <f>SUM(G470:G472)</f>
        <v>0</v>
      </c>
      <c r="H473" s="169">
        <f>SUM(H470:H472)</f>
        <v>0</v>
      </c>
      <c r="I473" s="169">
        <f>SUM(I470:I472)</f>
        <v>0</v>
      </c>
      <c r="J473" s="291">
        <f>-I473*0.5</f>
        <v>0</v>
      </c>
      <c r="K473" s="291">
        <f>SUM(K470:K472)</f>
        <v>0</v>
      </c>
      <c r="L473" s="570"/>
      <c r="M473" s="169">
        <f>SUM(M470:M472)</f>
        <v>0</v>
      </c>
    </row>
    <row r="474" spans="2:15" x14ac:dyDescent="0.2">
      <c r="O474" s="167"/>
    </row>
    <row r="475" spans="2:15" x14ac:dyDescent="0.2">
      <c r="B475" s="281" t="s">
        <v>172</v>
      </c>
      <c r="F475" s="1000">
        <v>2021</v>
      </c>
      <c r="O475" s="167"/>
    </row>
    <row r="476" spans="2:15" x14ac:dyDescent="0.2">
      <c r="O476" s="167"/>
    </row>
    <row r="477" spans="2:15" ht="78" customHeight="1" x14ac:dyDescent="0.2">
      <c r="B477" s="1257" t="s">
        <v>173</v>
      </c>
      <c r="C477" s="1258"/>
      <c r="D477" s="1258"/>
      <c r="E477" s="1259"/>
      <c r="F477" s="282"/>
      <c r="G477" s="166" t="str">
        <f>"Nog af te bouwen regulatoir saldo einde "&amp;F475-1</f>
        <v>Nog af te bouwen regulatoir saldo einde 2020</v>
      </c>
      <c r="H477" s="166" t="str">
        <f>"50% van het oorspronkelijk regulatoir saldo door te rekenen volgens de tariefmethodologie in het boekjaar "&amp;F475</f>
        <v>50% van het oorspronkelijk regulatoir saldo door te rekenen volgens de tariefmethodologie in het boekjaar 2021</v>
      </c>
      <c r="I477" s="166" t="str">
        <f>"Nog af te bouwen regulatoir saldo einde "&amp;F475</f>
        <v>Nog af te bouwen regulatoir saldo einde 2021</v>
      </c>
      <c r="J477" s="212"/>
      <c r="O477" s="167"/>
    </row>
    <row r="478" spans="2:15" x14ac:dyDescent="0.2">
      <c r="B478" s="1260">
        <v>2017</v>
      </c>
      <c r="C478" s="1261"/>
      <c r="D478" s="1261"/>
      <c r="E478" s="1262"/>
      <c r="F478" s="283"/>
      <c r="G478" s="566">
        <f>+M470</f>
        <v>0</v>
      </c>
      <c r="H478" s="566">
        <f>-G478*0.5</f>
        <v>0</v>
      </c>
      <c r="I478" s="566">
        <f>+G478+H478</f>
        <v>0</v>
      </c>
      <c r="J478" s="212"/>
      <c r="O478" s="167"/>
    </row>
    <row r="479" spans="2:15" x14ac:dyDescent="0.2">
      <c r="B479" s="1260">
        <v>2018</v>
      </c>
      <c r="C479" s="1261"/>
      <c r="D479" s="1261"/>
      <c r="E479" s="1262"/>
      <c r="F479" s="283"/>
      <c r="G479" s="566">
        <f t="shared" ref="G479:G480" si="68">+M471</f>
        <v>0</v>
      </c>
      <c r="H479" s="566">
        <f t="shared" ref="H479:H481" si="69">-G479*0.5</f>
        <v>0</v>
      </c>
      <c r="I479" s="566">
        <f t="shared" ref="I479:I481" si="70">+G479+H479</f>
        <v>0</v>
      </c>
      <c r="J479" s="212"/>
      <c r="O479" s="167"/>
    </row>
    <row r="480" spans="2:15" x14ac:dyDescent="0.2">
      <c r="B480" s="1260">
        <v>2019</v>
      </c>
      <c r="C480" s="1261"/>
      <c r="D480" s="1261">
        <v>2016</v>
      </c>
      <c r="E480" s="1262"/>
      <c r="F480" s="283"/>
      <c r="G480" s="566">
        <f t="shared" si="68"/>
        <v>0</v>
      </c>
      <c r="H480" s="566">
        <f t="shared" si="69"/>
        <v>0</v>
      </c>
      <c r="I480" s="566">
        <f t="shared" si="70"/>
        <v>0</v>
      </c>
      <c r="J480" s="212"/>
      <c r="O480" s="167"/>
    </row>
    <row r="481" spans="2:15" x14ac:dyDescent="0.2">
      <c r="B481" s="1260">
        <v>2020</v>
      </c>
      <c r="C481" s="1261"/>
      <c r="D481" s="1261"/>
      <c r="E481" s="1262"/>
      <c r="F481" s="283"/>
      <c r="G481" s="566">
        <f>J151</f>
        <v>0</v>
      </c>
      <c r="H481" s="566">
        <f t="shared" si="69"/>
        <v>0</v>
      </c>
      <c r="I481" s="566">
        <f t="shared" si="70"/>
        <v>0</v>
      </c>
      <c r="J481" s="212"/>
      <c r="O481" s="167"/>
    </row>
    <row r="482" spans="2:15" s="281" customFormat="1" x14ac:dyDescent="0.2">
      <c r="G482" s="169">
        <f>SUM(G478:G481)</f>
        <v>0</v>
      </c>
      <c r="H482" s="169">
        <f>SUM(H478:H481)</f>
        <v>0</v>
      </c>
      <c r="I482" s="169">
        <f>SUM(I478:I481)</f>
        <v>0</v>
      </c>
    </row>
    <row r="483" spans="2:15" x14ac:dyDescent="0.2">
      <c r="G483" s="221"/>
      <c r="H483" s="221"/>
      <c r="I483" s="221"/>
      <c r="O483" s="167"/>
    </row>
    <row r="484" spans="2:15" x14ac:dyDescent="0.2">
      <c r="B484" s="847" t="s">
        <v>172</v>
      </c>
      <c r="C484" s="842"/>
      <c r="D484" s="842"/>
      <c r="E484" s="842"/>
      <c r="F484" s="1004">
        <v>2022</v>
      </c>
      <c r="G484" s="842"/>
      <c r="H484" s="842"/>
      <c r="I484" s="842"/>
      <c r="O484" s="167"/>
    </row>
    <row r="485" spans="2:15" x14ac:dyDescent="0.2">
      <c r="B485" s="842"/>
      <c r="C485" s="842"/>
      <c r="D485" s="842"/>
      <c r="E485" s="842"/>
      <c r="F485" s="842"/>
      <c r="G485" s="842"/>
      <c r="H485" s="842"/>
      <c r="I485" s="842"/>
      <c r="O485" s="167"/>
    </row>
    <row r="486" spans="2:15" ht="78" customHeight="1" x14ac:dyDescent="0.2">
      <c r="B486" s="1254" t="s">
        <v>173</v>
      </c>
      <c r="C486" s="1255"/>
      <c r="D486" s="1255"/>
      <c r="E486" s="1256"/>
      <c r="F486" s="848"/>
      <c r="G486" s="837" t="str">
        <f>"Nog af te bouwen regulatoir saldo einde "&amp;F484-1</f>
        <v>Nog af te bouwen regulatoir saldo einde 2021</v>
      </c>
      <c r="H486" s="837" t="str">
        <f>"50% van het oorspronkelijk regulatoir saldo door te rekenen volgens de tariefmethodologie in het boekjaar "&amp;F484</f>
        <v>50% van het oorspronkelijk regulatoir saldo door te rekenen volgens de tariefmethodologie in het boekjaar 2022</v>
      </c>
      <c r="I486" s="837" t="str">
        <f>"Nog af te bouwen regulatoir saldo einde "&amp;F484</f>
        <v>Nog af te bouwen regulatoir saldo einde 2022</v>
      </c>
      <c r="J486" s="212"/>
      <c r="O486" s="167"/>
    </row>
    <row r="487" spans="2:15" x14ac:dyDescent="0.2">
      <c r="B487" s="1251">
        <v>2017</v>
      </c>
      <c r="C487" s="1252"/>
      <c r="D487" s="1252">
        <v>2016</v>
      </c>
      <c r="E487" s="1253"/>
      <c r="F487" s="341"/>
      <c r="G487" s="568">
        <f>+I478</f>
        <v>0</v>
      </c>
      <c r="H487" s="568">
        <f>-G478*0.5</f>
        <v>0</v>
      </c>
      <c r="I487" s="568">
        <f t="shared" ref="I487:I490" si="71">+G487+H487</f>
        <v>0</v>
      </c>
      <c r="J487" s="212"/>
      <c r="O487" s="167"/>
    </row>
    <row r="488" spans="2:15" x14ac:dyDescent="0.2">
      <c r="B488" s="1251">
        <v>2018</v>
      </c>
      <c r="C488" s="1252"/>
      <c r="D488" s="1252"/>
      <c r="E488" s="1253"/>
      <c r="F488" s="341"/>
      <c r="G488" s="568">
        <f t="shared" ref="G488:G490" si="72">+I479</f>
        <v>0</v>
      </c>
      <c r="H488" s="568">
        <f t="shared" ref="H488:H490" si="73">-G479*0.5</f>
        <v>0</v>
      </c>
      <c r="I488" s="568">
        <f t="shared" si="71"/>
        <v>0</v>
      </c>
      <c r="J488" s="212"/>
      <c r="O488" s="167"/>
    </row>
    <row r="489" spans="2:15" x14ac:dyDescent="0.2">
      <c r="B489" s="1251">
        <v>2019</v>
      </c>
      <c r="C489" s="1252"/>
      <c r="D489" s="1252"/>
      <c r="E489" s="1253"/>
      <c r="F489" s="341"/>
      <c r="G489" s="568">
        <f t="shared" si="72"/>
        <v>0</v>
      </c>
      <c r="H489" s="568">
        <f t="shared" si="73"/>
        <v>0</v>
      </c>
      <c r="I489" s="568">
        <f t="shared" si="71"/>
        <v>0</v>
      </c>
      <c r="J489" s="212"/>
      <c r="O489" s="167"/>
    </row>
    <row r="490" spans="2:15" x14ac:dyDescent="0.2">
      <c r="B490" s="1251">
        <v>2020</v>
      </c>
      <c r="C490" s="1252"/>
      <c r="D490" s="1252"/>
      <c r="E490" s="1253"/>
      <c r="F490" s="341"/>
      <c r="G490" s="568">
        <f t="shared" si="72"/>
        <v>0</v>
      </c>
      <c r="H490" s="568">
        <f t="shared" si="73"/>
        <v>0</v>
      </c>
      <c r="I490" s="568">
        <f t="shared" si="71"/>
        <v>0</v>
      </c>
      <c r="J490" s="212"/>
      <c r="O490" s="167"/>
    </row>
    <row r="491" spans="2:15" s="281" customFormat="1" x14ac:dyDescent="0.2">
      <c r="B491" s="847"/>
      <c r="C491" s="847"/>
      <c r="D491" s="847"/>
      <c r="E491" s="847"/>
      <c r="F491" s="847"/>
      <c r="G491" s="856">
        <f>SUM(G487:G490)</f>
        <v>0</v>
      </c>
      <c r="H491" s="856">
        <f>SUM(H487:H490)</f>
        <v>0</v>
      </c>
      <c r="I491" s="856">
        <f>SUM(I487:I490)</f>
        <v>0</v>
      </c>
    </row>
    <row r="492" spans="2:15" x14ac:dyDescent="0.2">
      <c r="B492" s="281" t="str">
        <f>+B453</f>
        <v>Het tarief voor de regeling van de spanning en van het reactief vermogen</v>
      </c>
      <c r="C492" s="224"/>
      <c r="D492" s="224"/>
      <c r="E492" s="224"/>
      <c r="O492" s="167"/>
    </row>
    <row r="493" spans="2:15" x14ac:dyDescent="0.2">
      <c r="B493" s="281" t="s">
        <v>174</v>
      </c>
      <c r="C493" s="224"/>
      <c r="D493" s="224"/>
      <c r="E493" s="224"/>
      <c r="O493" s="167"/>
    </row>
    <row r="494" spans="2:15" x14ac:dyDescent="0.2">
      <c r="B494" s="281"/>
      <c r="C494" s="224"/>
      <c r="D494" s="224"/>
      <c r="E494" s="224"/>
      <c r="O494" s="167"/>
    </row>
    <row r="495" spans="2:15" x14ac:dyDescent="0.2">
      <c r="B495" s="283">
        <f>F475</f>
        <v>2021</v>
      </c>
      <c r="C495" s="287">
        <f>+H482</f>
        <v>0</v>
      </c>
      <c r="D495" s="224"/>
      <c r="E495" s="224"/>
      <c r="O495" s="167"/>
    </row>
    <row r="496" spans="2:15" x14ac:dyDescent="0.2">
      <c r="B496" s="341">
        <v>2022</v>
      </c>
      <c r="C496" s="342">
        <f>+H491</f>
        <v>0</v>
      </c>
      <c r="D496" s="224"/>
      <c r="E496" s="224"/>
      <c r="O496" s="167"/>
    </row>
    <row r="497" spans="2:16" x14ac:dyDescent="0.2">
      <c r="B497" s="341">
        <v>2023</v>
      </c>
      <c r="C497" s="342">
        <v>0</v>
      </c>
      <c r="D497" s="224"/>
      <c r="E497" s="224"/>
      <c r="O497" s="167"/>
    </row>
    <row r="498" spans="2:16" x14ac:dyDescent="0.2">
      <c r="B498" s="341">
        <v>2024</v>
      </c>
      <c r="C498" s="342">
        <v>0</v>
      </c>
      <c r="D498" s="224"/>
      <c r="E498" s="224"/>
      <c r="O498" s="167"/>
    </row>
    <row r="499" spans="2:16" x14ac:dyDescent="0.2">
      <c r="O499" s="167"/>
    </row>
    <row r="500" spans="2:16" x14ac:dyDescent="0.2">
      <c r="O500" s="167"/>
    </row>
    <row r="501" spans="2:16" x14ac:dyDescent="0.2">
      <c r="B501" s="326" t="s">
        <v>118</v>
      </c>
      <c r="C501" s="327"/>
      <c r="D501" s="327"/>
      <c r="E501" s="327"/>
      <c r="F501" s="328"/>
      <c r="G501" s="328"/>
      <c r="H501" s="328"/>
      <c r="I501" s="328"/>
      <c r="J501" s="328"/>
      <c r="K501" s="328"/>
      <c r="L501" s="328"/>
      <c r="M501" s="328"/>
      <c r="N501" s="328"/>
      <c r="O501" s="329"/>
      <c r="P501" s="328"/>
    </row>
    <row r="502" spans="2:16" x14ac:dyDescent="0.2">
      <c r="O502" s="212"/>
    </row>
    <row r="503" spans="2:16" x14ac:dyDescent="0.2">
      <c r="B503" s="281" t="s">
        <v>172</v>
      </c>
      <c r="F503" s="1000">
        <v>2018</v>
      </c>
      <c r="O503" s="212"/>
    </row>
    <row r="504" spans="2:16" x14ac:dyDescent="0.2">
      <c r="O504" s="167"/>
    </row>
    <row r="505" spans="2:16" s="220" customFormat="1" ht="107.1" customHeight="1" x14ac:dyDescent="0.2">
      <c r="B505" s="1257" t="s">
        <v>173</v>
      </c>
      <c r="C505" s="1258"/>
      <c r="D505" s="1258"/>
      <c r="E505" s="1259"/>
      <c r="F505" s="804"/>
      <c r="G505" s="166" t="str">
        <f>"Nog af te bouwen regulatoir saldo einde "&amp;F503-1</f>
        <v>Nog af te bouwen regulatoir saldo einde 2017</v>
      </c>
      <c r="H505" s="166" t="str">
        <f>"Afbouw oudste openstaande regulatoir saldo vanaf boekjaar "&amp;F503-2&amp;" en vroeger, door aanwending van compensatie met regulatoir saldo ontstaan over boekjaar "&amp;F503-1</f>
        <v>Afbouw oudste openstaande regulatoir saldo vanaf boekjaar 2016 en vroeger, door aanwending van compensatie met regulatoir saldo ontstaan over boekjaar 2017</v>
      </c>
      <c r="I505" s="166" t="str">
        <f>"Nog af te bouwen regulatoir saldo na compensatie einde "&amp;F503-1</f>
        <v>Nog af te bouwen regulatoir saldo na compensatie einde 2017</v>
      </c>
      <c r="J505" s="166" t="str">
        <f>"Aanwending van 50% van het geaccumuleerd regulatoir saldo door te rekenen volgens de tariefmethodologie in het boekjaar "&amp;F503</f>
        <v>Aanwending van 50% van het geaccumuleerd regulatoir saldo door te rekenen volgens de tariefmethodologie in het boekjaar 2018</v>
      </c>
      <c r="K505" s="166" t="str">
        <f>"Nog af te bouwen regulatoir saldo einde "&amp;F503</f>
        <v>Nog af te bouwen regulatoir saldo einde 2018</v>
      </c>
      <c r="L505" s="228"/>
      <c r="M505" s="228"/>
      <c r="N505" s="228"/>
    </row>
    <row r="506" spans="2:16" x14ac:dyDescent="0.2">
      <c r="B506" s="1260">
        <v>2017</v>
      </c>
      <c r="C506" s="1261"/>
      <c r="D506" s="1261"/>
      <c r="E506" s="1262"/>
      <c r="F506" s="283"/>
      <c r="G506" s="566">
        <f>+G157</f>
        <v>0</v>
      </c>
      <c r="H506" s="566">
        <v>0</v>
      </c>
      <c r="I506" s="566">
        <f>+G506+H506</f>
        <v>0</v>
      </c>
      <c r="J506" s="1010">
        <f>-I506*0.5</f>
        <v>0</v>
      </c>
      <c r="K506" s="1032">
        <f>+J506+G506</f>
        <v>0</v>
      </c>
      <c r="L506" s="1002"/>
      <c r="M506" s="1002"/>
      <c r="N506" s="1002"/>
      <c r="O506" s="167"/>
    </row>
    <row r="507" spans="2:16" x14ac:dyDescent="0.2">
      <c r="O507" s="167"/>
    </row>
    <row r="508" spans="2:16" x14ac:dyDescent="0.2">
      <c r="B508" s="281" t="s">
        <v>172</v>
      </c>
      <c r="F508" s="1000">
        <v>2019</v>
      </c>
      <c r="O508" s="212"/>
    </row>
    <row r="509" spans="2:16" x14ac:dyDescent="0.2">
      <c r="O509" s="212"/>
    </row>
    <row r="510" spans="2:16" s="220" customFormat="1" ht="107.1" customHeight="1" x14ac:dyDescent="0.2">
      <c r="B510" s="1257" t="s">
        <v>173</v>
      </c>
      <c r="C510" s="1258"/>
      <c r="D510" s="1258"/>
      <c r="E510" s="1259"/>
      <c r="F510" s="804"/>
      <c r="G510" s="166" t="str">
        <f>"Nog af te bouwen regulatoir saldo einde "&amp;F508-1</f>
        <v>Nog af te bouwen regulatoir saldo einde 2018</v>
      </c>
      <c r="H510" s="166" t="str">
        <f>"Afbouw oudste openstaande regulatoir saldo vanaf boekjaar "&amp;F508-2&amp;" en vroeger, door aanwending van compensatie met regulatoir saldo ontstaan over boekjaar "&amp;F508-1</f>
        <v>Afbouw oudste openstaande regulatoir saldo vanaf boekjaar 2017 en vroeger, door aanwending van compensatie met regulatoir saldo ontstaan over boekjaar 2018</v>
      </c>
      <c r="I510" s="166" t="str">
        <f>"Nog af te bouwen regulatoir saldo na compensatie einde "&amp;F508-1</f>
        <v>Nog af te bouwen regulatoir saldo na compensatie einde 2018</v>
      </c>
      <c r="J510" s="166" t="str">
        <f>"Aanwending van 50% van het geaccumuleerd regulatoir saldo door te rekenen volgens de tariefmethodologie in het boekjaar "&amp;F508</f>
        <v>Aanwending van 50% van het geaccumuleerd regulatoir saldo door te rekenen volgens de tariefmethodologie in het boekjaar 2019</v>
      </c>
      <c r="K510" s="166" t="str">
        <f>"Aanwending van 50% van het geaccumuleerd regulatoir saldo door te rekenen volgens de tariefmethodologie in het boekjaar "&amp;F508</f>
        <v>Aanwending van 50% van het geaccumuleerd regulatoir saldo door te rekenen volgens de tariefmethodologie in het boekjaar 2019</v>
      </c>
      <c r="L510" s="166" t="str">
        <f>"Totale afbouw over "&amp;F508</f>
        <v>Totale afbouw over 2019</v>
      </c>
      <c r="M510" s="166" t="str">
        <f>"Nog af te bouwen regulatoir saldo einde "&amp;F508</f>
        <v>Nog af te bouwen regulatoir saldo einde 2019</v>
      </c>
      <c r="N510" s="564"/>
    </row>
    <row r="511" spans="2:16" x14ac:dyDescent="0.2">
      <c r="B511" s="1260">
        <v>2017</v>
      </c>
      <c r="C511" s="1261"/>
      <c r="D511" s="1261"/>
      <c r="E511" s="1262"/>
      <c r="F511" s="283"/>
      <c r="G511" s="566">
        <f>K506</f>
        <v>0</v>
      </c>
      <c r="H511" s="566">
        <f>IF(SIGN(G512*K506)&lt;0,IF(G511&lt;&gt;0,-SIGN(G511)*MIN(ABS(G512),ABS(G511)),0),0)</f>
        <v>0</v>
      </c>
      <c r="I511" s="566">
        <f>+G511+H511</f>
        <v>0</v>
      </c>
      <c r="J511" s="1033"/>
      <c r="K511" s="1010">
        <f>-MIN(ABS(I511),ABS(J513))*SIGN(I511)</f>
        <v>0</v>
      </c>
      <c r="L511" s="1003">
        <f>+K511+H511</f>
        <v>0</v>
      </c>
      <c r="M511" s="566">
        <f>+I511+K511</f>
        <v>0</v>
      </c>
      <c r="N511" s="212"/>
      <c r="O511" s="167"/>
    </row>
    <row r="512" spans="2:16" x14ac:dyDescent="0.2">
      <c r="B512" s="1260">
        <v>2018</v>
      </c>
      <c r="C512" s="1261"/>
      <c r="D512" s="1261"/>
      <c r="E512" s="1262"/>
      <c r="F512" s="283"/>
      <c r="G512" s="566">
        <f>+H158</f>
        <v>0</v>
      </c>
      <c r="H512" s="1003">
        <f>IF(SIGN(G512*K506)&lt;0,-H511,0)</f>
        <v>0</v>
      </c>
      <c r="I512" s="566">
        <f>+G512+H512</f>
        <v>0</v>
      </c>
      <c r="J512" s="1033"/>
      <c r="K512" s="1010">
        <f>-MIN(ABS(I512),ABS(J513-K511))*SIGN(I512)</f>
        <v>0</v>
      </c>
      <c r="L512" s="1003">
        <f>+K512+H512</f>
        <v>0</v>
      </c>
      <c r="M512" s="566">
        <f>+I512+K512</f>
        <v>0</v>
      </c>
      <c r="N512" s="212"/>
      <c r="O512" s="167"/>
    </row>
    <row r="513" spans="2:15" s="281" customFormat="1" x14ac:dyDescent="0.2">
      <c r="G513" s="169">
        <f>SUM(G511:G512)</f>
        <v>0</v>
      </c>
      <c r="H513" s="169">
        <f>SUM(H511:H512)</f>
        <v>0</v>
      </c>
      <c r="I513" s="169">
        <f>SUM(I511:I512)</f>
        <v>0</v>
      </c>
      <c r="J513" s="291">
        <f>-I513*0.5</f>
        <v>0</v>
      </c>
      <c r="K513" s="291">
        <f>SUM(K511:K512)</f>
        <v>0</v>
      </c>
      <c r="L513" s="570"/>
      <c r="M513" s="169">
        <f>SUM(M511:M512)</f>
        <v>0</v>
      </c>
    </row>
    <row r="514" spans="2:15" x14ac:dyDescent="0.2">
      <c r="O514" s="167"/>
    </row>
    <row r="515" spans="2:15" x14ac:dyDescent="0.2">
      <c r="B515" s="281" t="s">
        <v>172</v>
      </c>
      <c r="F515" s="1000">
        <v>2020</v>
      </c>
      <c r="O515" s="167"/>
    </row>
    <row r="516" spans="2:15" x14ac:dyDescent="0.2">
      <c r="O516" s="167"/>
    </row>
    <row r="517" spans="2:15" s="220" customFormat="1" ht="107.1" customHeight="1" x14ac:dyDescent="0.2">
      <c r="B517" s="1257" t="s">
        <v>173</v>
      </c>
      <c r="C517" s="1258"/>
      <c r="D517" s="1258"/>
      <c r="E517" s="1259"/>
      <c r="F517" s="804"/>
      <c r="G517" s="166" t="str">
        <f>"Nog af te bouwen regulatoir saldo einde "&amp;F515-1</f>
        <v>Nog af te bouwen regulatoir saldo einde 2019</v>
      </c>
      <c r="H517" s="166" t="str">
        <f>"Afbouw oudste openstaande regulatoir saldo vanaf boekjaar "&amp;F515-2&amp;" en vroeger, door aanwending van compensatie met regulatoir saldo ontstaan over boekjaar "&amp;F515-1</f>
        <v>Afbouw oudste openstaande regulatoir saldo vanaf boekjaar 2018 en vroeger, door aanwending van compensatie met regulatoir saldo ontstaan over boekjaar 2019</v>
      </c>
      <c r="I517" s="166" t="str">
        <f>"Nog af te bouwen regulatoir saldo na compensatie einde "&amp;F515-1</f>
        <v>Nog af te bouwen regulatoir saldo na compensatie einde 2019</v>
      </c>
      <c r="J517" s="166" t="str">
        <f>"Aanwending van 50% van het geaccumuleerd regulatoir saldo door te rekenen volgens de tariefmethodologie in het boekjaar "&amp;F515</f>
        <v>Aanwending van 50% van het geaccumuleerd regulatoir saldo door te rekenen volgens de tariefmethodologie in het boekjaar 2020</v>
      </c>
      <c r="K517" s="166" t="str">
        <f>"Aanwending van 50% van het geaccumuleerd regulatoir saldo door te rekenen volgens de tariefmethodologie in het boekjaar "&amp;F515</f>
        <v>Aanwending van 50% van het geaccumuleerd regulatoir saldo door te rekenen volgens de tariefmethodologie in het boekjaar 2020</v>
      </c>
      <c r="L517" s="166" t="str">
        <f>"Totale afbouw over "&amp;F515</f>
        <v>Totale afbouw over 2020</v>
      </c>
      <c r="M517" s="166" t="str">
        <f>"Nog af te bouwen regulatoir saldo einde "&amp;F515</f>
        <v>Nog af te bouwen regulatoir saldo einde 2020</v>
      </c>
      <c r="N517" s="564"/>
    </row>
    <row r="518" spans="2:15" x14ac:dyDescent="0.2">
      <c r="B518" s="1260">
        <v>2017</v>
      </c>
      <c r="C518" s="1261"/>
      <c r="D518" s="1261"/>
      <c r="E518" s="1262"/>
      <c r="F518" s="283"/>
      <c r="G518" s="566">
        <f>+M511</f>
        <v>0</v>
      </c>
      <c r="H518" s="1003">
        <f>IF(SIGN(G520*M513)&lt;0,IF(G518&lt;&gt;0,-SIGN(G518)*MIN(ABS(G520),ABS(G518)),0),0)</f>
        <v>0</v>
      </c>
      <c r="I518" s="566">
        <f>+G518+H518</f>
        <v>0</v>
      </c>
      <c r="J518" s="1033"/>
      <c r="K518" s="1010">
        <f>-MIN(ABS(I518),ABS(J521))*SIGN(I518)</f>
        <v>0</v>
      </c>
      <c r="L518" s="1003">
        <f>+K518+H518</f>
        <v>0</v>
      </c>
      <c r="M518" s="566">
        <f>+I518+K518</f>
        <v>0</v>
      </c>
      <c r="N518" s="212"/>
      <c r="O518" s="167"/>
    </row>
    <row r="519" spans="2:15" x14ac:dyDescent="0.2">
      <c r="B519" s="1260">
        <v>2018</v>
      </c>
      <c r="C519" s="1261"/>
      <c r="D519" s="1261">
        <v>2016</v>
      </c>
      <c r="E519" s="1262"/>
      <c r="F519" s="283"/>
      <c r="G519" s="566">
        <f>+M512</f>
        <v>0</v>
      </c>
      <c r="H519" s="1003">
        <f>IF(SIGN(G520*M513)&lt;0,IF(G519&lt;&gt;0,-SIGN(G519)*MIN(ABS(G520-H518),ABS(G519)),0),0)</f>
        <v>0</v>
      </c>
      <c r="I519" s="566">
        <f>+G519+H519</f>
        <v>0</v>
      </c>
      <c r="J519" s="1033"/>
      <c r="K519" s="1010">
        <f>-MIN(ABS(I519),ABS(J521-K518))*SIGN(I519)</f>
        <v>0</v>
      </c>
      <c r="L519" s="1003">
        <f>+K519+H519</f>
        <v>0</v>
      </c>
      <c r="M519" s="566">
        <f>+I519+K519</f>
        <v>0</v>
      </c>
      <c r="N519" s="212"/>
      <c r="O519" s="167"/>
    </row>
    <row r="520" spans="2:15" x14ac:dyDescent="0.2">
      <c r="B520" s="1260">
        <v>2019</v>
      </c>
      <c r="C520" s="1261"/>
      <c r="D520" s="1261"/>
      <c r="E520" s="1262"/>
      <c r="F520" s="283"/>
      <c r="G520" s="566">
        <f>I159</f>
        <v>0</v>
      </c>
      <c r="H520" s="1003">
        <f>IF(SIGN(G520*M513)&lt;0,-SUM(H518:H519),0)</f>
        <v>0</v>
      </c>
      <c r="I520" s="566">
        <f>+G520+H520</f>
        <v>0</v>
      </c>
      <c r="J520" s="1033"/>
      <c r="K520" s="1010">
        <f>-MIN(ABS(I520),ABS(J521-K518-K519))*SIGN(I520)</f>
        <v>0</v>
      </c>
      <c r="L520" s="1003">
        <f>+K520+H520</f>
        <v>0</v>
      </c>
      <c r="M520" s="566">
        <f>+I520+K520</f>
        <v>0</v>
      </c>
      <c r="N520" s="212"/>
      <c r="O520" s="167"/>
    </row>
    <row r="521" spans="2:15" s="281" customFormat="1" x14ac:dyDescent="0.2">
      <c r="G521" s="169">
        <f>SUM(G518:G520)</f>
        <v>0</v>
      </c>
      <c r="H521" s="169">
        <f>SUM(H518:H520)</f>
        <v>0</v>
      </c>
      <c r="I521" s="169">
        <f>SUM(I518:I520)</f>
        <v>0</v>
      </c>
      <c r="J521" s="291">
        <f>-I521*0.5</f>
        <v>0</v>
      </c>
      <c r="K521" s="291">
        <f>SUM(K518:K520)</f>
        <v>0</v>
      </c>
      <c r="L521" s="570"/>
      <c r="M521" s="169">
        <f>SUM(M518:M520)</f>
        <v>0</v>
      </c>
    </row>
    <row r="522" spans="2:15" x14ac:dyDescent="0.2">
      <c r="O522" s="167"/>
    </row>
    <row r="523" spans="2:15" x14ac:dyDescent="0.2">
      <c r="B523" s="281" t="s">
        <v>172</v>
      </c>
      <c r="F523" s="1000">
        <v>2021</v>
      </c>
      <c r="O523" s="167"/>
    </row>
    <row r="524" spans="2:15" x14ac:dyDescent="0.2">
      <c r="O524" s="167"/>
    </row>
    <row r="525" spans="2:15" ht="78" customHeight="1" x14ac:dyDescent="0.2">
      <c r="B525" s="1257" t="s">
        <v>173</v>
      </c>
      <c r="C525" s="1258"/>
      <c r="D525" s="1258"/>
      <c r="E525" s="1259"/>
      <c r="F525" s="282"/>
      <c r="G525" s="166" t="str">
        <f>"Nog af te bouwen regulatoir saldo einde "&amp;F523-1</f>
        <v>Nog af te bouwen regulatoir saldo einde 2020</v>
      </c>
      <c r="H525" s="166" t="str">
        <f>"50% van het oorspronkelijk regulatoir saldo door te rekenen volgens de tariefmethodologie in het boekjaar "&amp;F523</f>
        <v>50% van het oorspronkelijk regulatoir saldo door te rekenen volgens de tariefmethodologie in het boekjaar 2021</v>
      </c>
      <c r="I525" s="166" t="str">
        <f>"Nog af te bouwen regulatoir saldo einde "&amp;F523</f>
        <v>Nog af te bouwen regulatoir saldo einde 2021</v>
      </c>
      <c r="J525" s="212"/>
      <c r="O525" s="167"/>
    </row>
    <row r="526" spans="2:15" x14ac:dyDescent="0.2">
      <c r="B526" s="1260">
        <v>2017</v>
      </c>
      <c r="C526" s="1261"/>
      <c r="D526" s="1261"/>
      <c r="E526" s="1262"/>
      <c r="F526" s="283"/>
      <c r="G526" s="566">
        <f>+M518</f>
        <v>0</v>
      </c>
      <c r="H526" s="566">
        <f>-G526*0.5</f>
        <v>0</v>
      </c>
      <c r="I526" s="566">
        <f>+G526+H526</f>
        <v>0</v>
      </c>
      <c r="J526" s="212"/>
      <c r="O526" s="167"/>
    </row>
    <row r="527" spans="2:15" x14ac:dyDescent="0.2">
      <c r="B527" s="1260">
        <v>2018</v>
      </c>
      <c r="C527" s="1261"/>
      <c r="D527" s="1261"/>
      <c r="E527" s="1262"/>
      <c r="F527" s="283"/>
      <c r="G527" s="566">
        <f t="shared" ref="G527:G528" si="74">+M519</f>
        <v>0</v>
      </c>
      <c r="H527" s="566">
        <f t="shared" ref="H527:H529" si="75">-G527*0.5</f>
        <v>0</v>
      </c>
      <c r="I527" s="566">
        <f t="shared" ref="I527:I529" si="76">+G527+H527</f>
        <v>0</v>
      </c>
      <c r="J527" s="212"/>
      <c r="O527" s="167"/>
    </row>
    <row r="528" spans="2:15" x14ac:dyDescent="0.2">
      <c r="B528" s="1260">
        <v>2019</v>
      </c>
      <c r="C528" s="1261"/>
      <c r="D528" s="1261">
        <v>2016</v>
      </c>
      <c r="E528" s="1262"/>
      <c r="F528" s="283"/>
      <c r="G528" s="566">
        <f t="shared" si="74"/>
        <v>0</v>
      </c>
      <c r="H528" s="566">
        <f t="shared" si="75"/>
        <v>0</v>
      </c>
      <c r="I528" s="566">
        <f t="shared" si="76"/>
        <v>0</v>
      </c>
      <c r="J528" s="212"/>
      <c r="O528" s="167"/>
    </row>
    <row r="529" spans="2:15" x14ac:dyDescent="0.2">
      <c r="B529" s="1260">
        <v>2020</v>
      </c>
      <c r="C529" s="1261"/>
      <c r="D529" s="1261"/>
      <c r="E529" s="1262"/>
      <c r="F529" s="283"/>
      <c r="G529" s="566">
        <f>J160</f>
        <v>0</v>
      </c>
      <c r="H529" s="566">
        <f t="shared" si="75"/>
        <v>0</v>
      </c>
      <c r="I529" s="566">
        <f t="shared" si="76"/>
        <v>0</v>
      </c>
      <c r="J529" s="212"/>
      <c r="O529" s="167"/>
    </row>
    <row r="530" spans="2:15" s="281" customFormat="1" x14ac:dyDescent="0.2">
      <c r="G530" s="169">
        <f>SUM(G526:G529)</f>
        <v>0</v>
      </c>
      <c r="H530" s="169">
        <f>SUM(H526:H529)</f>
        <v>0</v>
      </c>
      <c r="I530" s="169">
        <f>SUM(I526:I529)</f>
        <v>0</v>
      </c>
    </row>
    <row r="531" spans="2:15" x14ac:dyDescent="0.2">
      <c r="G531" s="221"/>
      <c r="H531" s="221"/>
      <c r="I531" s="221"/>
      <c r="O531" s="167"/>
    </row>
    <row r="532" spans="2:15" x14ac:dyDescent="0.2">
      <c r="B532" s="847" t="s">
        <v>172</v>
      </c>
      <c r="C532" s="842"/>
      <c r="D532" s="842"/>
      <c r="E532" s="842"/>
      <c r="F532" s="1004">
        <v>2022</v>
      </c>
      <c r="G532" s="842"/>
      <c r="H532" s="842"/>
      <c r="I532" s="842"/>
      <c r="O532" s="167"/>
    </row>
    <row r="533" spans="2:15" x14ac:dyDescent="0.2">
      <c r="B533" s="842"/>
      <c r="C533" s="842"/>
      <c r="D533" s="842"/>
      <c r="E533" s="842"/>
      <c r="F533" s="842"/>
      <c r="G533" s="842"/>
      <c r="H533" s="842"/>
      <c r="I533" s="842"/>
      <c r="O533" s="167"/>
    </row>
    <row r="534" spans="2:15" ht="78" customHeight="1" x14ac:dyDescent="0.2">
      <c r="B534" s="1254" t="s">
        <v>173</v>
      </c>
      <c r="C534" s="1255"/>
      <c r="D534" s="1255"/>
      <c r="E534" s="1256"/>
      <c r="F534" s="848"/>
      <c r="G534" s="837" t="str">
        <f>"Nog af te bouwen regulatoir saldo einde "&amp;F532-1</f>
        <v>Nog af te bouwen regulatoir saldo einde 2021</v>
      </c>
      <c r="H534" s="837" t="str">
        <f>"50% van het oorspronkelijk regulatoir saldo door te rekenen volgens de tariefmethodologie in het boekjaar "&amp;F532</f>
        <v>50% van het oorspronkelijk regulatoir saldo door te rekenen volgens de tariefmethodologie in het boekjaar 2022</v>
      </c>
      <c r="I534" s="837" t="str">
        <f>"Nog af te bouwen regulatoir saldo einde "&amp;F532</f>
        <v>Nog af te bouwen regulatoir saldo einde 2022</v>
      </c>
      <c r="J534" s="212"/>
      <c r="O534" s="167"/>
    </row>
    <row r="535" spans="2:15" x14ac:dyDescent="0.2">
      <c r="B535" s="1251">
        <v>2017</v>
      </c>
      <c r="C535" s="1252"/>
      <c r="D535" s="1252">
        <v>2016</v>
      </c>
      <c r="E535" s="1253"/>
      <c r="F535" s="341"/>
      <c r="G535" s="568">
        <f>+I526</f>
        <v>0</v>
      </c>
      <c r="H535" s="568">
        <f>-G526*0.5</f>
        <v>0</v>
      </c>
      <c r="I535" s="568">
        <f t="shared" ref="I535:I539" si="77">+G535+H535</f>
        <v>0</v>
      </c>
      <c r="J535" s="212"/>
      <c r="O535" s="167"/>
    </row>
    <row r="536" spans="2:15" x14ac:dyDescent="0.2">
      <c r="B536" s="1251">
        <v>2018</v>
      </c>
      <c r="C536" s="1252"/>
      <c r="D536" s="1252"/>
      <c r="E536" s="1253"/>
      <c r="F536" s="341"/>
      <c r="G536" s="568">
        <f t="shared" ref="G536:G538" si="78">+I527</f>
        <v>0</v>
      </c>
      <c r="H536" s="568">
        <f t="shared" ref="H536:H538" si="79">-G527*0.5</f>
        <v>0</v>
      </c>
      <c r="I536" s="568">
        <f t="shared" si="77"/>
        <v>0</v>
      </c>
      <c r="J536" s="212"/>
      <c r="O536" s="167"/>
    </row>
    <row r="537" spans="2:15" x14ac:dyDescent="0.2">
      <c r="B537" s="1251">
        <v>2019</v>
      </c>
      <c r="C537" s="1252"/>
      <c r="D537" s="1252"/>
      <c r="E537" s="1253"/>
      <c r="F537" s="341"/>
      <c r="G537" s="568">
        <f t="shared" si="78"/>
        <v>0</v>
      </c>
      <c r="H537" s="568">
        <f t="shared" si="79"/>
        <v>0</v>
      </c>
      <c r="I537" s="568">
        <f t="shared" si="77"/>
        <v>0</v>
      </c>
      <c r="J537" s="212"/>
      <c r="O537" s="167"/>
    </row>
    <row r="538" spans="2:15" x14ac:dyDescent="0.2">
      <c r="B538" s="1251">
        <v>2020</v>
      </c>
      <c r="C538" s="1252"/>
      <c r="D538" s="1252"/>
      <c r="E538" s="1253"/>
      <c r="F538" s="341"/>
      <c r="G538" s="568">
        <f t="shared" si="78"/>
        <v>0</v>
      </c>
      <c r="H538" s="568">
        <f t="shared" si="79"/>
        <v>0</v>
      </c>
      <c r="I538" s="568">
        <f t="shared" si="77"/>
        <v>0</v>
      </c>
      <c r="J538" s="212"/>
      <c r="O538" s="167"/>
    </row>
    <row r="539" spans="2:15" x14ac:dyDescent="0.2">
      <c r="B539" s="1251">
        <v>2021</v>
      </c>
      <c r="C539" s="1252"/>
      <c r="D539" s="1252"/>
      <c r="E539" s="1253"/>
      <c r="F539" s="341"/>
      <c r="G539" s="568">
        <f>K161</f>
        <v>0</v>
      </c>
      <c r="H539" s="568">
        <f t="shared" ref="H539" si="80">-G539*0.5</f>
        <v>0</v>
      </c>
      <c r="I539" s="568">
        <f t="shared" si="77"/>
        <v>0</v>
      </c>
      <c r="J539" s="212"/>
      <c r="O539" s="167"/>
    </row>
    <row r="540" spans="2:15" s="281" customFormat="1" x14ac:dyDescent="0.2">
      <c r="B540" s="847"/>
      <c r="C540" s="847"/>
      <c r="D540" s="847"/>
      <c r="E540" s="847"/>
      <c r="F540" s="847"/>
      <c r="G540" s="856">
        <f>SUM(G535:G539)</f>
        <v>0</v>
      </c>
      <c r="H540" s="856">
        <f>SUM(H535:H539)</f>
        <v>0</v>
      </c>
      <c r="I540" s="856">
        <f>SUM(I535:I539)</f>
        <v>0</v>
      </c>
    </row>
    <row r="541" spans="2:15" x14ac:dyDescent="0.2">
      <c r="B541" s="842"/>
      <c r="C541" s="842"/>
      <c r="D541" s="842"/>
      <c r="E541" s="842"/>
      <c r="F541" s="842"/>
      <c r="G541" s="842"/>
      <c r="H541" s="842"/>
      <c r="I541" s="842"/>
      <c r="O541" s="167"/>
    </row>
    <row r="542" spans="2:15" x14ac:dyDescent="0.2">
      <c r="B542" s="847" t="s">
        <v>172</v>
      </c>
      <c r="C542" s="842"/>
      <c r="D542" s="842"/>
      <c r="E542" s="842"/>
      <c r="F542" s="1004">
        <v>2023</v>
      </c>
      <c r="G542" s="842"/>
      <c r="H542" s="842"/>
      <c r="I542" s="842"/>
      <c r="O542" s="167"/>
    </row>
    <row r="543" spans="2:15" x14ac:dyDescent="0.2">
      <c r="B543" s="842"/>
      <c r="C543" s="842"/>
      <c r="D543" s="842"/>
      <c r="E543" s="842"/>
      <c r="F543" s="842"/>
      <c r="G543" s="842"/>
      <c r="H543" s="842"/>
      <c r="I543" s="842"/>
      <c r="O543" s="167"/>
    </row>
    <row r="544" spans="2:15" ht="78" customHeight="1" x14ac:dyDescent="0.2">
      <c r="B544" s="1254" t="s">
        <v>173</v>
      </c>
      <c r="C544" s="1255"/>
      <c r="D544" s="1255"/>
      <c r="E544" s="1256"/>
      <c r="F544" s="848"/>
      <c r="G544" s="837" t="str">
        <f>"Nog af te bouwen regulatoir saldo einde "&amp;F542-1</f>
        <v>Nog af te bouwen regulatoir saldo einde 2022</v>
      </c>
      <c r="H544" s="837" t="str">
        <f>"50% van het oorspronkelijk regulatoir saldo door te rekenen volgens de tariefmethodologie in het boekjaar "&amp;F542</f>
        <v>50% van het oorspronkelijk regulatoir saldo door te rekenen volgens de tariefmethodologie in het boekjaar 2023</v>
      </c>
      <c r="I544" s="837" t="str">
        <f>"Nog af te bouwen regulatoir saldo einde "&amp;F542</f>
        <v>Nog af te bouwen regulatoir saldo einde 2023</v>
      </c>
      <c r="J544" s="212"/>
      <c r="O544" s="167"/>
    </row>
    <row r="545" spans="2:15" x14ac:dyDescent="0.2">
      <c r="B545" s="1251">
        <v>2021</v>
      </c>
      <c r="C545" s="1252"/>
      <c r="D545" s="1252"/>
      <c r="E545" s="1253"/>
      <c r="F545" s="341"/>
      <c r="G545" s="568">
        <f>+I539</f>
        <v>0</v>
      </c>
      <c r="H545" s="568">
        <f>-G539*0.5</f>
        <v>0</v>
      </c>
      <c r="I545" s="568">
        <f t="shared" ref="I545:I546" si="81">+G545+H545</f>
        <v>0</v>
      </c>
      <c r="J545" s="212"/>
      <c r="O545" s="167"/>
    </row>
    <row r="546" spans="2:15" x14ac:dyDescent="0.2">
      <c r="B546" s="1251">
        <v>2022</v>
      </c>
      <c r="C546" s="1252"/>
      <c r="D546" s="1252"/>
      <c r="E546" s="1253"/>
      <c r="F546" s="341"/>
      <c r="G546" s="568">
        <f>L162</f>
        <v>0</v>
      </c>
      <c r="H546" s="568">
        <f t="shared" ref="H546" si="82">-G546*0.5</f>
        <v>0</v>
      </c>
      <c r="I546" s="568">
        <f t="shared" si="81"/>
        <v>0</v>
      </c>
      <c r="J546" s="212"/>
      <c r="O546" s="167"/>
    </row>
    <row r="547" spans="2:15" s="281" customFormat="1" x14ac:dyDescent="0.2">
      <c r="B547" s="847"/>
      <c r="C547" s="847"/>
      <c r="D547" s="847"/>
      <c r="E547" s="847"/>
      <c r="F547" s="847"/>
      <c r="G547" s="856">
        <f>SUM(G545:G546)</f>
        <v>0</v>
      </c>
      <c r="H547" s="856">
        <f>SUM(H545:H546)</f>
        <v>0</v>
      </c>
      <c r="I547" s="856">
        <f>SUM(I545:I546)</f>
        <v>0</v>
      </c>
    </row>
    <row r="548" spans="2:15" x14ac:dyDescent="0.2">
      <c r="B548" s="842"/>
      <c r="C548" s="842"/>
      <c r="D548" s="842"/>
      <c r="E548" s="842"/>
      <c r="F548" s="842"/>
      <c r="G548" s="842"/>
      <c r="H548" s="842"/>
      <c r="I548" s="842"/>
      <c r="O548" s="167"/>
    </row>
    <row r="549" spans="2:15" x14ac:dyDescent="0.2">
      <c r="B549" s="847" t="s">
        <v>172</v>
      </c>
      <c r="C549" s="842"/>
      <c r="D549" s="842"/>
      <c r="E549" s="842"/>
      <c r="F549" s="1004">
        <v>2024</v>
      </c>
      <c r="G549" s="842"/>
      <c r="H549" s="842"/>
      <c r="I549" s="842"/>
      <c r="O549" s="167"/>
    </row>
    <row r="550" spans="2:15" x14ac:dyDescent="0.2">
      <c r="B550" s="842"/>
      <c r="C550" s="842"/>
      <c r="D550" s="842"/>
      <c r="E550" s="842"/>
      <c r="F550" s="842"/>
      <c r="G550" s="842"/>
      <c r="H550" s="842"/>
      <c r="I550" s="842"/>
      <c r="O550" s="167"/>
    </row>
    <row r="551" spans="2:15" ht="78" customHeight="1" x14ac:dyDescent="0.2">
      <c r="B551" s="1254" t="s">
        <v>173</v>
      </c>
      <c r="C551" s="1255"/>
      <c r="D551" s="1255"/>
      <c r="E551" s="1256"/>
      <c r="F551" s="848"/>
      <c r="G551" s="837" t="str">
        <f>"Nog af te bouwen regulatoir saldo einde "&amp;F549-1</f>
        <v>Nog af te bouwen regulatoir saldo einde 2023</v>
      </c>
      <c r="H551" s="837" t="str">
        <f>"50% van het oorspronkelijk regulatoir saldo door te rekenen volgens de tariefmethodologie in het boekjaar "&amp;F549</f>
        <v>50% van het oorspronkelijk regulatoir saldo door te rekenen volgens de tariefmethodologie in het boekjaar 2024</v>
      </c>
      <c r="I551" s="837" t="str">
        <f>"Nog af te bouwen regulatoir saldo einde "&amp;F549</f>
        <v>Nog af te bouwen regulatoir saldo einde 2024</v>
      </c>
      <c r="J551" s="212"/>
      <c r="O551" s="167"/>
    </row>
    <row r="552" spans="2:15" x14ac:dyDescent="0.2">
      <c r="B552" s="1251">
        <v>2022</v>
      </c>
      <c r="C552" s="1252"/>
      <c r="D552" s="1252"/>
      <c r="E552" s="1253"/>
      <c r="F552" s="341"/>
      <c r="G552" s="568">
        <f>+I546</f>
        <v>0</v>
      </c>
      <c r="H552" s="568">
        <f>-G546*0.5</f>
        <v>0</v>
      </c>
      <c r="I552" s="568">
        <f t="shared" ref="I552:I553" si="83">+G552+H552</f>
        <v>0</v>
      </c>
      <c r="J552" s="212"/>
      <c r="O552" s="167"/>
    </row>
    <row r="553" spans="2:15" x14ac:dyDescent="0.2">
      <c r="B553" s="1251">
        <v>2023</v>
      </c>
      <c r="C553" s="1252"/>
      <c r="D553" s="1252"/>
      <c r="E553" s="1253"/>
      <c r="F553" s="341"/>
      <c r="G553" s="568">
        <f>+M163</f>
        <v>0</v>
      </c>
      <c r="H553" s="568">
        <f t="shared" ref="H553" si="84">-G553*0.5</f>
        <v>0</v>
      </c>
      <c r="I553" s="568">
        <f t="shared" si="83"/>
        <v>0</v>
      </c>
      <c r="J553" s="212"/>
      <c r="O553" s="167"/>
    </row>
    <row r="554" spans="2:15" s="281" customFormat="1" x14ac:dyDescent="0.2">
      <c r="B554" s="847"/>
      <c r="C554" s="847"/>
      <c r="D554" s="847"/>
      <c r="E554" s="847"/>
      <c r="F554" s="847"/>
      <c r="G554" s="856">
        <f>SUM(G552:G553)</f>
        <v>0</v>
      </c>
      <c r="H554" s="856">
        <f>SUM(H552:H553)</f>
        <v>0</v>
      </c>
      <c r="I554" s="856">
        <f>SUM(I552:I553)</f>
        <v>0</v>
      </c>
    </row>
    <row r="555" spans="2:15" x14ac:dyDescent="0.2">
      <c r="B555" s="281" t="str">
        <f>+B501</f>
        <v>Het tarief voor de compensatie van de netverliezen</v>
      </c>
      <c r="C555" s="224"/>
      <c r="D555" s="224"/>
      <c r="E555" s="224"/>
      <c r="O555" s="167"/>
    </row>
    <row r="556" spans="2:15" x14ac:dyDescent="0.2">
      <c r="B556" s="281" t="s">
        <v>174</v>
      </c>
      <c r="C556" s="224"/>
      <c r="D556" s="224"/>
      <c r="E556" s="224"/>
      <c r="O556" s="167"/>
    </row>
    <row r="557" spans="2:15" x14ac:dyDescent="0.2">
      <c r="B557" s="281"/>
      <c r="C557" s="224"/>
      <c r="D557" s="224"/>
      <c r="E557" s="224"/>
      <c r="O557" s="167"/>
    </row>
    <row r="558" spans="2:15" x14ac:dyDescent="0.2">
      <c r="B558" s="283">
        <f>F523</f>
        <v>2021</v>
      </c>
      <c r="C558" s="287">
        <f>+H530</f>
        <v>0</v>
      </c>
      <c r="D558" s="224"/>
      <c r="E558" s="224"/>
      <c r="O558" s="167"/>
    </row>
    <row r="559" spans="2:15" x14ac:dyDescent="0.2">
      <c r="B559" s="341">
        <v>2022</v>
      </c>
      <c r="C559" s="342">
        <f>+H540</f>
        <v>0</v>
      </c>
      <c r="D559" s="224"/>
      <c r="E559" s="224"/>
      <c r="O559" s="167"/>
    </row>
    <row r="560" spans="2:15" x14ac:dyDescent="0.2">
      <c r="B560" s="341">
        <v>2023</v>
      </c>
      <c r="C560" s="342">
        <f>+H547</f>
        <v>0</v>
      </c>
      <c r="D560" s="224"/>
      <c r="E560" s="224"/>
      <c r="O560" s="167"/>
    </row>
    <row r="561" spans="2:16" x14ac:dyDescent="0.2">
      <c r="B561" s="341">
        <v>2024</v>
      </c>
      <c r="C561" s="342">
        <f>+H554</f>
        <v>0</v>
      </c>
      <c r="D561" s="224"/>
      <c r="E561" s="224"/>
      <c r="O561" s="167"/>
    </row>
    <row r="562" spans="2:16" x14ac:dyDescent="0.2">
      <c r="O562" s="167"/>
    </row>
    <row r="563" spans="2:16" x14ac:dyDescent="0.2">
      <c r="O563" s="167"/>
    </row>
    <row r="564" spans="2:16" x14ac:dyDescent="0.2">
      <c r="B564" s="326" t="s">
        <v>68</v>
      </c>
      <c r="C564" s="327"/>
      <c r="D564" s="327"/>
      <c r="E564" s="327"/>
      <c r="F564" s="328"/>
      <c r="G564" s="328"/>
      <c r="H564" s="328"/>
      <c r="I564" s="328"/>
      <c r="J564" s="328"/>
      <c r="K564" s="328"/>
      <c r="L564" s="328"/>
      <c r="M564" s="328"/>
      <c r="N564" s="328"/>
      <c r="O564" s="329"/>
      <c r="P564" s="328"/>
    </row>
    <row r="565" spans="2:16" x14ac:dyDescent="0.2">
      <c r="O565" s="212"/>
    </row>
    <row r="566" spans="2:16" x14ac:dyDescent="0.2">
      <c r="B566" s="281" t="s">
        <v>172</v>
      </c>
      <c r="F566" s="1000">
        <v>2018</v>
      </c>
      <c r="O566" s="212"/>
    </row>
    <row r="567" spans="2:16" x14ac:dyDescent="0.2">
      <c r="O567" s="167"/>
    </row>
    <row r="568" spans="2:16" s="220" customFormat="1" ht="107.1" customHeight="1" x14ac:dyDescent="0.2">
      <c r="B568" s="1257" t="s">
        <v>173</v>
      </c>
      <c r="C568" s="1258"/>
      <c r="D568" s="1258"/>
      <c r="E568" s="1259"/>
      <c r="F568" s="804"/>
      <c r="G568" s="166" t="str">
        <f>"Nog af te bouwen regulatoir saldo einde "&amp;F566-1</f>
        <v>Nog af te bouwen regulatoir saldo einde 2017</v>
      </c>
      <c r="H568" s="166" t="str">
        <f>"Afbouw oudste openstaande regulatoir saldo vanaf boekjaar "&amp;F566-2&amp;" en vroeger, door aanwending van compensatie met regulatoir saldo ontstaan over boekjaar "&amp;F566-1</f>
        <v>Afbouw oudste openstaande regulatoir saldo vanaf boekjaar 2016 en vroeger, door aanwending van compensatie met regulatoir saldo ontstaan over boekjaar 2017</v>
      </c>
      <c r="I568" s="166" t="str">
        <f>"Nog af te bouwen regulatoir saldo na compensatie einde "&amp;F566-1</f>
        <v>Nog af te bouwen regulatoir saldo na compensatie einde 2017</v>
      </c>
      <c r="J568" s="166" t="str">
        <f>"Aanwending van 50% van het geaccumuleerd regulatoir saldo door te rekenen volgens de tariefmethodologie in het boekjaar "&amp;F566</f>
        <v>Aanwending van 50% van het geaccumuleerd regulatoir saldo door te rekenen volgens de tariefmethodologie in het boekjaar 2018</v>
      </c>
      <c r="K568" s="166" t="str">
        <f>"Nog af te bouwen regulatoir saldo einde "&amp;F566</f>
        <v>Nog af te bouwen regulatoir saldo einde 2018</v>
      </c>
      <c r="L568" s="228"/>
      <c r="M568" s="228"/>
      <c r="N568" s="228"/>
    </row>
    <row r="569" spans="2:16" x14ac:dyDescent="0.2">
      <c r="B569" s="1260">
        <v>2017</v>
      </c>
      <c r="C569" s="1261"/>
      <c r="D569" s="1261"/>
      <c r="E569" s="1262"/>
      <c r="F569" s="283"/>
      <c r="G569" s="566">
        <f>+G166</f>
        <v>0</v>
      </c>
      <c r="H569" s="566">
        <v>0</v>
      </c>
      <c r="I569" s="566">
        <f>+G569+H569</f>
        <v>0</v>
      </c>
      <c r="J569" s="1010">
        <f>-I569*0.5</f>
        <v>0</v>
      </c>
      <c r="K569" s="1032">
        <f>+J569+G569</f>
        <v>0</v>
      </c>
      <c r="L569" s="1002"/>
      <c r="M569" s="1002"/>
      <c r="N569" s="1002"/>
      <c r="O569" s="167"/>
    </row>
    <row r="570" spans="2:16" x14ac:dyDescent="0.2">
      <c r="O570" s="167"/>
    </row>
    <row r="571" spans="2:16" x14ac:dyDescent="0.2">
      <c r="B571" s="281" t="s">
        <v>172</v>
      </c>
      <c r="F571" s="1000">
        <v>2019</v>
      </c>
      <c r="O571" s="212"/>
    </row>
    <row r="572" spans="2:16" x14ac:dyDescent="0.2">
      <c r="O572" s="212"/>
    </row>
    <row r="573" spans="2:16" s="220" customFormat="1" ht="107.1" customHeight="1" x14ac:dyDescent="0.2">
      <c r="B573" s="1257" t="s">
        <v>173</v>
      </c>
      <c r="C573" s="1258"/>
      <c r="D573" s="1258"/>
      <c r="E573" s="1259"/>
      <c r="F573" s="804"/>
      <c r="G573" s="166" t="str">
        <f>"Nog af te bouwen regulatoir saldo einde "&amp;F571-1</f>
        <v>Nog af te bouwen regulatoir saldo einde 2018</v>
      </c>
      <c r="H573" s="166" t="str">
        <f>"Afbouw oudste openstaande regulatoir saldo vanaf boekjaar "&amp;F571-2&amp;" en vroeger, door aanwending van compensatie met regulatoir saldo ontstaan over boekjaar "&amp;F571-1</f>
        <v>Afbouw oudste openstaande regulatoir saldo vanaf boekjaar 2017 en vroeger, door aanwending van compensatie met regulatoir saldo ontstaan over boekjaar 2018</v>
      </c>
      <c r="I573" s="166" t="str">
        <f>"Nog af te bouwen regulatoir saldo na compensatie einde "&amp;F571-1</f>
        <v>Nog af te bouwen regulatoir saldo na compensatie einde 2018</v>
      </c>
      <c r="J573" s="166" t="str">
        <f>"Aanwending van 50% van het geaccumuleerd regulatoir saldo door te rekenen volgens de tariefmethodologie in het boekjaar "&amp;F571</f>
        <v>Aanwending van 50% van het geaccumuleerd regulatoir saldo door te rekenen volgens de tariefmethodologie in het boekjaar 2019</v>
      </c>
      <c r="K573" s="166" t="str">
        <f>"Aanwending van 50% van het geaccumuleerd regulatoir saldo door te rekenen volgens de tariefmethodologie in het boekjaar "&amp;F571</f>
        <v>Aanwending van 50% van het geaccumuleerd regulatoir saldo door te rekenen volgens de tariefmethodologie in het boekjaar 2019</v>
      </c>
      <c r="L573" s="166" t="str">
        <f>"Totale afbouw over "&amp;F571</f>
        <v>Totale afbouw over 2019</v>
      </c>
      <c r="M573" s="166" t="str">
        <f>"Nog af te bouwen regulatoir saldo einde "&amp;F571</f>
        <v>Nog af te bouwen regulatoir saldo einde 2019</v>
      </c>
      <c r="N573" s="564"/>
    </row>
    <row r="574" spans="2:16" x14ac:dyDescent="0.2">
      <c r="B574" s="1260">
        <v>2017</v>
      </c>
      <c r="C574" s="1261"/>
      <c r="D574" s="1261"/>
      <c r="E574" s="1262"/>
      <c r="F574" s="283"/>
      <c r="G574" s="566">
        <f>K569</f>
        <v>0</v>
      </c>
      <c r="H574" s="566">
        <f>IF(SIGN(G575*K569)&lt;0,IF(G574&lt;&gt;0,-SIGN(G574)*MIN(ABS(G575),ABS(G574)),0),0)</f>
        <v>0</v>
      </c>
      <c r="I574" s="566">
        <f>+G574+H574</f>
        <v>0</v>
      </c>
      <c r="J574" s="1033"/>
      <c r="K574" s="1010">
        <f>-MIN(ABS(I574),ABS(J576))*SIGN(I574)</f>
        <v>0</v>
      </c>
      <c r="L574" s="1003">
        <f>+K574+H574</f>
        <v>0</v>
      </c>
      <c r="M574" s="566">
        <f>+I574+K574</f>
        <v>0</v>
      </c>
      <c r="N574" s="212"/>
      <c r="O574" s="167"/>
    </row>
    <row r="575" spans="2:16" x14ac:dyDescent="0.2">
      <c r="B575" s="1260">
        <v>2018</v>
      </c>
      <c r="C575" s="1261"/>
      <c r="D575" s="1261"/>
      <c r="E575" s="1262"/>
      <c r="F575" s="283"/>
      <c r="G575" s="566">
        <f>+H167</f>
        <v>0</v>
      </c>
      <c r="H575" s="1003">
        <f>IF(SIGN(G575*K569)&lt;0,-H574,0)</f>
        <v>0</v>
      </c>
      <c r="I575" s="566">
        <f>+G575+H575</f>
        <v>0</v>
      </c>
      <c r="J575" s="1033"/>
      <c r="K575" s="1010">
        <f>-MIN(ABS(I575),ABS(J576-K574))*SIGN(I575)</f>
        <v>0</v>
      </c>
      <c r="L575" s="1003">
        <f>+K575+H575</f>
        <v>0</v>
      </c>
      <c r="M575" s="566">
        <f>+I575+K575</f>
        <v>0</v>
      </c>
      <c r="N575" s="212"/>
      <c r="O575" s="167"/>
    </row>
    <row r="576" spans="2:16" s="281" customFormat="1" x14ac:dyDescent="0.2">
      <c r="G576" s="169">
        <f>SUM(G574:G575)</f>
        <v>0</v>
      </c>
      <c r="H576" s="169">
        <f>SUM(H574:H575)</f>
        <v>0</v>
      </c>
      <c r="I576" s="169">
        <f>SUM(I574:I575)</f>
        <v>0</v>
      </c>
      <c r="J576" s="291">
        <f>-I576*0.5</f>
        <v>0</v>
      </c>
      <c r="K576" s="291">
        <f>SUM(K574:K575)</f>
        <v>0</v>
      </c>
      <c r="L576" s="570"/>
      <c r="M576" s="169">
        <f>SUM(M574:M575)</f>
        <v>0</v>
      </c>
    </row>
    <row r="577" spans="2:15" x14ac:dyDescent="0.2">
      <c r="O577" s="167"/>
    </row>
    <row r="578" spans="2:15" x14ac:dyDescent="0.2">
      <c r="B578" s="281" t="s">
        <v>172</v>
      </c>
      <c r="F578" s="1000">
        <v>2020</v>
      </c>
      <c r="O578" s="167"/>
    </row>
    <row r="579" spans="2:15" x14ac:dyDescent="0.2">
      <c r="O579" s="167"/>
    </row>
    <row r="580" spans="2:15" s="220" customFormat="1" ht="107.1" customHeight="1" x14ac:dyDescent="0.2">
      <c r="B580" s="1257" t="s">
        <v>173</v>
      </c>
      <c r="C580" s="1258"/>
      <c r="D580" s="1258"/>
      <c r="E580" s="1259"/>
      <c r="F580" s="804"/>
      <c r="G580" s="166" t="str">
        <f>"Nog af te bouwen regulatoir saldo einde "&amp;F578-1</f>
        <v>Nog af te bouwen regulatoir saldo einde 2019</v>
      </c>
      <c r="H580" s="166" t="str">
        <f>"Afbouw oudste openstaande regulatoir saldo vanaf boekjaar "&amp;F578-2&amp;" en vroeger, door aanwending van compensatie met regulatoir saldo ontstaan over boekjaar "&amp;F578-1</f>
        <v>Afbouw oudste openstaande regulatoir saldo vanaf boekjaar 2018 en vroeger, door aanwending van compensatie met regulatoir saldo ontstaan over boekjaar 2019</v>
      </c>
      <c r="I580" s="166" t="str">
        <f>"Nog af te bouwen regulatoir saldo na compensatie einde "&amp;F578-1</f>
        <v>Nog af te bouwen regulatoir saldo na compensatie einde 2019</v>
      </c>
      <c r="J580" s="166" t="str">
        <f>"Aanwending van 50% van het geaccumuleerd regulatoir saldo door te rekenen volgens de tariefmethodologie in het boekjaar "&amp;F578</f>
        <v>Aanwending van 50% van het geaccumuleerd regulatoir saldo door te rekenen volgens de tariefmethodologie in het boekjaar 2020</v>
      </c>
      <c r="K580" s="166" t="str">
        <f>"Aanwending van 50% van het geaccumuleerd regulatoir saldo door te rekenen volgens de tariefmethodologie in het boekjaar "&amp;F578</f>
        <v>Aanwending van 50% van het geaccumuleerd regulatoir saldo door te rekenen volgens de tariefmethodologie in het boekjaar 2020</v>
      </c>
      <c r="L580" s="166" t="str">
        <f>"Totale afbouw over "&amp;F578</f>
        <v>Totale afbouw over 2020</v>
      </c>
      <c r="M580" s="166" t="str">
        <f>"Nog af te bouwen regulatoir saldo einde "&amp;F578</f>
        <v>Nog af te bouwen regulatoir saldo einde 2020</v>
      </c>
      <c r="N580" s="564"/>
    </row>
    <row r="581" spans="2:15" x14ac:dyDescent="0.2">
      <c r="B581" s="1260">
        <v>2017</v>
      </c>
      <c r="C581" s="1261"/>
      <c r="D581" s="1261"/>
      <c r="E581" s="1262"/>
      <c r="F581" s="283"/>
      <c r="G581" s="566">
        <f>+M574</f>
        <v>0</v>
      </c>
      <c r="H581" s="1003">
        <f>IF(SIGN(G583*M576)&lt;0,IF(G581&lt;&gt;0,-SIGN(G581)*MIN(ABS(G583),ABS(G581)),0),0)</f>
        <v>0</v>
      </c>
      <c r="I581" s="566">
        <f>+G581+H581</f>
        <v>0</v>
      </c>
      <c r="J581" s="1033"/>
      <c r="K581" s="1010">
        <f>-MIN(ABS(I581),ABS(J584))*SIGN(I581)</f>
        <v>0</v>
      </c>
      <c r="L581" s="1003">
        <f>+K581+H581</f>
        <v>0</v>
      </c>
      <c r="M581" s="566">
        <f>+I581+K581</f>
        <v>0</v>
      </c>
      <c r="N581" s="212"/>
      <c r="O581" s="167"/>
    </row>
    <row r="582" spans="2:15" x14ac:dyDescent="0.2">
      <c r="B582" s="1260">
        <v>2018</v>
      </c>
      <c r="C582" s="1261"/>
      <c r="D582" s="1261">
        <v>2016</v>
      </c>
      <c r="E582" s="1262"/>
      <c r="F582" s="283"/>
      <c r="G582" s="566">
        <f>+M575</f>
        <v>0</v>
      </c>
      <c r="H582" s="1003">
        <f>IF(SIGN(G583*M576)&lt;0,IF(G582&lt;&gt;0,-SIGN(G582)*MIN(ABS(G583-H581),ABS(G582)),0),0)</f>
        <v>0</v>
      </c>
      <c r="I582" s="566">
        <f>+G582+H582</f>
        <v>0</v>
      </c>
      <c r="J582" s="1033"/>
      <c r="K582" s="1010">
        <f>-MIN(ABS(I582),ABS(J584-K581))*SIGN(I582)</f>
        <v>0</v>
      </c>
      <c r="L582" s="1003">
        <f>+K582+H582</f>
        <v>0</v>
      </c>
      <c r="M582" s="566">
        <f>+I582+K582</f>
        <v>0</v>
      </c>
      <c r="N582" s="212"/>
      <c r="O582" s="167"/>
    </row>
    <row r="583" spans="2:15" x14ac:dyDescent="0.2">
      <c r="B583" s="1260">
        <v>2019</v>
      </c>
      <c r="C583" s="1261"/>
      <c r="D583" s="1261"/>
      <c r="E583" s="1262"/>
      <c r="F583" s="283"/>
      <c r="G583" s="566">
        <f>I168</f>
        <v>0</v>
      </c>
      <c r="H583" s="1003">
        <f>IF(SIGN(G583*M576)&lt;0,-SUM(H581:H582),0)</f>
        <v>0</v>
      </c>
      <c r="I583" s="566">
        <f>+G583+H583</f>
        <v>0</v>
      </c>
      <c r="J583" s="1033"/>
      <c r="K583" s="1010">
        <f>-MIN(ABS(I583),ABS(J584-K581-K582))*SIGN(I583)</f>
        <v>0</v>
      </c>
      <c r="L583" s="1003">
        <f>+K583+H583</f>
        <v>0</v>
      </c>
      <c r="M583" s="566">
        <f>+I583+K583</f>
        <v>0</v>
      </c>
      <c r="N583" s="212"/>
      <c r="O583" s="167"/>
    </row>
    <row r="584" spans="2:15" s="281" customFormat="1" x14ac:dyDescent="0.2">
      <c r="G584" s="169">
        <f>SUM(G581:G583)</f>
        <v>0</v>
      </c>
      <c r="H584" s="169">
        <f>SUM(H581:H583)</f>
        <v>0</v>
      </c>
      <c r="I584" s="169">
        <f>SUM(I581:I583)</f>
        <v>0</v>
      </c>
      <c r="J584" s="291">
        <f>-I584*0.5</f>
        <v>0</v>
      </c>
      <c r="K584" s="291">
        <f>SUM(K581:K583)</f>
        <v>0</v>
      </c>
      <c r="L584" s="570"/>
      <c r="M584" s="169">
        <f>SUM(M581:M583)</f>
        <v>0</v>
      </c>
    </row>
    <row r="585" spans="2:15" x14ac:dyDescent="0.2">
      <c r="O585" s="167"/>
    </row>
    <row r="586" spans="2:15" x14ac:dyDescent="0.2">
      <c r="B586" s="281" t="s">
        <v>172</v>
      </c>
      <c r="F586" s="1000">
        <v>2021</v>
      </c>
      <c r="O586" s="167"/>
    </row>
    <row r="587" spans="2:15" x14ac:dyDescent="0.2">
      <c r="O587" s="167"/>
    </row>
    <row r="588" spans="2:15" ht="78" customHeight="1" x14ac:dyDescent="0.2">
      <c r="B588" s="1257" t="s">
        <v>173</v>
      </c>
      <c r="C588" s="1258"/>
      <c r="D588" s="1258"/>
      <c r="E588" s="1259"/>
      <c r="F588" s="282"/>
      <c r="G588" s="166" t="str">
        <f>"Nog af te bouwen regulatoir saldo einde "&amp;F586-1</f>
        <v>Nog af te bouwen regulatoir saldo einde 2020</v>
      </c>
      <c r="H588" s="166" t="str">
        <f>"50% van het oorspronkelijk regulatoir saldo door te rekenen volgens de tariefmethodologie in het boekjaar "&amp;F586</f>
        <v>50% van het oorspronkelijk regulatoir saldo door te rekenen volgens de tariefmethodologie in het boekjaar 2021</v>
      </c>
      <c r="I588" s="166" t="str">
        <f>"Nog af te bouwen regulatoir saldo einde "&amp;F586</f>
        <v>Nog af te bouwen regulatoir saldo einde 2021</v>
      </c>
      <c r="J588" s="212"/>
      <c r="O588" s="167"/>
    </row>
    <row r="589" spans="2:15" x14ac:dyDescent="0.2">
      <c r="B589" s="1260">
        <v>2017</v>
      </c>
      <c r="C589" s="1261"/>
      <c r="D589" s="1261"/>
      <c r="E589" s="1262"/>
      <c r="F589" s="283"/>
      <c r="G589" s="566">
        <f>+M581</f>
        <v>0</v>
      </c>
      <c r="H589" s="566">
        <f>-G589*0.5</f>
        <v>0</v>
      </c>
      <c r="I589" s="566">
        <f>+G589+H589</f>
        <v>0</v>
      </c>
      <c r="J589" s="212"/>
      <c r="O589" s="167"/>
    </row>
    <row r="590" spans="2:15" x14ac:dyDescent="0.2">
      <c r="B590" s="1260">
        <v>2018</v>
      </c>
      <c r="C590" s="1261"/>
      <c r="D590" s="1261"/>
      <c r="E590" s="1262"/>
      <c r="F590" s="283"/>
      <c r="G590" s="566">
        <f t="shared" ref="G590:G591" si="85">+M582</f>
        <v>0</v>
      </c>
      <c r="H590" s="566">
        <f t="shared" ref="H590:H592" si="86">-G590*0.5</f>
        <v>0</v>
      </c>
      <c r="I590" s="566">
        <f t="shared" ref="I590:I592" si="87">+G590+H590</f>
        <v>0</v>
      </c>
      <c r="J590" s="212"/>
      <c r="O590" s="167"/>
    </row>
    <row r="591" spans="2:15" x14ac:dyDescent="0.2">
      <c r="B591" s="1260">
        <v>2019</v>
      </c>
      <c r="C591" s="1261"/>
      <c r="D591" s="1261">
        <v>2016</v>
      </c>
      <c r="E591" s="1262"/>
      <c r="F591" s="283"/>
      <c r="G591" s="566">
        <f t="shared" si="85"/>
        <v>0</v>
      </c>
      <c r="H591" s="566">
        <f t="shared" si="86"/>
        <v>0</v>
      </c>
      <c r="I591" s="566">
        <f t="shared" si="87"/>
        <v>0</v>
      </c>
      <c r="J591" s="212"/>
      <c r="O591" s="167"/>
    </row>
    <row r="592" spans="2:15" x14ac:dyDescent="0.2">
      <c r="B592" s="1260">
        <v>2020</v>
      </c>
      <c r="C592" s="1261"/>
      <c r="D592" s="1261"/>
      <c r="E592" s="1262"/>
      <c r="F592" s="283"/>
      <c r="G592" s="566">
        <f>J169</f>
        <v>0</v>
      </c>
      <c r="H592" s="566">
        <f t="shared" si="86"/>
        <v>0</v>
      </c>
      <c r="I592" s="566">
        <f t="shared" si="87"/>
        <v>0</v>
      </c>
      <c r="J592" s="212"/>
      <c r="O592" s="167"/>
    </row>
    <row r="593" spans="2:15" s="281" customFormat="1" x14ac:dyDescent="0.2">
      <c r="G593" s="169">
        <f>SUM(G589:G592)</f>
        <v>0</v>
      </c>
      <c r="H593" s="169">
        <f>SUM(H589:H592)</f>
        <v>0</v>
      </c>
      <c r="I593" s="169">
        <f>SUM(I589:I592)</f>
        <v>0</v>
      </c>
    </row>
    <row r="594" spans="2:15" x14ac:dyDescent="0.2">
      <c r="G594" s="221"/>
      <c r="H594" s="221"/>
      <c r="I594" s="221"/>
      <c r="O594" s="167"/>
    </row>
    <row r="595" spans="2:15" x14ac:dyDescent="0.2">
      <c r="B595" s="847" t="s">
        <v>172</v>
      </c>
      <c r="C595" s="842"/>
      <c r="D595" s="842"/>
      <c r="E595" s="842"/>
      <c r="F595" s="1004">
        <v>2022</v>
      </c>
      <c r="G595" s="842"/>
      <c r="H595" s="842"/>
      <c r="I595" s="842"/>
      <c r="O595" s="167"/>
    </row>
    <row r="596" spans="2:15" x14ac:dyDescent="0.2">
      <c r="B596" s="842"/>
      <c r="C596" s="842"/>
      <c r="D596" s="842"/>
      <c r="E596" s="842"/>
      <c r="F596" s="842"/>
      <c r="G596" s="842"/>
      <c r="H596" s="842"/>
      <c r="I596" s="842"/>
      <c r="O596" s="167"/>
    </row>
    <row r="597" spans="2:15" ht="78" customHeight="1" x14ac:dyDescent="0.2">
      <c r="B597" s="1254" t="s">
        <v>173</v>
      </c>
      <c r="C597" s="1255"/>
      <c r="D597" s="1255"/>
      <c r="E597" s="1256"/>
      <c r="F597" s="848"/>
      <c r="G597" s="837" t="str">
        <f>"Nog af te bouwen regulatoir saldo einde "&amp;F595-1</f>
        <v>Nog af te bouwen regulatoir saldo einde 2021</v>
      </c>
      <c r="H597" s="837" t="str">
        <f>"50% van het oorspronkelijk regulatoir saldo door te rekenen volgens de tariefmethodologie in het boekjaar "&amp;F595</f>
        <v>50% van het oorspronkelijk regulatoir saldo door te rekenen volgens de tariefmethodologie in het boekjaar 2022</v>
      </c>
      <c r="I597" s="837" t="str">
        <f>"Nog af te bouwen regulatoir saldo einde "&amp;F595</f>
        <v>Nog af te bouwen regulatoir saldo einde 2022</v>
      </c>
      <c r="J597" s="212"/>
      <c r="O597" s="167"/>
    </row>
    <row r="598" spans="2:15" x14ac:dyDescent="0.2">
      <c r="B598" s="1251">
        <v>2017</v>
      </c>
      <c r="C598" s="1252"/>
      <c r="D598" s="1252">
        <v>2016</v>
      </c>
      <c r="E598" s="1253"/>
      <c r="F598" s="341"/>
      <c r="G598" s="568">
        <f>+I589</f>
        <v>0</v>
      </c>
      <c r="H598" s="568">
        <f>-G589*0.5</f>
        <v>0</v>
      </c>
      <c r="I598" s="568">
        <f t="shared" ref="I598:I602" si="88">+G598+H598</f>
        <v>0</v>
      </c>
      <c r="J598" s="212"/>
      <c r="O598" s="167"/>
    </row>
    <row r="599" spans="2:15" x14ac:dyDescent="0.2">
      <c r="B599" s="1251">
        <v>2018</v>
      </c>
      <c r="C599" s="1252"/>
      <c r="D599" s="1252"/>
      <c r="E599" s="1253"/>
      <c r="F599" s="341"/>
      <c r="G599" s="568">
        <f t="shared" ref="G599:G601" si="89">+I590</f>
        <v>0</v>
      </c>
      <c r="H599" s="568">
        <f t="shared" ref="H599:H601" si="90">-G590*0.5</f>
        <v>0</v>
      </c>
      <c r="I599" s="568">
        <f t="shared" si="88"/>
        <v>0</v>
      </c>
      <c r="J599" s="212"/>
      <c r="O599" s="167"/>
    </row>
    <row r="600" spans="2:15" x14ac:dyDescent="0.2">
      <c r="B600" s="1251">
        <v>2019</v>
      </c>
      <c r="C600" s="1252"/>
      <c r="D600" s="1252"/>
      <c r="E600" s="1253"/>
      <c r="F600" s="341"/>
      <c r="G600" s="568">
        <f t="shared" si="89"/>
        <v>0</v>
      </c>
      <c r="H600" s="568">
        <f t="shared" si="90"/>
        <v>0</v>
      </c>
      <c r="I600" s="568">
        <f t="shared" si="88"/>
        <v>0</v>
      </c>
      <c r="J600" s="212"/>
      <c r="O600" s="167"/>
    </row>
    <row r="601" spans="2:15" x14ac:dyDescent="0.2">
      <c r="B601" s="1251">
        <v>2020</v>
      </c>
      <c r="C601" s="1252"/>
      <c r="D601" s="1252"/>
      <c r="E601" s="1253"/>
      <c r="F601" s="341"/>
      <c r="G601" s="568">
        <f t="shared" si="89"/>
        <v>0</v>
      </c>
      <c r="H601" s="568">
        <f t="shared" si="90"/>
        <v>0</v>
      </c>
      <c r="I601" s="568">
        <f t="shared" si="88"/>
        <v>0</v>
      </c>
      <c r="J601" s="212"/>
      <c r="O601" s="167"/>
    </row>
    <row r="602" spans="2:15" x14ac:dyDescent="0.2">
      <c r="B602" s="1251">
        <v>2021</v>
      </c>
      <c r="C602" s="1252"/>
      <c r="D602" s="1252"/>
      <c r="E602" s="1253"/>
      <c r="F602" s="341"/>
      <c r="G602" s="568">
        <f>K170</f>
        <v>0</v>
      </c>
      <c r="H602" s="568">
        <f t="shared" ref="H602" si="91">-G602*0.5</f>
        <v>0</v>
      </c>
      <c r="I602" s="568">
        <f t="shared" si="88"/>
        <v>0</v>
      </c>
      <c r="J602" s="212"/>
      <c r="O602" s="167"/>
    </row>
    <row r="603" spans="2:15" s="281" customFormat="1" x14ac:dyDescent="0.2">
      <c r="B603" s="847"/>
      <c r="C603" s="847"/>
      <c r="D603" s="847"/>
      <c r="E603" s="847"/>
      <c r="F603" s="847"/>
      <c r="G603" s="856">
        <f>SUM(G598:G602)</f>
        <v>0</v>
      </c>
      <c r="H603" s="856">
        <f>SUM(H598:H602)</f>
        <v>0</v>
      </c>
      <c r="I603" s="856">
        <f>SUM(I598:I602)</f>
        <v>0</v>
      </c>
    </row>
    <row r="604" spans="2:15" x14ac:dyDescent="0.2">
      <c r="B604" s="842"/>
      <c r="C604" s="842"/>
      <c r="D604" s="842"/>
      <c r="E604" s="842"/>
      <c r="F604" s="842"/>
      <c r="G604" s="842"/>
      <c r="H604" s="842"/>
      <c r="I604" s="842"/>
      <c r="O604" s="167"/>
    </row>
    <row r="605" spans="2:15" x14ac:dyDescent="0.2">
      <c r="B605" s="847" t="s">
        <v>172</v>
      </c>
      <c r="C605" s="842"/>
      <c r="D605" s="842"/>
      <c r="E605" s="842"/>
      <c r="F605" s="1004">
        <v>2023</v>
      </c>
      <c r="G605" s="842"/>
      <c r="H605" s="842"/>
      <c r="I605" s="842"/>
      <c r="O605" s="167"/>
    </row>
    <row r="606" spans="2:15" x14ac:dyDescent="0.2">
      <c r="B606" s="842"/>
      <c r="C606" s="842"/>
      <c r="D606" s="842"/>
      <c r="E606" s="842"/>
      <c r="F606" s="842"/>
      <c r="G606" s="842"/>
      <c r="H606" s="842"/>
      <c r="I606" s="842"/>
      <c r="O606" s="167"/>
    </row>
    <row r="607" spans="2:15" ht="78" customHeight="1" x14ac:dyDescent="0.2">
      <c r="B607" s="1254" t="s">
        <v>173</v>
      </c>
      <c r="C607" s="1255"/>
      <c r="D607" s="1255"/>
      <c r="E607" s="1256"/>
      <c r="F607" s="848"/>
      <c r="G607" s="837" t="str">
        <f>"Nog af te bouwen regulatoir saldo einde "&amp;F605-1</f>
        <v>Nog af te bouwen regulatoir saldo einde 2022</v>
      </c>
      <c r="H607" s="837" t="str">
        <f>"50% van het oorspronkelijk regulatoir saldo door te rekenen volgens de tariefmethodologie in het boekjaar "&amp;F605</f>
        <v>50% van het oorspronkelijk regulatoir saldo door te rekenen volgens de tariefmethodologie in het boekjaar 2023</v>
      </c>
      <c r="I607" s="837" t="str">
        <f>"Nog af te bouwen regulatoir saldo einde "&amp;F605</f>
        <v>Nog af te bouwen regulatoir saldo einde 2023</v>
      </c>
      <c r="J607" s="212"/>
      <c r="O607" s="167"/>
    </row>
    <row r="608" spans="2:15" x14ac:dyDescent="0.2">
      <c r="B608" s="1251">
        <v>2021</v>
      </c>
      <c r="C608" s="1252"/>
      <c r="D608" s="1252"/>
      <c r="E608" s="1253"/>
      <c r="F608" s="341"/>
      <c r="G608" s="568">
        <f>+I602</f>
        <v>0</v>
      </c>
      <c r="H608" s="568">
        <f>-G602*0.5</f>
        <v>0</v>
      </c>
      <c r="I608" s="568">
        <f t="shared" ref="I608:I609" si="92">+G608+H608</f>
        <v>0</v>
      </c>
      <c r="J608" s="212"/>
      <c r="O608" s="167"/>
    </row>
    <row r="609" spans="2:15" x14ac:dyDescent="0.2">
      <c r="B609" s="1251">
        <v>2022</v>
      </c>
      <c r="C609" s="1252"/>
      <c r="D609" s="1252"/>
      <c r="E609" s="1253"/>
      <c r="F609" s="341"/>
      <c r="G609" s="568">
        <f>L171</f>
        <v>0</v>
      </c>
      <c r="H609" s="568">
        <f t="shared" ref="H609" si="93">-G609*0.5</f>
        <v>0</v>
      </c>
      <c r="I609" s="568">
        <f t="shared" si="92"/>
        <v>0</v>
      </c>
      <c r="J609" s="212"/>
      <c r="O609" s="167"/>
    </row>
    <row r="610" spans="2:15" s="281" customFormat="1" x14ac:dyDescent="0.2">
      <c r="B610" s="847"/>
      <c r="C610" s="847"/>
      <c r="D610" s="847"/>
      <c r="E610" s="847"/>
      <c r="F610" s="847"/>
      <c r="G610" s="856">
        <f>SUM(G608:G609)</f>
        <v>0</v>
      </c>
      <c r="H610" s="856">
        <f>SUM(H608:H609)</f>
        <v>0</v>
      </c>
      <c r="I610" s="856">
        <f>SUM(I608:I609)</f>
        <v>0</v>
      </c>
    </row>
    <row r="611" spans="2:15" x14ac:dyDescent="0.2">
      <c r="B611" s="842"/>
      <c r="C611" s="842"/>
      <c r="D611" s="842"/>
      <c r="E611" s="842"/>
      <c r="F611" s="842"/>
      <c r="G611" s="842"/>
      <c r="H611" s="842"/>
      <c r="I611" s="842"/>
      <c r="O611" s="167"/>
    </row>
    <row r="612" spans="2:15" x14ac:dyDescent="0.2">
      <c r="B612" s="847" t="s">
        <v>172</v>
      </c>
      <c r="C612" s="842"/>
      <c r="D612" s="842"/>
      <c r="E612" s="842"/>
      <c r="F612" s="1004">
        <v>2024</v>
      </c>
      <c r="G612" s="842"/>
      <c r="H612" s="842"/>
      <c r="I612" s="842"/>
      <c r="O612" s="167"/>
    </row>
    <row r="613" spans="2:15" x14ac:dyDescent="0.2">
      <c r="B613" s="842"/>
      <c r="C613" s="842"/>
      <c r="D613" s="842"/>
      <c r="E613" s="842"/>
      <c r="F613" s="842"/>
      <c r="G613" s="842"/>
      <c r="H613" s="842"/>
      <c r="I613" s="842"/>
      <c r="O613" s="167"/>
    </row>
    <row r="614" spans="2:15" ht="78" customHeight="1" x14ac:dyDescent="0.2">
      <c r="B614" s="1254" t="s">
        <v>173</v>
      </c>
      <c r="C614" s="1255"/>
      <c r="D614" s="1255"/>
      <c r="E614" s="1256"/>
      <c r="F614" s="848"/>
      <c r="G614" s="837" t="str">
        <f>"Nog af te bouwen regulatoir saldo einde "&amp;F612-1</f>
        <v>Nog af te bouwen regulatoir saldo einde 2023</v>
      </c>
      <c r="H614" s="837" t="str">
        <f>"50% van het oorspronkelijk regulatoir saldo door te rekenen volgens de tariefmethodologie in het boekjaar "&amp;F612</f>
        <v>50% van het oorspronkelijk regulatoir saldo door te rekenen volgens de tariefmethodologie in het boekjaar 2024</v>
      </c>
      <c r="I614" s="837" t="str">
        <f>"Nog af te bouwen regulatoir saldo einde "&amp;F612</f>
        <v>Nog af te bouwen regulatoir saldo einde 2024</v>
      </c>
      <c r="J614" s="212"/>
      <c r="O614" s="167"/>
    </row>
    <row r="615" spans="2:15" x14ac:dyDescent="0.2">
      <c r="B615" s="1251">
        <v>2022</v>
      </c>
      <c r="C615" s="1252"/>
      <c r="D615" s="1252"/>
      <c r="E615" s="1253"/>
      <c r="F615" s="341"/>
      <c r="G615" s="568">
        <f>+I609</f>
        <v>0</v>
      </c>
      <c r="H615" s="568">
        <f>-G609*0.5</f>
        <v>0</v>
      </c>
      <c r="I615" s="568">
        <f t="shared" ref="I615:I616" si="94">+G615+H615</f>
        <v>0</v>
      </c>
      <c r="J615" s="212"/>
      <c r="O615" s="167"/>
    </row>
    <row r="616" spans="2:15" x14ac:dyDescent="0.2">
      <c r="B616" s="1251">
        <v>2023</v>
      </c>
      <c r="C616" s="1252"/>
      <c r="D616" s="1252"/>
      <c r="E616" s="1253"/>
      <c r="F616" s="341"/>
      <c r="G616" s="568">
        <f>+M172</f>
        <v>0</v>
      </c>
      <c r="H616" s="568">
        <f t="shared" ref="H616" si="95">-G616*0.5</f>
        <v>0</v>
      </c>
      <c r="I616" s="568">
        <f t="shared" si="94"/>
        <v>0</v>
      </c>
      <c r="J616" s="212"/>
      <c r="O616" s="167"/>
    </row>
    <row r="617" spans="2:15" s="281" customFormat="1" x14ac:dyDescent="0.2">
      <c r="B617" s="847"/>
      <c r="C617" s="847"/>
      <c r="D617" s="847"/>
      <c r="E617" s="847"/>
      <c r="F617" s="847"/>
      <c r="G617" s="856">
        <f>SUM(G615:G616)</f>
        <v>0</v>
      </c>
      <c r="H617" s="856">
        <f>SUM(H615:H616)</f>
        <v>0</v>
      </c>
      <c r="I617" s="856">
        <f>SUM(I615:I616)</f>
        <v>0</v>
      </c>
    </row>
    <row r="618" spans="2:15" x14ac:dyDescent="0.2">
      <c r="B618" s="281" t="str">
        <f>+B564</f>
        <v>De tariefposten in verband met de belastingen, heffingen, toeslagen, bijdragen en retributies</v>
      </c>
      <c r="O618" s="167"/>
    </row>
    <row r="619" spans="2:15" x14ac:dyDescent="0.2">
      <c r="B619" s="281" t="s">
        <v>174</v>
      </c>
      <c r="C619" s="224"/>
      <c r="D619" s="224"/>
      <c r="E619" s="224"/>
      <c r="O619" s="167"/>
    </row>
    <row r="620" spans="2:15" x14ac:dyDescent="0.2">
      <c r="B620" s="281"/>
      <c r="C620" s="224"/>
      <c r="D620" s="224"/>
      <c r="E620" s="224"/>
      <c r="O620" s="167"/>
    </row>
    <row r="621" spans="2:15" x14ac:dyDescent="0.2">
      <c r="B621" s="283">
        <f>F586</f>
        <v>2021</v>
      </c>
      <c r="C621" s="287">
        <f>+H593</f>
        <v>0</v>
      </c>
      <c r="D621" s="224"/>
      <c r="E621" s="224"/>
      <c r="O621" s="167"/>
    </row>
    <row r="622" spans="2:15" x14ac:dyDescent="0.2">
      <c r="B622" s="341">
        <v>2022</v>
      </c>
      <c r="C622" s="342">
        <f>+H603</f>
        <v>0</v>
      </c>
      <c r="D622" s="224"/>
      <c r="E622" s="224"/>
      <c r="O622" s="167"/>
    </row>
    <row r="623" spans="2:15" x14ac:dyDescent="0.2">
      <c r="B623" s="341">
        <v>2023</v>
      </c>
      <c r="C623" s="342">
        <f>+H610</f>
        <v>0</v>
      </c>
      <c r="D623" s="224"/>
      <c r="E623" s="224"/>
      <c r="O623" s="167"/>
    </row>
    <row r="624" spans="2:15" x14ac:dyDescent="0.2">
      <c r="B624" s="341">
        <v>2024</v>
      </c>
      <c r="C624" s="342">
        <f>+H617</f>
        <v>0</v>
      </c>
      <c r="D624" s="224"/>
      <c r="E624" s="224"/>
      <c r="O624" s="167"/>
    </row>
    <row r="625" spans="15:15" x14ac:dyDescent="0.2">
      <c r="O625" s="167"/>
    </row>
    <row r="626" spans="15:15" x14ac:dyDescent="0.2">
      <c r="O626" s="167"/>
    </row>
  </sheetData>
  <sheetProtection algorithmName="SHA-512" hashValue="rxMrxbmP38X1pnYTcqpe9EOxZQCGegoWEFSQe7vF+2z/xDl+Tq7C52yQaxyPrrTN69heZkZaiRxXS36lQesUWw==" saltValue="BWB2Crs9pIYUceFL5JrkKw==" spinCount="100000" sheet="1" objects="1" scenarios="1"/>
  <mergeCells count="344">
    <mergeCell ref="B17:E17"/>
    <mergeCell ref="B18:E18"/>
    <mergeCell ref="B19:E19"/>
    <mergeCell ref="B20:E20"/>
    <mergeCell ref="B21:E21"/>
    <mergeCell ref="A1:J1"/>
    <mergeCell ref="B4:E4"/>
    <mergeCell ref="B7:E7"/>
    <mergeCell ref="B13:E13"/>
    <mergeCell ref="B15:E15"/>
    <mergeCell ref="B16:E16"/>
    <mergeCell ref="B33:E33"/>
    <mergeCell ref="B34:E34"/>
    <mergeCell ref="B35:E35"/>
    <mergeCell ref="B36:E36"/>
    <mergeCell ref="B37:E37"/>
    <mergeCell ref="B38:E38"/>
    <mergeCell ref="B23:E23"/>
    <mergeCell ref="B24:E24"/>
    <mergeCell ref="B28:E28"/>
    <mergeCell ref="B30:E30"/>
    <mergeCell ref="B31:E31"/>
    <mergeCell ref="B32:E32"/>
    <mergeCell ref="B43:E43"/>
    <mergeCell ref="B44:E44"/>
    <mergeCell ref="B45:E45"/>
    <mergeCell ref="B46:E46"/>
    <mergeCell ref="B47:E47"/>
    <mergeCell ref="B39:E39"/>
    <mergeCell ref="B40:E40"/>
    <mergeCell ref="B41:E41"/>
    <mergeCell ref="B42:E42"/>
    <mergeCell ref="B53:E53"/>
    <mergeCell ref="B54:E54"/>
    <mergeCell ref="B55:E55"/>
    <mergeCell ref="B56:E56"/>
    <mergeCell ref="B48:E48"/>
    <mergeCell ref="B49:E49"/>
    <mergeCell ref="B50:E50"/>
    <mergeCell ref="B51:E51"/>
    <mergeCell ref="B52:E52"/>
    <mergeCell ref="B63:E63"/>
    <mergeCell ref="B64:E64"/>
    <mergeCell ref="B65:E65"/>
    <mergeCell ref="B66:E66"/>
    <mergeCell ref="B57:E57"/>
    <mergeCell ref="B58:E58"/>
    <mergeCell ref="B59:E59"/>
    <mergeCell ref="B60:E60"/>
    <mergeCell ref="B61:E61"/>
    <mergeCell ref="B62:E62"/>
    <mergeCell ref="B73:E73"/>
    <mergeCell ref="B74:E74"/>
    <mergeCell ref="B75:E75"/>
    <mergeCell ref="B76:E76"/>
    <mergeCell ref="B67:E67"/>
    <mergeCell ref="B68:E68"/>
    <mergeCell ref="B69:E69"/>
    <mergeCell ref="B70:E70"/>
    <mergeCell ref="B71:E71"/>
    <mergeCell ref="B72:E72"/>
    <mergeCell ref="B84:E84"/>
    <mergeCell ref="B85:E85"/>
    <mergeCell ref="B86:E86"/>
    <mergeCell ref="B87:E87"/>
    <mergeCell ref="B83:E83"/>
    <mergeCell ref="B77:E77"/>
    <mergeCell ref="B78:E78"/>
    <mergeCell ref="B79:E79"/>
    <mergeCell ref="B80:E80"/>
    <mergeCell ref="B81:E81"/>
    <mergeCell ref="B82:E82"/>
    <mergeCell ref="B94:E94"/>
    <mergeCell ref="B96:E96"/>
    <mergeCell ref="B97:E97"/>
    <mergeCell ref="B98:E98"/>
    <mergeCell ref="B99:E99"/>
    <mergeCell ref="B88:E88"/>
    <mergeCell ref="B89:E89"/>
    <mergeCell ref="B90:E90"/>
    <mergeCell ref="B91:E91"/>
    <mergeCell ref="B92:E92"/>
    <mergeCell ref="B105:E105"/>
    <mergeCell ref="B109:E109"/>
    <mergeCell ref="B111:E111"/>
    <mergeCell ref="B112:E112"/>
    <mergeCell ref="B113:E113"/>
    <mergeCell ref="B100:E100"/>
    <mergeCell ref="B101:E101"/>
    <mergeCell ref="B102:E102"/>
    <mergeCell ref="B103:E103"/>
    <mergeCell ref="B104:E104"/>
    <mergeCell ref="B120:E120"/>
    <mergeCell ref="B121:E121"/>
    <mergeCell ref="B122:E122"/>
    <mergeCell ref="B123:E123"/>
    <mergeCell ref="B114:E114"/>
    <mergeCell ref="B115:E115"/>
    <mergeCell ref="B116:E116"/>
    <mergeCell ref="B117:E117"/>
    <mergeCell ref="B118:E118"/>
    <mergeCell ref="B119:E119"/>
    <mergeCell ref="B129:E129"/>
    <mergeCell ref="B130:E130"/>
    <mergeCell ref="B131:E131"/>
    <mergeCell ref="B132:E132"/>
    <mergeCell ref="B133:E133"/>
    <mergeCell ref="B124:E124"/>
    <mergeCell ref="B125:E125"/>
    <mergeCell ref="B126:E126"/>
    <mergeCell ref="B127:E127"/>
    <mergeCell ref="B128:E128"/>
    <mergeCell ref="B138:E138"/>
    <mergeCell ref="B139:E139"/>
    <mergeCell ref="B140:E140"/>
    <mergeCell ref="B141:E141"/>
    <mergeCell ref="B142:E142"/>
    <mergeCell ref="B143:E143"/>
    <mergeCell ref="B134:E134"/>
    <mergeCell ref="B135:E135"/>
    <mergeCell ref="B136:E136"/>
    <mergeCell ref="B137:E137"/>
    <mergeCell ref="B148:E148"/>
    <mergeCell ref="B149:E149"/>
    <mergeCell ref="B150:E150"/>
    <mergeCell ref="B151:E151"/>
    <mergeCell ref="B152:E152"/>
    <mergeCell ref="B153:E153"/>
    <mergeCell ref="B144:E144"/>
    <mergeCell ref="B145:E145"/>
    <mergeCell ref="B146:E146"/>
    <mergeCell ref="B147:E147"/>
    <mergeCell ref="B164:E164"/>
    <mergeCell ref="B158:E158"/>
    <mergeCell ref="B159:E159"/>
    <mergeCell ref="B160:E160"/>
    <mergeCell ref="B161:E161"/>
    <mergeCell ref="B162:E162"/>
    <mergeCell ref="B163:E163"/>
    <mergeCell ref="B154:E154"/>
    <mergeCell ref="B155:E155"/>
    <mergeCell ref="B156:E156"/>
    <mergeCell ref="B157:E157"/>
    <mergeCell ref="B169:E169"/>
    <mergeCell ref="B170:E170"/>
    <mergeCell ref="B171:E171"/>
    <mergeCell ref="B172:E172"/>
    <mergeCell ref="B173:E173"/>
    <mergeCell ref="B165:E165"/>
    <mergeCell ref="B166:E166"/>
    <mergeCell ref="B167:E167"/>
    <mergeCell ref="B168:E168"/>
    <mergeCell ref="B181:E181"/>
    <mergeCell ref="B182:E182"/>
    <mergeCell ref="B183:E183"/>
    <mergeCell ref="B184:E184"/>
    <mergeCell ref="B176:E176"/>
    <mergeCell ref="B177:E177"/>
    <mergeCell ref="B178:E178"/>
    <mergeCell ref="B179:E179"/>
    <mergeCell ref="B180:E180"/>
    <mergeCell ref="B195:E195"/>
    <mergeCell ref="B196:E196"/>
    <mergeCell ref="B198:E198"/>
    <mergeCell ref="B205:E205"/>
    <mergeCell ref="B185:E185"/>
    <mergeCell ref="B190:E190"/>
    <mergeCell ref="B192:E192"/>
    <mergeCell ref="B193:E193"/>
    <mergeCell ref="B194:E194"/>
    <mergeCell ref="B225:E225"/>
    <mergeCell ref="B226:E226"/>
    <mergeCell ref="B227:E227"/>
    <mergeCell ref="B228:E228"/>
    <mergeCell ref="B237:E237"/>
    <mergeCell ref="B219:E219"/>
    <mergeCell ref="B220:E220"/>
    <mergeCell ref="B206:E206"/>
    <mergeCell ref="B210:E210"/>
    <mergeCell ref="B211:E211"/>
    <mergeCell ref="B212:E212"/>
    <mergeCell ref="B217:E217"/>
    <mergeCell ref="B218:E218"/>
    <mergeCell ref="B238:E238"/>
    <mergeCell ref="B239:E239"/>
    <mergeCell ref="B244:E244"/>
    <mergeCell ref="B245:E245"/>
    <mergeCell ref="B246:E246"/>
    <mergeCell ref="B251:E251"/>
    <mergeCell ref="B229:E229"/>
    <mergeCell ref="B234:E234"/>
    <mergeCell ref="B235:E235"/>
    <mergeCell ref="B236:E236"/>
    <mergeCell ref="B351:E351"/>
    <mergeCell ref="B352:E352"/>
    <mergeCell ref="B353:E353"/>
    <mergeCell ref="B354:E354"/>
    <mergeCell ref="B355:E355"/>
    <mergeCell ref="B336:E336"/>
    <mergeCell ref="B343:E343"/>
    <mergeCell ref="B344:E344"/>
    <mergeCell ref="B252:E252"/>
    <mergeCell ref="B253:E253"/>
    <mergeCell ref="B268:E268"/>
    <mergeCell ref="B269:E269"/>
    <mergeCell ref="B273:E273"/>
    <mergeCell ref="B274:E274"/>
    <mergeCell ref="B289:E289"/>
    <mergeCell ref="B290:E290"/>
    <mergeCell ref="B291:E291"/>
    <mergeCell ref="B292:E292"/>
    <mergeCell ref="B297:E297"/>
    <mergeCell ref="B298:E298"/>
    <mergeCell ref="B275:E275"/>
    <mergeCell ref="B280:E280"/>
    <mergeCell ref="B281:E281"/>
    <mergeCell ref="B282:E282"/>
    <mergeCell ref="B395:E395"/>
    <mergeCell ref="B400:E400"/>
    <mergeCell ref="B401:E401"/>
    <mergeCell ref="B399:E399"/>
    <mergeCell ref="B406:E406"/>
    <mergeCell ref="B407:E407"/>
    <mergeCell ref="B408:E408"/>
    <mergeCell ref="B394:E394"/>
    <mergeCell ref="B337:E337"/>
    <mergeCell ref="B338:E338"/>
    <mergeCell ref="B345:E345"/>
    <mergeCell ref="B346:E346"/>
    <mergeCell ref="B370:E370"/>
    <mergeCell ref="B371:E371"/>
    <mergeCell ref="B372:E372"/>
    <mergeCell ref="B379:E379"/>
    <mergeCell ref="B377:E377"/>
    <mergeCell ref="B378:E378"/>
    <mergeCell ref="B360:E360"/>
    <mergeCell ref="B361:E361"/>
    <mergeCell ref="B362:E362"/>
    <mergeCell ref="B363:E363"/>
    <mergeCell ref="B364:E364"/>
    <mergeCell ref="B365:E365"/>
    <mergeCell ref="B478:E478"/>
    <mergeCell ref="B479:E479"/>
    <mergeCell ref="B480:E480"/>
    <mergeCell ref="B481:E481"/>
    <mergeCell ref="B462:E462"/>
    <mergeCell ref="B463:E463"/>
    <mergeCell ref="B464:E464"/>
    <mergeCell ref="B469:E469"/>
    <mergeCell ref="B470:E470"/>
    <mergeCell ref="B471:E471"/>
    <mergeCell ref="B544:E544"/>
    <mergeCell ref="B551:E551"/>
    <mergeCell ref="B546:E546"/>
    <mergeCell ref="B534:E534"/>
    <mergeCell ref="B535:E535"/>
    <mergeCell ref="B520:E520"/>
    <mergeCell ref="B525:E525"/>
    <mergeCell ref="B526:E526"/>
    <mergeCell ref="B527:E527"/>
    <mergeCell ref="B575:E575"/>
    <mergeCell ref="B580:E580"/>
    <mergeCell ref="B581:E581"/>
    <mergeCell ref="B582:E582"/>
    <mergeCell ref="B583:E583"/>
    <mergeCell ref="B568:E568"/>
    <mergeCell ref="B569:E569"/>
    <mergeCell ref="B573:E573"/>
    <mergeCell ref="B552:E552"/>
    <mergeCell ref="B553:E553"/>
    <mergeCell ref="B283:E283"/>
    <mergeCell ref="B288:E288"/>
    <mergeCell ref="B309:E309"/>
    <mergeCell ref="B314:E314"/>
    <mergeCell ref="B315:E315"/>
    <mergeCell ref="B316:E316"/>
    <mergeCell ref="B331:E331"/>
    <mergeCell ref="B332:E332"/>
    <mergeCell ref="B299:E299"/>
    <mergeCell ref="B300:E300"/>
    <mergeCell ref="B301:E301"/>
    <mergeCell ref="B302:E302"/>
    <mergeCell ref="B307:E307"/>
    <mergeCell ref="B308:E308"/>
    <mergeCell ref="B423:E423"/>
    <mergeCell ref="B424:E424"/>
    <mergeCell ref="B425:E425"/>
    <mergeCell ref="B426:E426"/>
    <mergeCell ref="B427:E427"/>
    <mergeCell ref="B428:E428"/>
    <mergeCell ref="B409:E409"/>
    <mergeCell ref="B414:E414"/>
    <mergeCell ref="B415:E415"/>
    <mergeCell ref="B416:E416"/>
    <mergeCell ref="B417:E417"/>
    <mergeCell ref="B418:E418"/>
    <mergeCell ref="B511:E511"/>
    <mergeCell ref="B512:E512"/>
    <mergeCell ref="B517:E517"/>
    <mergeCell ref="B518:E518"/>
    <mergeCell ref="B519:E519"/>
    <mergeCell ref="B528:E528"/>
    <mergeCell ref="B433:E433"/>
    <mergeCell ref="B434:E434"/>
    <mergeCell ref="B435:E435"/>
    <mergeCell ref="B440:E440"/>
    <mergeCell ref="B441:E441"/>
    <mergeCell ref="B442:E442"/>
    <mergeCell ref="B457:E457"/>
    <mergeCell ref="B458:E458"/>
    <mergeCell ref="B505:E505"/>
    <mergeCell ref="B506:E506"/>
    <mergeCell ref="B510:E510"/>
    <mergeCell ref="B486:E486"/>
    <mergeCell ref="B487:E487"/>
    <mergeCell ref="B488:E488"/>
    <mergeCell ref="B489:E489"/>
    <mergeCell ref="B490:E490"/>
    <mergeCell ref="B472:E472"/>
    <mergeCell ref="B477:E477"/>
    <mergeCell ref="B615:E615"/>
    <mergeCell ref="B616:E616"/>
    <mergeCell ref="B614:E614"/>
    <mergeCell ref="B529:E529"/>
    <mergeCell ref="B536:E536"/>
    <mergeCell ref="B537:E537"/>
    <mergeCell ref="B538:E538"/>
    <mergeCell ref="B539:E539"/>
    <mergeCell ref="B545:E545"/>
    <mergeCell ref="B608:E608"/>
    <mergeCell ref="B609:E609"/>
    <mergeCell ref="B598:E598"/>
    <mergeCell ref="B599:E599"/>
    <mergeCell ref="B600:E600"/>
    <mergeCell ref="B601:E601"/>
    <mergeCell ref="B602:E602"/>
    <mergeCell ref="B607:E607"/>
    <mergeCell ref="B588:E588"/>
    <mergeCell ref="B589:E589"/>
    <mergeCell ref="B590:E590"/>
    <mergeCell ref="B591:E591"/>
    <mergeCell ref="B592:E592"/>
    <mergeCell ref="B597:E597"/>
    <mergeCell ref="B574:E574"/>
  </mergeCells>
  <conditionalFormatting sqref="B19:N20 P19:P20 B66:N83 P66:P83 B147:N164 P147:P164 B453:F453 B455:F455 B457:K458 B460:F460 B462:M465 B469:M473 B467:F467 B475:F475 B477:I482 B484:F484 B486:I491 B493:F493 B495:C498 B501:E501 B503:F503 B505:K506 B508:F508 B510:M513 B515:F515 B517:M521 B523:F523 B525:I530 B532:F532 B534:I540 B542:F542 B544:I547 B549:F549 B551:I554 B556:F556 B558:C561 B195:G195">
    <cfRule type="expression" dxfId="27" priority="3">
      <formula>$B$7="gas"</formula>
    </cfRule>
  </conditionalFormatting>
  <conditionalFormatting sqref="B555:F555">
    <cfRule type="expression" dxfId="26" priority="2">
      <formula>$B$7="gas"</formula>
    </cfRule>
  </conditionalFormatting>
  <conditionalFormatting sqref="B492:F492">
    <cfRule type="expression" dxfId="25" priority="1">
      <formula>$B$7="gas"</formula>
    </cfRule>
  </conditionalFormatting>
  <pageMargins left="0.70866141732283472" right="0.70866141732283472" top="0.74803149606299213" bottom="0.74803149606299213" header="0.31496062992125984" footer="0.31496062992125984"/>
  <pageSetup paperSize="8" scale="27" fitToWidth="2" fitToHeight="2" orientation="portrait" r:id="rId1"/>
  <rowBreaks count="1" manualBreakCount="1">
    <brk id="105" max="1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8">
    <pageSetUpPr fitToPage="1"/>
  </sheetPr>
  <dimension ref="A1:O112"/>
  <sheetViews>
    <sheetView zoomScale="80" zoomScaleNormal="80" zoomScaleSheetLayoutView="80" workbookViewId="0">
      <selection activeCell="G57" sqref="G57"/>
    </sheetView>
  </sheetViews>
  <sheetFormatPr defaultColWidth="11.42578125" defaultRowHeight="12.75" x14ac:dyDescent="0.2"/>
  <cols>
    <col min="1" max="1" width="25.42578125" style="178" customWidth="1"/>
    <col min="2" max="2" width="14.28515625" style="178" customWidth="1"/>
    <col min="3" max="6" width="20.7109375" style="178" customWidth="1"/>
    <col min="7" max="7" width="29.28515625" style="178" customWidth="1"/>
    <col min="8" max="8" width="22.5703125" style="178" customWidth="1"/>
    <col min="9" max="10" width="20.7109375" style="178" customWidth="1"/>
    <col min="11" max="11" width="20.28515625" style="178" customWidth="1"/>
    <col min="12" max="12" width="20.7109375" style="178" customWidth="1"/>
    <col min="13" max="13" width="5.140625" style="178" customWidth="1"/>
    <col min="14" max="14" width="20.7109375" style="178" customWidth="1"/>
    <col min="15" max="15" width="28.7109375" style="178" bestFit="1" customWidth="1"/>
    <col min="16" max="16" width="14" style="178" customWidth="1"/>
    <col min="17" max="17" width="29.140625" style="178" customWidth="1"/>
    <col min="18" max="18" width="12.28515625" style="178" bestFit="1" customWidth="1"/>
    <col min="19" max="16384" width="11.42578125" style="178"/>
  </cols>
  <sheetData>
    <row r="1" spans="1:15" ht="21.75" customHeight="1" thickBot="1" x14ac:dyDescent="0.25">
      <c r="A1" s="1294" t="s">
        <v>137</v>
      </c>
      <c r="B1" s="1295"/>
      <c r="C1" s="1295"/>
      <c r="D1" s="1295"/>
      <c r="E1" s="1295"/>
      <c r="F1" s="1295"/>
      <c r="G1" s="1295"/>
      <c r="H1" s="1295"/>
      <c r="I1" s="1295"/>
      <c r="J1" s="1295"/>
      <c r="K1" s="1295"/>
      <c r="L1" s="1296"/>
      <c r="M1" s="220"/>
      <c r="N1" s="167"/>
      <c r="O1" s="229"/>
    </row>
    <row r="2" spans="1:15" x14ac:dyDescent="0.2">
      <c r="A2" s="233"/>
      <c r="B2" s="233"/>
      <c r="C2" s="233"/>
      <c r="D2" s="233"/>
      <c r="E2" s="233"/>
      <c r="F2" s="233"/>
      <c r="G2" s="233"/>
      <c r="H2" s="233"/>
      <c r="I2" s="233"/>
      <c r="J2" s="233"/>
      <c r="K2" s="233"/>
      <c r="L2" s="233"/>
      <c r="M2" s="220"/>
      <c r="N2" s="167"/>
      <c r="O2" s="233"/>
    </row>
    <row r="3" spans="1:15" ht="13.5" thickBot="1" x14ac:dyDescent="0.25">
      <c r="A3" s="233"/>
      <c r="B3" s="233"/>
      <c r="C3" s="233"/>
      <c r="D3" s="233"/>
      <c r="E3" s="233"/>
      <c r="F3" s="233"/>
      <c r="G3" s="233"/>
      <c r="H3" s="233"/>
      <c r="I3" s="233"/>
      <c r="J3" s="233"/>
      <c r="K3" s="233"/>
      <c r="L3" s="233"/>
      <c r="M3" s="220"/>
      <c r="N3" s="167"/>
      <c r="O3" s="233"/>
    </row>
    <row r="4" spans="1:15" ht="20.100000000000001" customHeight="1" thickBot="1" x14ac:dyDescent="0.25">
      <c r="A4" s="1224" t="s">
        <v>361</v>
      </c>
      <c r="B4" s="1225"/>
      <c r="C4" s="1225"/>
      <c r="D4" s="1225"/>
      <c r="E4" s="1225"/>
      <c r="F4" s="1225"/>
      <c r="G4" s="1225"/>
      <c r="H4" s="1225"/>
      <c r="I4" s="1225"/>
      <c r="J4" s="1225"/>
      <c r="K4" s="1225"/>
      <c r="L4" s="1225"/>
      <c r="M4" s="1225"/>
      <c r="N4" s="1226"/>
    </row>
    <row r="5" spans="1:15" ht="13.5" thickBot="1" x14ac:dyDescent="0.25"/>
    <row r="6" spans="1:15" ht="17.25" thickBot="1" x14ac:dyDescent="0.25">
      <c r="C6" s="1227" t="s">
        <v>30</v>
      </c>
      <c r="D6" s="1228"/>
      <c r="E6" s="1228"/>
      <c r="F6" s="1228"/>
      <c r="G6" s="1228"/>
      <c r="H6" s="1228"/>
      <c r="I6" s="1228"/>
      <c r="J6" s="1229"/>
    </row>
    <row r="7" spans="1:15" ht="13.5" thickBot="1" x14ac:dyDescent="0.25">
      <c r="C7" s="334">
        <v>2017</v>
      </c>
      <c r="D7" s="335">
        <f>+C7+1</f>
        <v>2018</v>
      </c>
      <c r="E7" s="335">
        <f>+D7+1</f>
        <v>2019</v>
      </c>
      <c r="F7" s="335">
        <f t="shared" ref="F7:J7" si="0">+E7+1</f>
        <v>2020</v>
      </c>
      <c r="G7" s="335">
        <f t="shared" si="0"/>
        <v>2021</v>
      </c>
      <c r="H7" s="850">
        <f t="shared" si="0"/>
        <v>2022</v>
      </c>
      <c r="I7" s="850">
        <f t="shared" si="0"/>
        <v>2023</v>
      </c>
      <c r="J7" s="850">
        <f t="shared" si="0"/>
        <v>2024</v>
      </c>
    </row>
    <row r="8" spans="1:15" x14ac:dyDescent="0.2">
      <c r="C8" s="986">
        <v>0</v>
      </c>
      <c r="D8" s="986">
        <v>0</v>
      </c>
      <c r="E8" s="986">
        <v>0</v>
      </c>
      <c r="F8" s="986">
        <v>0</v>
      </c>
      <c r="G8" s="986">
        <v>0</v>
      </c>
      <c r="H8" s="851">
        <v>0</v>
      </c>
      <c r="I8" s="851">
        <v>0</v>
      </c>
      <c r="J8" s="851">
        <v>0</v>
      </c>
    </row>
    <row r="9" spans="1:15" x14ac:dyDescent="0.2">
      <c r="C9" s="241" t="s">
        <v>161</v>
      </c>
      <c r="J9" s="242"/>
    </row>
    <row r="10" spans="1:15" x14ac:dyDescent="0.2">
      <c r="C10" s="241" t="s">
        <v>76</v>
      </c>
      <c r="F10" s="1034" t="str">
        <f>+'T9 - Overzicht'!B6&amp;":"</f>
        <v>2021:</v>
      </c>
      <c r="G10" s="1035">
        <f>+IF('T9 - Overzicht'!C6="ex-ante",0,IF('T9 - Overzicht'!C6="ex-post",'T9 - Overzicht'!C26,"FOUT"))</f>
        <v>0</v>
      </c>
    </row>
    <row r="11" spans="1:15" x14ac:dyDescent="0.2">
      <c r="C11" s="244"/>
    </row>
    <row r="12" spans="1:15" ht="13.5" thickBot="1" x14ac:dyDescent="0.25">
      <c r="C12" s="244"/>
    </row>
    <row r="13" spans="1:15" ht="20.25" customHeight="1" thickBot="1" x14ac:dyDescent="0.25">
      <c r="A13" s="1224" t="s">
        <v>18</v>
      </c>
      <c r="B13" s="1225"/>
      <c r="C13" s="1225"/>
      <c r="D13" s="1225"/>
      <c r="E13" s="1225"/>
      <c r="F13" s="1225"/>
      <c r="G13" s="1225"/>
      <c r="H13" s="1225"/>
      <c r="I13" s="1225"/>
      <c r="J13" s="1225"/>
      <c r="K13" s="1225"/>
      <c r="L13" s="1225"/>
      <c r="M13" s="1225"/>
      <c r="N13" s="1226"/>
    </row>
    <row r="15" spans="1:15" x14ac:dyDescent="0.2">
      <c r="C15" s="241" t="s">
        <v>75</v>
      </c>
    </row>
    <row r="16" spans="1:15" x14ac:dyDescent="0.2">
      <c r="C16" s="241" t="s">
        <v>76</v>
      </c>
    </row>
    <row r="17" spans="1:14" ht="16.5" x14ac:dyDescent="0.2">
      <c r="C17" s="1244" t="s">
        <v>19</v>
      </c>
      <c r="D17" s="1245"/>
      <c r="E17" s="1245"/>
      <c r="F17" s="1245"/>
      <c r="G17" s="1245"/>
      <c r="H17" s="1245"/>
      <c r="I17" s="1245"/>
      <c r="J17" s="1246"/>
      <c r="L17" s="245" t="s">
        <v>20</v>
      </c>
    </row>
    <row r="18" spans="1:14" ht="13.5" thickBot="1" x14ac:dyDescent="0.25">
      <c r="A18" s="1247"/>
      <c r="B18" s="1247"/>
      <c r="C18" s="246">
        <f>C7</f>
        <v>2017</v>
      </c>
      <c r="D18" s="247">
        <f>D7</f>
        <v>2018</v>
      </c>
      <c r="E18" s="247">
        <f>E7</f>
        <v>2019</v>
      </c>
      <c r="F18" s="247">
        <f t="shared" ref="F18:G18" si="1">F7</f>
        <v>2020</v>
      </c>
      <c r="G18" s="247">
        <f t="shared" si="1"/>
        <v>2021</v>
      </c>
      <c r="H18" s="809">
        <f>H7</f>
        <v>2022</v>
      </c>
      <c r="I18" s="809">
        <f>I7</f>
        <v>2023</v>
      </c>
      <c r="J18" s="809">
        <f>J7</f>
        <v>2024</v>
      </c>
      <c r="L18" s="248"/>
    </row>
    <row r="19" spans="1:14" ht="13.5" thickBot="1" x14ac:dyDescent="0.25">
      <c r="A19" s="1238" t="s">
        <v>21</v>
      </c>
      <c r="B19" s="249">
        <f>C7</f>
        <v>2017</v>
      </c>
      <c r="C19" s="1027">
        <v>0</v>
      </c>
      <c r="D19" s="250"/>
      <c r="E19" s="250"/>
      <c r="F19" s="250"/>
      <c r="G19" s="250"/>
      <c r="H19" s="810"/>
      <c r="I19" s="810"/>
      <c r="J19" s="811"/>
      <c r="K19" s="252"/>
      <c r="L19" s="253">
        <f t="shared" ref="L19:L26" si="2">SUM(C19:J19)</f>
        <v>0</v>
      </c>
    </row>
    <row r="20" spans="1:14" ht="13.5" thickBot="1" x14ac:dyDescent="0.25">
      <c r="A20" s="1300"/>
      <c r="B20" s="254">
        <f>D7</f>
        <v>2018</v>
      </c>
      <c r="C20" s="336">
        <f>+C$8-C19</f>
        <v>0</v>
      </c>
      <c r="D20" s="989">
        <v>0</v>
      </c>
      <c r="E20" s="256"/>
      <c r="F20" s="259"/>
      <c r="G20" s="259"/>
      <c r="H20" s="815"/>
      <c r="I20" s="815"/>
      <c r="J20" s="813"/>
      <c r="K20" s="252"/>
      <c r="L20" s="253">
        <f t="shared" si="2"/>
        <v>0</v>
      </c>
    </row>
    <row r="21" spans="1:14" ht="13.5" thickBot="1" x14ac:dyDescent="0.25">
      <c r="A21" s="1300"/>
      <c r="B21" s="254">
        <f>E7</f>
        <v>2019</v>
      </c>
      <c r="C21" s="258"/>
      <c r="D21" s="336">
        <f>+D$8-D20</f>
        <v>0</v>
      </c>
      <c r="E21" s="1027">
        <v>0</v>
      </c>
      <c r="F21" s="259"/>
      <c r="G21" s="259"/>
      <c r="H21" s="815"/>
      <c r="I21" s="815"/>
      <c r="J21" s="813"/>
      <c r="K21" s="252"/>
      <c r="L21" s="253">
        <f t="shared" si="2"/>
        <v>0</v>
      </c>
    </row>
    <row r="22" spans="1:14" ht="13.5" thickBot="1" x14ac:dyDescent="0.25">
      <c r="A22" s="1300"/>
      <c r="B22" s="254">
        <f>+F7</f>
        <v>2020</v>
      </c>
      <c r="C22" s="258"/>
      <c r="D22" s="259"/>
      <c r="E22" s="336">
        <f>+E$8-E21</f>
        <v>0</v>
      </c>
      <c r="F22" s="1027">
        <v>0</v>
      </c>
      <c r="G22" s="259"/>
      <c r="H22" s="815"/>
      <c r="I22" s="815"/>
      <c r="J22" s="813"/>
      <c r="K22" s="252"/>
      <c r="L22" s="253">
        <f t="shared" si="2"/>
        <v>0</v>
      </c>
    </row>
    <row r="23" spans="1:14" ht="13.5" thickBot="1" x14ac:dyDescent="0.25">
      <c r="A23" s="1300"/>
      <c r="B23" s="254">
        <f>+G7</f>
        <v>2021</v>
      </c>
      <c r="C23" s="258"/>
      <c r="D23" s="259"/>
      <c r="E23" s="259"/>
      <c r="F23" s="336">
        <f>+F$8-F22</f>
        <v>0</v>
      </c>
      <c r="G23" s="1027">
        <v>0</v>
      </c>
      <c r="H23" s="815"/>
      <c r="I23" s="815"/>
      <c r="J23" s="813"/>
      <c r="K23" s="252"/>
      <c r="L23" s="253">
        <f t="shared" si="2"/>
        <v>0</v>
      </c>
    </row>
    <row r="24" spans="1:14" ht="13.5" thickBot="1" x14ac:dyDescent="0.25">
      <c r="A24" s="1300"/>
      <c r="B24" s="868">
        <f>+H7</f>
        <v>2022</v>
      </c>
      <c r="C24" s="869"/>
      <c r="D24" s="815"/>
      <c r="E24" s="815"/>
      <c r="F24" s="815"/>
      <c r="G24" s="852">
        <f>+G$8-G23</f>
        <v>0</v>
      </c>
      <c r="H24" s="861">
        <v>0</v>
      </c>
      <c r="I24" s="815"/>
      <c r="J24" s="813"/>
      <c r="K24" s="826"/>
      <c r="L24" s="827">
        <f t="shared" si="2"/>
        <v>0</v>
      </c>
    </row>
    <row r="25" spans="1:14" ht="13.5" thickBot="1" x14ac:dyDescent="0.25">
      <c r="A25" s="1300"/>
      <c r="B25" s="868">
        <f>+I7</f>
        <v>2023</v>
      </c>
      <c r="C25" s="869"/>
      <c r="D25" s="815"/>
      <c r="E25" s="815"/>
      <c r="F25" s="815"/>
      <c r="G25" s="815"/>
      <c r="H25" s="852">
        <f>+H$8-H24</f>
        <v>0</v>
      </c>
      <c r="I25" s="861">
        <v>0</v>
      </c>
      <c r="J25" s="813"/>
      <c r="K25" s="826"/>
      <c r="L25" s="827">
        <f t="shared" si="2"/>
        <v>0</v>
      </c>
    </row>
    <row r="26" spans="1:14" ht="13.5" thickBot="1" x14ac:dyDescent="0.25">
      <c r="A26" s="1300"/>
      <c r="B26" s="868">
        <f>J7</f>
        <v>2024</v>
      </c>
      <c r="C26" s="869"/>
      <c r="D26" s="812"/>
      <c r="E26" s="815"/>
      <c r="F26" s="815"/>
      <c r="G26" s="815"/>
      <c r="H26" s="815"/>
      <c r="I26" s="852">
        <f>+I$8-I25</f>
        <v>0</v>
      </c>
      <c r="J26" s="862">
        <v>0</v>
      </c>
      <c r="K26" s="826"/>
      <c r="L26" s="827">
        <f t="shared" si="2"/>
        <v>0</v>
      </c>
    </row>
    <row r="27" spans="1:14" s="264" customFormat="1" ht="15.75" x14ac:dyDescent="0.2">
      <c r="A27" s="1301"/>
      <c r="B27" s="331" t="s">
        <v>22</v>
      </c>
      <c r="C27" s="261">
        <f>SUM(C19:C26)</f>
        <v>0</v>
      </c>
      <c r="D27" s="261">
        <f>SUM(D19:D26)</f>
        <v>0</v>
      </c>
      <c r="E27" s="261">
        <f>SUM(E19:E26)</f>
        <v>0</v>
      </c>
      <c r="F27" s="261">
        <f>SUM(F19:F26)</f>
        <v>0</v>
      </c>
      <c r="G27" s="261">
        <f>SUM(G19:G26)</f>
        <v>0</v>
      </c>
      <c r="H27" s="816">
        <f t="shared" ref="H27:J27" si="3">SUM(H19:H26)</f>
        <v>0</v>
      </c>
      <c r="I27" s="816">
        <f t="shared" si="3"/>
        <v>0</v>
      </c>
      <c r="J27" s="863">
        <f t="shared" si="3"/>
        <v>0</v>
      </c>
      <c r="K27" s="262"/>
      <c r="L27" s="263">
        <f>SUM(L19:L26)</f>
        <v>0</v>
      </c>
    </row>
    <row r="28" spans="1:14" s="243" customFormat="1" x14ac:dyDescent="0.2">
      <c r="A28" s="266" t="s">
        <v>34</v>
      </c>
      <c r="C28" s="267">
        <f>+C27+C42</f>
        <v>0</v>
      </c>
      <c r="D28" s="267">
        <f>+D27+D42</f>
        <v>0</v>
      </c>
      <c r="E28" s="267">
        <f>+E27+E42</f>
        <v>0</v>
      </c>
      <c r="F28" s="267">
        <f>+F27+F42</f>
        <v>0</v>
      </c>
      <c r="G28" s="267">
        <f>+G27+G42</f>
        <v>0</v>
      </c>
      <c r="H28" s="818">
        <f t="shared" ref="H28:J28" si="4">+H27+H42</f>
        <v>0</v>
      </c>
      <c r="I28" s="818">
        <f t="shared" si="4"/>
        <v>0</v>
      </c>
      <c r="J28" s="818">
        <f t="shared" si="4"/>
        <v>0</v>
      </c>
      <c r="K28" s="267"/>
      <c r="L28" s="267">
        <f>+L27+L42</f>
        <v>0</v>
      </c>
      <c r="M28" s="267"/>
    </row>
    <row r="29" spans="1:14" s="243" customFormat="1" x14ac:dyDescent="0.2">
      <c r="C29" s="267"/>
      <c r="D29" s="267"/>
      <c r="E29" s="267"/>
      <c r="F29" s="267"/>
      <c r="G29" s="267"/>
      <c r="H29" s="267"/>
      <c r="I29" s="267"/>
      <c r="J29" s="267"/>
    </row>
    <row r="30" spans="1:14" s="243" customFormat="1" x14ac:dyDescent="0.2">
      <c r="C30" s="241" t="s">
        <v>162</v>
      </c>
      <c r="D30" s="267"/>
      <c r="E30" s="267"/>
      <c r="F30" s="267"/>
      <c r="G30" s="267"/>
      <c r="H30" s="267"/>
      <c r="I30" s="267"/>
      <c r="J30" s="267"/>
      <c r="K30" s="267"/>
      <c r="L30" s="267"/>
    </row>
    <row r="31" spans="1:14" x14ac:dyDescent="0.2">
      <c r="C31" s="241" t="s">
        <v>163</v>
      </c>
    </row>
    <row r="32" spans="1:14" ht="16.5" x14ac:dyDescent="0.2">
      <c r="C32" s="1235" t="s">
        <v>19</v>
      </c>
      <c r="D32" s="1236"/>
      <c r="E32" s="1236"/>
      <c r="F32" s="1236"/>
      <c r="G32" s="1236"/>
      <c r="H32" s="1236"/>
      <c r="I32" s="1236"/>
      <c r="J32" s="1237"/>
      <c r="L32" s="245" t="s">
        <v>20</v>
      </c>
      <c r="N32" s="245" t="s">
        <v>20</v>
      </c>
    </row>
    <row r="33" spans="1:15" x14ac:dyDescent="0.2">
      <c r="C33" s="247">
        <f t="shared" ref="C33:J33" si="5">+C18</f>
        <v>2017</v>
      </c>
      <c r="D33" s="247">
        <f t="shared" si="5"/>
        <v>2018</v>
      </c>
      <c r="E33" s="247">
        <f t="shared" si="5"/>
        <v>2019</v>
      </c>
      <c r="F33" s="247">
        <f t="shared" si="5"/>
        <v>2020</v>
      </c>
      <c r="G33" s="247">
        <f t="shared" si="5"/>
        <v>2021</v>
      </c>
      <c r="H33" s="809">
        <f t="shared" si="5"/>
        <v>2022</v>
      </c>
      <c r="I33" s="809">
        <f t="shared" si="5"/>
        <v>2023</v>
      </c>
      <c r="J33" s="809">
        <f t="shared" si="5"/>
        <v>2024</v>
      </c>
      <c r="L33" s="248" t="s">
        <v>23</v>
      </c>
      <c r="N33" s="248" t="s">
        <v>24</v>
      </c>
    </row>
    <row r="34" spans="1:15" ht="12.75" customHeight="1" x14ac:dyDescent="0.2">
      <c r="A34" s="1248" t="s">
        <v>113</v>
      </c>
      <c r="B34" s="269">
        <f t="shared" ref="B34:B41" si="6">+B19</f>
        <v>2017</v>
      </c>
      <c r="C34" s="563"/>
      <c r="D34" s="270"/>
      <c r="E34" s="270"/>
      <c r="F34" s="270"/>
      <c r="G34" s="270"/>
      <c r="H34" s="819"/>
      <c r="I34" s="819"/>
      <c r="J34" s="821"/>
      <c r="K34" s="252"/>
      <c r="L34" s="253">
        <f t="shared" ref="L34:L41" si="7">SUM(C34:J34)</f>
        <v>0</v>
      </c>
      <c r="M34" s="252"/>
      <c r="N34" s="272">
        <f t="shared" ref="N34:N41" si="8">SUM(L19,L34)</f>
        <v>0</v>
      </c>
    </row>
    <row r="35" spans="1:15" ht="12.75" customHeight="1" x14ac:dyDescent="0.2">
      <c r="A35" s="1249"/>
      <c r="B35" s="273">
        <f t="shared" si="6"/>
        <v>2018</v>
      </c>
      <c r="C35" s="563"/>
      <c r="D35" s="270"/>
      <c r="E35" s="270"/>
      <c r="F35" s="270"/>
      <c r="G35" s="270"/>
      <c r="H35" s="819"/>
      <c r="I35" s="819"/>
      <c r="J35" s="821"/>
      <c r="K35" s="252"/>
      <c r="L35" s="253">
        <f t="shared" si="7"/>
        <v>0</v>
      </c>
      <c r="M35" s="252"/>
      <c r="N35" s="272">
        <f t="shared" si="8"/>
        <v>0</v>
      </c>
    </row>
    <row r="36" spans="1:15" ht="12.75" customHeight="1" x14ac:dyDescent="0.2">
      <c r="A36" s="1249" t="s">
        <v>25</v>
      </c>
      <c r="B36" s="273">
        <f t="shared" si="6"/>
        <v>2019</v>
      </c>
      <c r="C36" s="255">
        <f>+I66</f>
        <v>0</v>
      </c>
      <c r="D36" s="270"/>
      <c r="E36" s="270"/>
      <c r="F36" s="270"/>
      <c r="G36" s="270"/>
      <c r="H36" s="819"/>
      <c r="I36" s="819"/>
      <c r="J36" s="821"/>
      <c r="K36" s="252"/>
      <c r="L36" s="253">
        <f t="shared" si="7"/>
        <v>0</v>
      </c>
      <c r="M36" s="252"/>
      <c r="N36" s="272">
        <f t="shared" si="8"/>
        <v>0</v>
      </c>
    </row>
    <row r="37" spans="1:15" ht="12.75" customHeight="1" x14ac:dyDescent="0.2">
      <c r="A37" s="1249"/>
      <c r="B37" s="273">
        <f t="shared" si="6"/>
        <v>2020</v>
      </c>
      <c r="C37" s="255">
        <f>+K71</f>
        <v>0</v>
      </c>
      <c r="D37" s="255">
        <f>+K72</f>
        <v>0</v>
      </c>
      <c r="E37" s="270"/>
      <c r="F37" s="270"/>
      <c r="G37" s="270"/>
      <c r="H37" s="819"/>
      <c r="I37" s="819"/>
      <c r="J37" s="821"/>
      <c r="K37" s="252"/>
      <c r="L37" s="253">
        <f t="shared" si="7"/>
        <v>0</v>
      </c>
      <c r="M37" s="252"/>
      <c r="N37" s="272">
        <f t="shared" si="8"/>
        <v>0</v>
      </c>
    </row>
    <row r="38" spans="1:15" ht="12.75" customHeight="1" x14ac:dyDescent="0.2">
      <c r="A38" s="1249"/>
      <c r="B38" s="273">
        <f t="shared" si="6"/>
        <v>2021</v>
      </c>
      <c r="C38" s="255">
        <f>+G78</f>
        <v>0</v>
      </c>
      <c r="D38" s="255">
        <f>+G79</f>
        <v>0</v>
      </c>
      <c r="E38" s="255">
        <f>+G80</f>
        <v>0</v>
      </c>
      <c r="F38" s="270"/>
      <c r="G38" s="270"/>
      <c r="H38" s="819"/>
      <c r="I38" s="819"/>
      <c r="J38" s="821"/>
      <c r="K38" s="252"/>
      <c r="L38" s="253">
        <f t="shared" si="7"/>
        <v>0</v>
      </c>
      <c r="M38" s="252"/>
      <c r="N38" s="272">
        <f t="shared" si="8"/>
        <v>0</v>
      </c>
      <c r="O38" s="244" t="s">
        <v>27</v>
      </c>
    </row>
    <row r="39" spans="1:15" ht="12.75" customHeight="1" x14ac:dyDescent="0.2">
      <c r="A39" s="1249"/>
      <c r="B39" s="875">
        <f t="shared" si="6"/>
        <v>2022</v>
      </c>
      <c r="C39" s="565">
        <f>+G86</f>
        <v>0</v>
      </c>
      <c r="D39" s="565">
        <f>+G87</f>
        <v>0</v>
      </c>
      <c r="E39" s="565">
        <f>+G88</f>
        <v>0</v>
      </c>
      <c r="F39" s="565">
        <f>+G89</f>
        <v>0</v>
      </c>
      <c r="G39" s="819"/>
      <c r="H39" s="819"/>
      <c r="I39" s="819"/>
      <c r="J39" s="821"/>
      <c r="K39" s="826"/>
      <c r="L39" s="827">
        <f t="shared" si="7"/>
        <v>0</v>
      </c>
      <c r="M39" s="826"/>
      <c r="N39" s="854">
        <f t="shared" si="8"/>
        <v>0</v>
      </c>
    </row>
    <row r="40" spans="1:15" ht="12.75" customHeight="1" x14ac:dyDescent="0.2">
      <c r="A40" s="1249"/>
      <c r="B40" s="875">
        <f t="shared" si="6"/>
        <v>2023</v>
      </c>
      <c r="C40" s="819"/>
      <c r="D40" s="819"/>
      <c r="E40" s="819"/>
      <c r="F40" s="565">
        <f>+G95</f>
        <v>0</v>
      </c>
      <c r="G40" s="565">
        <f>+G96</f>
        <v>0</v>
      </c>
      <c r="H40" s="819"/>
      <c r="I40" s="819"/>
      <c r="J40" s="821"/>
      <c r="K40" s="826"/>
      <c r="L40" s="827">
        <f t="shared" si="7"/>
        <v>0</v>
      </c>
      <c r="M40" s="826"/>
      <c r="N40" s="854">
        <f t="shared" si="8"/>
        <v>0</v>
      </c>
    </row>
    <row r="41" spans="1:15" ht="12.75" customHeight="1" x14ac:dyDescent="0.2">
      <c r="A41" s="1249"/>
      <c r="B41" s="875">
        <f t="shared" si="6"/>
        <v>2024</v>
      </c>
      <c r="C41" s="819"/>
      <c r="D41" s="819"/>
      <c r="E41" s="819"/>
      <c r="F41" s="819"/>
      <c r="G41" s="565">
        <f>+G102</f>
        <v>0</v>
      </c>
      <c r="H41" s="565">
        <f>+G103</f>
        <v>0</v>
      </c>
      <c r="I41" s="819"/>
      <c r="J41" s="821"/>
      <c r="K41" s="826"/>
      <c r="L41" s="827">
        <f t="shared" si="7"/>
        <v>0</v>
      </c>
      <c r="M41" s="826"/>
      <c r="N41" s="854">
        <f t="shared" si="8"/>
        <v>0</v>
      </c>
      <c r="O41" s="244"/>
    </row>
    <row r="42" spans="1:15" s="264" customFormat="1" ht="16.5" customHeight="1" x14ac:dyDescent="0.2">
      <c r="A42" s="1299"/>
      <c r="B42" s="331" t="s">
        <v>22</v>
      </c>
      <c r="C42" s="275">
        <f>SUM(C34:C41)</f>
        <v>0</v>
      </c>
      <c r="D42" s="275">
        <f>SUM(D34:D41)</f>
        <v>0</v>
      </c>
      <c r="E42" s="275">
        <f>SUM(E34:E41)</f>
        <v>0</v>
      </c>
      <c r="F42" s="275">
        <f>SUM(F34:F41)</f>
        <v>0</v>
      </c>
      <c r="G42" s="275">
        <f>SUM(G34:G41)</f>
        <v>0</v>
      </c>
      <c r="H42" s="865">
        <f t="shared" ref="H42:I42" si="9">SUM(H34:H41)</f>
        <v>0</v>
      </c>
      <c r="I42" s="865">
        <f t="shared" si="9"/>
        <v>0</v>
      </c>
      <c r="J42" s="865">
        <f>SUM(J34:J41)</f>
        <v>0</v>
      </c>
      <c r="K42" s="252"/>
      <c r="L42" s="263">
        <f>SUM(L34:L41)</f>
        <v>0</v>
      </c>
      <c r="M42" s="262"/>
      <c r="N42" s="263">
        <f>SUM(N34:N41)</f>
        <v>0</v>
      </c>
    </row>
    <row r="43" spans="1:15" x14ac:dyDescent="0.2">
      <c r="K43" s="252"/>
    </row>
    <row r="44" spans="1:15" ht="13.5" thickBot="1" x14ac:dyDescent="0.25">
      <c r="K44" s="252"/>
    </row>
    <row r="45" spans="1:15" ht="21.75" customHeight="1" thickBot="1" x14ac:dyDescent="0.25">
      <c r="A45" s="1224" t="s">
        <v>175</v>
      </c>
      <c r="B45" s="1225"/>
      <c r="C45" s="1225"/>
      <c r="D45" s="1225"/>
      <c r="E45" s="1225"/>
      <c r="F45" s="1225"/>
      <c r="G45" s="1225"/>
      <c r="H45" s="1225"/>
      <c r="I45" s="1225"/>
      <c r="J45" s="1225"/>
      <c r="K45" s="1225"/>
      <c r="L45" s="1225"/>
      <c r="M45" s="1225"/>
      <c r="N45" s="1226"/>
    </row>
    <row r="47" spans="1:15" x14ac:dyDescent="0.2">
      <c r="C47" s="241" t="s">
        <v>164</v>
      </c>
    </row>
    <row r="48" spans="1:15" x14ac:dyDescent="0.2">
      <c r="C48" s="241" t="s">
        <v>29</v>
      </c>
    </row>
    <row r="49" spans="1:15" ht="16.5" x14ac:dyDescent="0.2">
      <c r="C49" s="1244" t="s">
        <v>19</v>
      </c>
      <c r="D49" s="1245"/>
      <c r="E49" s="1245"/>
      <c r="F49" s="1245"/>
      <c r="G49" s="1245"/>
      <c r="H49" s="1245"/>
      <c r="I49" s="1245"/>
      <c r="J49" s="1246"/>
    </row>
    <row r="50" spans="1:15" x14ac:dyDescent="0.2">
      <c r="C50" s="247">
        <f>+C33</f>
        <v>2017</v>
      </c>
      <c r="D50" s="247">
        <f>+D33</f>
        <v>2018</v>
      </c>
      <c r="E50" s="247">
        <f>+E33</f>
        <v>2019</v>
      </c>
      <c r="F50" s="247">
        <f>+F33</f>
        <v>2020</v>
      </c>
      <c r="G50" s="247">
        <f>+G33</f>
        <v>2021</v>
      </c>
      <c r="H50" s="809">
        <f t="shared" ref="H50:I50" si="10">+H33</f>
        <v>2022</v>
      </c>
      <c r="I50" s="809">
        <f t="shared" si="10"/>
        <v>2023</v>
      </c>
      <c r="J50" s="809">
        <f>+J33</f>
        <v>2024</v>
      </c>
      <c r="L50" s="93" t="s">
        <v>20</v>
      </c>
    </row>
    <row r="51" spans="1:15" ht="13.5" customHeight="1" x14ac:dyDescent="0.2">
      <c r="A51" s="1238" t="s">
        <v>167</v>
      </c>
      <c r="B51" s="276">
        <f t="shared" ref="B51:B58" si="11">+B34</f>
        <v>2017</v>
      </c>
      <c r="C51" s="255">
        <f>+C19</f>
        <v>0</v>
      </c>
      <c r="D51" s="277"/>
      <c r="E51" s="270"/>
      <c r="F51" s="270"/>
      <c r="G51" s="270"/>
      <c r="H51" s="819"/>
      <c r="I51" s="819"/>
      <c r="J51" s="821"/>
      <c r="L51" s="278">
        <f t="shared" ref="L51:L58" si="12">SUM(C51:J51)</f>
        <v>0</v>
      </c>
    </row>
    <row r="52" spans="1:15" ht="13.5" customHeight="1" x14ac:dyDescent="0.2">
      <c r="A52" s="1239"/>
      <c r="B52" s="247">
        <f t="shared" si="11"/>
        <v>2018</v>
      </c>
      <c r="C52" s="255">
        <f>+C51+C35+C20</f>
        <v>0</v>
      </c>
      <c r="D52" s="255">
        <f>+D20</f>
        <v>0</v>
      </c>
      <c r="E52" s="279"/>
      <c r="F52" s="279"/>
      <c r="G52" s="279"/>
      <c r="H52" s="823"/>
      <c r="I52" s="823"/>
      <c r="J52" s="824"/>
      <c r="L52" s="278">
        <f t="shared" si="12"/>
        <v>0</v>
      </c>
    </row>
    <row r="53" spans="1:15" ht="13.5" customHeight="1" x14ac:dyDescent="0.2">
      <c r="A53" s="1239"/>
      <c r="B53" s="247">
        <f t="shared" si="11"/>
        <v>2019</v>
      </c>
      <c r="C53" s="255">
        <f>+C52+C36+C21</f>
        <v>0</v>
      </c>
      <c r="D53" s="255">
        <f>+D52+D36+D21</f>
        <v>0</v>
      </c>
      <c r="E53" s="255">
        <f>+E21</f>
        <v>0</v>
      </c>
      <c r="F53" s="270"/>
      <c r="G53" s="270"/>
      <c r="H53" s="819"/>
      <c r="I53" s="819"/>
      <c r="J53" s="824"/>
      <c r="L53" s="278">
        <f t="shared" si="12"/>
        <v>0</v>
      </c>
    </row>
    <row r="54" spans="1:15" ht="13.5" customHeight="1" x14ac:dyDescent="0.2">
      <c r="A54" s="1239"/>
      <c r="B54" s="247">
        <f t="shared" si="11"/>
        <v>2020</v>
      </c>
      <c r="C54" s="255">
        <f>+C53+C37+C22</f>
        <v>0</v>
      </c>
      <c r="D54" s="255">
        <f>+D53+D37+D22</f>
        <v>0</v>
      </c>
      <c r="E54" s="255">
        <f>+E53+E37+E22</f>
        <v>0</v>
      </c>
      <c r="F54" s="255">
        <f>+F22</f>
        <v>0</v>
      </c>
      <c r="G54" s="270"/>
      <c r="H54" s="819"/>
      <c r="I54" s="819"/>
      <c r="J54" s="824"/>
      <c r="L54" s="278">
        <f t="shared" si="12"/>
        <v>0</v>
      </c>
    </row>
    <row r="55" spans="1:15" ht="13.5" customHeight="1" x14ac:dyDescent="0.2">
      <c r="A55" s="1239"/>
      <c r="B55" s="247">
        <f t="shared" si="11"/>
        <v>2021</v>
      </c>
      <c r="C55" s="255">
        <f>+C54+C38+C23</f>
        <v>0</v>
      </c>
      <c r="D55" s="255">
        <f>+D54+D38+D23</f>
        <v>0</v>
      </c>
      <c r="E55" s="255">
        <f>+E54+E38+E23</f>
        <v>0</v>
      </c>
      <c r="F55" s="255">
        <f>+F54+F38+F23</f>
        <v>0</v>
      </c>
      <c r="G55" s="255">
        <f>+G23</f>
        <v>0</v>
      </c>
      <c r="H55" s="819"/>
      <c r="I55" s="819"/>
      <c r="J55" s="824"/>
      <c r="L55" s="278">
        <f t="shared" si="12"/>
        <v>0</v>
      </c>
    </row>
    <row r="56" spans="1:15" ht="13.5" customHeight="1" x14ac:dyDescent="0.2">
      <c r="A56" s="1239"/>
      <c r="B56" s="809">
        <f t="shared" si="11"/>
        <v>2022</v>
      </c>
      <c r="C56" s="565">
        <f>+C55+C39+C24</f>
        <v>0</v>
      </c>
      <c r="D56" s="565">
        <f>+D55+D39+D24</f>
        <v>0</v>
      </c>
      <c r="E56" s="565">
        <f>+E55+E39+E24</f>
        <v>0</v>
      </c>
      <c r="F56" s="565">
        <f>+F55+F39+F24</f>
        <v>0</v>
      </c>
      <c r="G56" s="565">
        <f>+G55+G39+G24</f>
        <v>0</v>
      </c>
      <c r="H56" s="565">
        <f>+H24</f>
        <v>0</v>
      </c>
      <c r="I56" s="819"/>
      <c r="J56" s="824"/>
      <c r="K56" s="830"/>
      <c r="L56" s="831">
        <f t="shared" si="12"/>
        <v>0</v>
      </c>
    </row>
    <row r="57" spans="1:15" ht="13.5" customHeight="1" x14ac:dyDescent="0.2">
      <c r="A57" s="1239"/>
      <c r="B57" s="809">
        <f t="shared" si="11"/>
        <v>2023</v>
      </c>
      <c r="C57" s="872"/>
      <c r="D57" s="819"/>
      <c r="E57" s="819"/>
      <c r="F57" s="565">
        <f>+F56+F40+F25</f>
        <v>0</v>
      </c>
      <c r="G57" s="565">
        <f>+G56+G40+G25</f>
        <v>0</v>
      </c>
      <c r="H57" s="565">
        <f>+H56+H40+H25</f>
        <v>0</v>
      </c>
      <c r="I57" s="565">
        <f>+I25</f>
        <v>0</v>
      </c>
      <c r="J57" s="821"/>
      <c r="K57" s="830"/>
      <c r="L57" s="831">
        <f t="shared" si="12"/>
        <v>0</v>
      </c>
    </row>
    <row r="58" spans="1:15" ht="13.5" customHeight="1" x14ac:dyDescent="0.2">
      <c r="A58" s="1240"/>
      <c r="B58" s="809">
        <f t="shared" si="11"/>
        <v>2024</v>
      </c>
      <c r="C58" s="873"/>
      <c r="D58" s="874"/>
      <c r="E58" s="874"/>
      <c r="F58" s="874"/>
      <c r="G58" s="565">
        <f>+G57+G41+G26</f>
        <v>0</v>
      </c>
      <c r="H58" s="565">
        <f>+H57+H41+H26</f>
        <v>0</v>
      </c>
      <c r="I58" s="565">
        <f>+I57+I41+I26</f>
        <v>0</v>
      </c>
      <c r="J58" s="565">
        <f>+J26</f>
        <v>0</v>
      </c>
      <c r="K58" s="830"/>
      <c r="L58" s="831">
        <f t="shared" si="12"/>
        <v>0</v>
      </c>
    </row>
    <row r="59" spans="1:15" x14ac:dyDescent="0.2">
      <c r="C59" s="241"/>
    </row>
    <row r="60" spans="1:15" ht="13.5" thickBot="1" x14ac:dyDescent="0.25">
      <c r="C60" s="241"/>
    </row>
    <row r="61" spans="1:15" ht="22.5" customHeight="1" thickBot="1" x14ac:dyDescent="0.25">
      <c r="A61" s="1224" t="s">
        <v>176</v>
      </c>
      <c r="B61" s="1225"/>
      <c r="C61" s="1225"/>
      <c r="D61" s="1225"/>
      <c r="E61" s="1225"/>
      <c r="F61" s="1225"/>
      <c r="G61" s="1225"/>
      <c r="H61" s="1225"/>
      <c r="I61" s="1225"/>
      <c r="J61" s="1225"/>
      <c r="K61" s="1225"/>
      <c r="L61" s="1225"/>
      <c r="M61" s="1225"/>
      <c r="N61" s="1226"/>
      <c r="O61" s="179"/>
    </row>
    <row r="62" spans="1:15" x14ac:dyDescent="0.2">
      <c r="A62" s="167"/>
      <c r="B62" s="167"/>
      <c r="C62" s="167"/>
      <c r="D62" s="167"/>
      <c r="E62" s="167"/>
      <c r="F62" s="167"/>
      <c r="G62" s="167"/>
      <c r="H62" s="167"/>
      <c r="I62" s="167"/>
      <c r="J62" s="167"/>
      <c r="K62" s="167"/>
      <c r="L62" s="212"/>
      <c r="M62" s="167"/>
    </row>
    <row r="63" spans="1:15" x14ac:dyDescent="0.2">
      <c r="A63" s="281" t="s">
        <v>172</v>
      </c>
      <c r="B63" s="167"/>
      <c r="C63" s="167"/>
      <c r="D63" s="167"/>
      <c r="E63" s="1000">
        <v>2019</v>
      </c>
      <c r="F63" s="167"/>
      <c r="G63" s="167"/>
      <c r="H63" s="167"/>
      <c r="I63" s="167"/>
      <c r="J63" s="167"/>
      <c r="K63" s="167"/>
      <c r="L63" s="212"/>
      <c r="M63" s="167"/>
    </row>
    <row r="64" spans="1:15" x14ac:dyDescent="0.2">
      <c r="A64" s="167"/>
      <c r="B64" s="167"/>
      <c r="C64" s="167"/>
      <c r="D64" s="167"/>
      <c r="E64" s="167"/>
      <c r="F64" s="167"/>
      <c r="G64" s="167"/>
      <c r="H64" s="167"/>
      <c r="I64" s="167"/>
      <c r="J64" s="167"/>
      <c r="K64" s="212"/>
      <c r="L64" s="167"/>
      <c r="M64" s="167"/>
    </row>
    <row r="65" spans="1:13" ht="107.1" customHeight="1" x14ac:dyDescent="0.2">
      <c r="A65" s="1257" t="s">
        <v>173</v>
      </c>
      <c r="B65" s="1258"/>
      <c r="C65" s="1258"/>
      <c r="D65" s="1259"/>
      <c r="E65" s="282"/>
      <c r="F65" s="166" t="str">
        <f>"Nog af te bouwen regulatoir saldo einde "&amp;E63-1</f>
        <v>Nog af te bouwen regulatoir saldo einde 2018</v>
      </c>
      <c r="G65" s="166" t="str">
        <f>"Afbouw oudste openstaande regulatoir saldo vanaf boekjaar "&amp;E63-3&amp;" en vroeger, door aanwending van compensatie met regulatoir saldo ontstaan over boekjaar "&amp;E63-2</f>
        <v>Afbouw oudste openstaande regulatoir saldo vanaf boekjaar 2016 en vroeger, door aanwending van compensatie met regulatoir saldo ontstaan over boekjaar 2017</v>
      </c>
      <c r="H65" s="166" t="str">
        <f>"Nog af te bouwen regulatoir saldo na compensatie einde "&amp;E63-1</f>
        <v>Nog af te bouwen regulatoir saldo na compensatie einde 2018</v>
      </c>
      <c r="I65" s="166" t="str">
        <f>"Aanwending van 100% van het regulatoir saldo door te rekenen volgens de tariefmethodologie in het boekjaar "&amp;E63</f>
        <v>Aanwending van 100% van het regulatoir saldo door te rekenen volgens de tariefmethodologie in het boekjaar 2019</v>
      </c>
      <c r="J65" s="166" t="str">
        <f>"Nog af te bouwen regulatoir saldo einde "&amp;E63</f>
        <v>Nog af te bouwen regulatoir saldo einde 2019</v>
      </c>
      <c r="K65" s="212"/>
      <c r="L65" s="167"/>
      <c r="M65" s="167"/>
    </row>
    <row r="66" spans="1:13" x14ac:dyDescent="0.2">
      <c r="A66" s="1260">
        <v>2017</v>
      </c>
      <c r="B66" s="1261"/>
      <c r="C66" s="1261"/>
      <c r="D66" s="1262"/>
      <c r="E66" s="283"/>
      <c r="F66" s="177">
        <f>+C19+C20</f>
        <v>0</v>
      </c>
      <c r="G66" s="1036">
        <v>0</v>
      </c>
      <c r="H66" s="177">
        <f>+F66+G66</f>
        <v>0</v>
      </c>
      <c r="I66" s="177">
        <f>-H66*1</f>
        <v>0</v>
      </c>
      <c r="J66" s="1001">
        <f>+I66+F66</f>
        <v>0</v>
      </c>
      <c r="K66" s="212"/>
      <c r="L66" s="167"/>
      <c r="M66" s="167"/>
    </row>
    <row r="67" spans="1:13" x14ac:dyDescent="0.2">
      <c r="A67" s="167"/>
      <c r="B67" s="167"/>
      <c r="C67" s="167"/>
      <c r="D67" s="167"/>
      <c r="E67" s="167"/>
      <c r="F67" s="167"/>
      <c r="G67" s="167"/>
      <c r="H67" s="167"/>
      <c r="I67" s="167"/>
      <c r="J67" s="167"/>
      <c r="K67" s="212"/>
      <c r="L67" s="167"/>
      <c r="M67" s="167"/>
    </row>
    <row r="68" spans="1:13" x14ac:dyDescent="0.2">
      <c r="A68" s="281" t="s">
        <v>172</v>
      </c>
      <c r="B68" s="167"/>
      <c r="C68" s="167"/>
      <c r="D68" s="167"/>
      <c r="E68" s="1000">
        <v>2020</v>
      </c>
      <c r="F68" s="167"/>
      <c r="G68" s="167"/>
      <c r="H68" s="167"/>
      <c r="I68" s="167"/>
      <c r="J68" s="167"/>
      <c r="K68" s="167"/>
      <c r="L68" s="212"/>
      <c r="M68" s="167"/>
    </row>
    <row r="69" spans="1:13" x14ac:dyDescent="0.2">
      <c r="A69" s="167"/>
      <c r="B69" s="167"/>
      <c r="C69" s="167"/>
      <c r="D69" s="167"/>
      <c r="E69" s="167"/>
      <c r="F69" s="167"/>
      <c r="G69" s="167"/>
      <c r="H69" s="167"/>
      <c r="I69" s="167"/>
      <c r="J69" s="167"/>
      <c r="K69" s="167"/>
      <c r="L69" s="212"/>
      <c r="M69" s="167"/>
    </row>
    <row r="70" spans="1:13" ht="107.1" customHeight="1" x14ac:dyDescent="0.2">
      <c r="A70" s="1257" t="s">
        <v>173</v>
      </c>
      <c r="B70" s="1258"/>
      <c r="C70" s="1258"/>
      <c r="D70" s="1259"/>
      <c r="E70" s="282"/>
      <c r="F70" s="166" t="str">
        <f>"Nog af te bouwen regulatoir saldo einde "&amp;E68-1</f>
        <v>Nog af te bouwen regulatoir saldo einde 2019</v>
      </c>
      <c r="G70" s="166" t="str">
        <f>"Afbouw oudste openstaande regulatoir saldo vanaf boekjaar "&amp;E68-3&amp;" en vroeger, door aanwending van compensatie met regulatoir saldo ontstaan over boekjaar "&amp;E68-2</f>
        <v>Afbouw oudste openstaande regulatoir saldo vanaf boekjaar 2017 en vroeger, door aanwending van compensatie met regulatoir saldo ontstaan over boekjaar 2018</v>
      </c>
      <c r="H70" s="166" t="str">
        <f>"Nog af te bouwen regulatoir saldo na compensatie einde "&amp;E68-1</f>
        <v>Nog af te bouwen regulatoir saldo na compensatie einde 2019</v>
      </c>
      <c r="I70" s="166" t="str">
        <f>"100% van het regulatoir saldo door te rekenen volgens de tariefmethodologie in het boekjaar "&amp;E68</f>
        <v>100% van het regulatoir saldo door te rekenen volgens de tariefmethodologie in het boekjaar 2020</v>
      </c>
      <c r="J70" s="166" t="str">
        <f>"Aanwending van 100% van het regulatoir saldo door te rekenen volgens de tariefmethodologie in het boekjaar "&amp;E68</f>
        <v>Aanwending van 100% van het regulatoir saldo door te rekenen volgens de tariefmethodologie in het boekjaar 2020</v>
      </c>
      <c r="K70" s="166" t="str">
        <f>"Totale afbouw over "&amp;E68</f>
        <v>Totale afbouw over 2020</v>
      </c>
      <c r="L70" s="166" t="str">
        <f>"Nog af te bouwen regulatoir saldo einde "&amp;E68</f>
        <v>Nog af te bouwen regulatoir saldo einde 2020</v>
      </c>
    </row>
    <row r="71" spans="1:13" x14ac:dyDescent="0.2">
      <c r="A71" s="1260">
        <v>2017</v>
      </c>
      <c r="B71" s="1261"/>
      <c r="C71" s="1261"/>
      <c r="D71" s="1262"/>
      <c r="E71" s="283"/>
      <c r="F71" s="177">
        <f>J66</f>
        <v>0</v>
      </c>
      <c r="G71" s="1036">
        <f>IF(SIGN(F72*J66)&lt;0,IF(F71&lt;&gt;0,-SIGN(F71)*MIN(ABS(F72),ABS(F71)),0),0)</f>
        <v>0</v>
      </c>
      <c r="H71" s="177">
        <f>+F71+G71</f>
        <v>0</v>
      </c>
      <c r="I71" s="995"/>
      <c r="J71" s="1036">
        <f>-MIN(ABS(H71),ABS(I73))*SIGN(H71)</f>
        <v>0</v>
      </c>
      <c r="K71" s="1037">
        <f>+J71+G71</f>
        <v>0</v>
      </c>
      <c r="L71" s="177">
        <f>+H71+J71</f>
        <v>0</v>
      </c>
    </row>
    <row r="72" spans="1:13" x14ac:dyDescent="0.2">
      <c r="A72" s="1260">
        <v>2018</v>
      </c>
      <c r="B72" s="1261"/>
      <c r="C72" s="1261"/>
      <c r="D72" s="1262"/>
      <c r="E72" s="283"/>
      <c r="F72" s="177">
        <f>+D20+D21</f>
        <v>0</v>
      </c>
      <c r="G72" s="1037">
        <f>IF(SIGN(F72*J66)&lt;0,-G71,0)</f>
        <v>0</v>
      </c>
      <c r="H72" s="177">
        <f>+F72+G72</f>
        <v>0</v>
      </c>
      <c r="I72" s="995"/>
      <c r="J72" s="1036">
        <f>-MIN(ABS(H72),ABS(I73-J71))*SIGN(H72)</f>
        <v>0</v>
      </c>
      <c r="K72" s="1037">
        <f>+J72+G72</f>
        <v>0</v>
      </c>
      <c r="L72" s="177">
        <f>+H72+J72</f>
        <v>0</v>
      </c>
    </row>
    <row r="73" spans="1:13" x14ac:dyDescent="0.2">
      <c r="A73" s="281"/>
      <c r="B73" s="281"/>
      <c r="C73" s="281"/>
      <c r="D73" s="281"/>
      <c r="E73" s="281"/>
      <c r="F73" s="284">
        <f>SUM(F71:F72)</f>
        <v>0</v>
      </c>
      <c r="G73" s="284">
        <f>SUM(G71:G72)</f>
        <v>0</v>
      </c>
      <c r="H73" s="284">
        <f>SUM(H71:H72)</f>
        <v>0</v>
      </c>
      <c r="I73" s="284">
        <f>-H73*1</f>
        <v>0</v>
      </c>
      <c r="J73" s="285">
        <f>SUM(J71:J72)</f>
        <v>0</v>
      </c>
      <c r="K73" s="286"/>
      <c r="L73" s="284">
        <f>SUM(L71:L72)</f>
        <v>0</v>
      </c>
    </row>
    <row r="74" spans="1:13" s="167" customFormat="1" x14ac:dyDescent="0.2">
      <c r="H74" s="221"/>
    </row>
    <row r="75" spans="1:13" s="167" customFormat="1" x14ac:dyDescent="0.2">
      <c r="A75" s="281" t="s">
        <v>172</v>
      </c>
      <c r="E75" s="1000">
        <v>2021</v>
      </c>
      <c r="G75" s="221"/>
    </row>
    <row r="76" spans="1:13" s="167" customFormat="1" x14ac:dyDescent="0.2">
      <c r="G76" s="221"/>
    </row>
    <row r="77" spans="1:13" s="167" customFormat="1" ht="107.1" customHeight="1" x14ac:dyDescent="0.2">
      <c r="A77" s="1257" t="s">
        <v>173</v>
      </c>
      <c r="B77" s="1258"/>
      <c r="C77" s="1258"/>
      <c r="D77" s="1259"/>
      <c r="E77" s="282"/>
      <c r="F77" s="166" t="str">
        <f>"Nog af te bouwen regulatoir saldo einde "&amp;E75-1</f>
        <v>Nog af te bouwen regulatoir saldo einde 2020</v>
      </c>
      <c r="G77" s="166" t="str">
        <f>"50% van het regulatoir saldo door te rekenen volgens de tariefmethodologie in het boekjaar "&amp;E75</f>
        <v>50% van het regulatoir saldo door te rekenen volgens de tariefmethodologie in het boekjaar 2021</v>
      </c>
      <c r="H77" s="166" t="str">
        <f>"Nog af te bouwen regulatoir saldo einde "&amp;E75</f>
        <v>Nog af te bouwen regulatoir saldo einde 2021</v>
      </c>
      <c r="I77" s="212"/>
    </row>
    <row r="78" spans="1:13" s="167" customFormat="1" x14ac:dyDescent="0.2">
      <c r="A78" s="1260">
        <v>2017</v>
      </c>
      <c r="B78" s="1261"/>
      <c r="C78" s="1261">
        <v>2016</v>
      </c>
      <c r="D78" s="1262"/>
      <c r="E78" s="283"/>
      <c r="F78" s="177">
        <f>+L71</f>
        <v>0</v>
      </c>
      <c r="G78" s="566">
        <f t="shared" ref="G78:G80" si="13">-F78*0.5</f>
        <v>0</v>
      </c>
      <c r="H78" s="177">
        <f t="shared" ref="H78:H80" si="14">+F78+G78</f>
        <v>0</v>
      </c>
      <c r="I78" s="212"/>
    </row>
    <row r="79" spans="1:13" s="167" customFormat="1" x14ac:dyDescent="0.2">
      <c r="A79" s="1260">
        <v>2018</v>
      </c>
      <c r="B79" s="1261"/>
      <c r="C79" s="1261"/>
      <c r="D79" s="1262"/>
      <c r="E79" s="283"/>
      <c r="F79" s="177">
        <f>+L72</f>
        <v>0</v>
      </c>
      <c r="G79" s="566">
        <f t="shared" si="13"/>
        <v>0</v>
      </c>
      <c r="H79" s="177">
        <f t="shared" si="14"/>
        <v>0</v>
      </c>
      <c r="I79" s="212"/>
    </row>
    <row r="80" spans="1:13" s="167" customFormat="1" x14ac:dyDescent="0.2">
      <c r="A80" s="1260">
        <v>2019</v>
      </c>
      <c r="B80" s="1261"/>
      <c r="C80" s="1261"/>
      <c r="D80" s="1262"/>
      <c r="E80" s="283"/>
      <c r="F80" s="177">
        <f>+E21+E22</f>
        <v>0</v>
      </c>
      <c r="G80" s="566">
        <f t="shared" si="13"/>
        <v>0</v>
      </c>
      <c r="H80" s="177">
        <f t="shared" si="14"/>
        <v>0</v>
      </c>
      <c r="I80" s="212"/>
    </row>
    <row r="81" spans="1:9" s="281" customFormat="1" x14ac:dyDescent="0.2">
      <c r="F81" s="284">
        <f>SUM(F78:F80)</f>
        <v>0</v>
      </c>
      <c r="G81" s="169">
        <f>SUM(G78:G80)</f>
        <v>0</v>
      </c>
      <c r="H81" s="284">
        <f>SUM(H78:H80)</f>
        <v>0</v>
      </c>
    </row>
    <row r="82" spans="1:9" s="167" customFormat="1" x14ac:dyDescent="0.2">
      <c r="G82" s="221"/>
    </row>
    <row r="83" spans="1:9" s="167" customFormat="1" x14ac:dyDescent="0.2">
      <c r="A83" s="847" t="s">
        <v>172</v>
      </c>
      <c r="B83" s="842"/>
      <c r="C83" s="842"/>
      <c r="D83" s="842"/>
      <c r="E83" s="1004">
        <v>2022</v>
      </c>
      <c r="F83" s="842"/>
      <c r="G83" s="855"/>
      <c r="H83" s="842"/>
    </row>
    <row r="84" spans="1:9" s="167" customFormat="1" x14ac:dyDescent="0.2">
      <c r="A84" s="842"/>
      <c r="B84" s="842"/>
      <c r="C84" s="842"/>
      <c r="D84" s="842"/>
      <c r="E84" s="842"/>
      <c r="F84" s="842"/>
      <c r="G84" s="855"/>
      <c r="H84" s="842"/>
    </row>
    <row r="85" spans="1:9" s="167" customFormat="1" ht="107.1" customHeight="1" x14ac:dyDescent="0.2">
      <c r="A85" s="1254" t="s">
        <v>173</v>
      </c>
      <c r="B85" s="1255"/>
      <c r="C85" s="1255"/>
      <c r="D85" s="1256"/>
      <c r="E85" s="848"/>
      <c r="F85" s="837" t="str">
        <f>"Nog af te bouwen regulatoir saldo einde "&amp;E83-1</f>
        <v>Nog af te bouwen regulatoir saldo einde 2021</v>
      </c>
      <c r="G85" s="837" t="str">
        <f>"50% van het regulatoir saldo door te rekenen volgens de tariefmethodologie in het boekjaar "&amp;E83</f>
        <v>50% van het regulatoir saldo door te rekenen volgens de tariefmethodologie in het boekjaar 2022</v>
      </c>
      <c r="H85" s="837" t="str">
        <f>"Nog af te bouwen regulatoir saldo einde "&amp;E83</f>
        <v>Nog af te bouwen regulatoir saldo einde 2022</v>
      </c>
      <c r="I85" s="212"/>
    </row>
    <row r="86" spans="1:9" s="167" customFormat="1" x14ac:dyDescent="0.2">
      <c r="A86" s="976">
        <v>2017</v>
      </c>
      <c r="B86" s="977"/>
      <c r="C86" s="977">
        <v>2016</v>
      </c>
      <c r="D86" s="978"/>
      <c r="E86" s="341"/>
      <c r="F86" s="339">
        <f>+H78</f>
        <v>0</v>
      </c>
      <c r="G86" s="568">
        <f>-F78*0.5</f>
        <v>0</v>
      </c>
      <c r="H86" s="339">
        <f t="shared" ref="H86:H89" si="15">+F86+G86</f>
        <v>0</v>
      </c>
      <c r="I86" s="212"/>
    </row>
    <row r="87" spans="1:9" s="167" customFormat="1" x14ac:dyDescent="0.2">
      <c r="A87" s="1251">
        <v>2018</v>
      </c>
      <c r="B87" s="1252"/>
      <c r="C87" s="1252"/>
      <c r="D87" s="1253"/>
      <c r="E87" s="341"/>
      <c r="F87" s="339">
        <f>+H79</f>
        <v>0</v>
      </c>
      <c r="G87" s="568">
        <f>-F79*0.5</f>
        <v>0</v>
      </c>
      <c r="H87" s="339">
        <f t="shared" si="15"/>
        <v>0</v>
      </c>
      <c r="I87" s="212"/>
    </row>
    <row r="88" spans="1:9" s="167" customFormat="1" x14ac:dyDescent="0.2">
      <c r="A88" s="1251">
        <v>2019</v>
      </c>
      <c r="B88" s="1252"/>
      <c r="C88" s="1252"/>
      <c r="D88" s="1253"/>
      <c r="E88" s="341"/>
      <c r="F88" s="339">
        <f>+H80</f>
        <v>0</v>
      </c>
      <c r="G88" s="568">
        <f>-F80*0.5</f>
        <v>0</v>
      </c>
      <c r="H88" s="339">
        <f t="shared" si="15"/>
        <v>0</v>
      </c>
      <c r="I88" s="212"/>
    </row>
    <row r="89" spans="1:9" s="167" customFormat="1" x14ac:dyDescent="0.2">
      <c r="A89" s="1251">
        <v>2020</v>
      </c>
      <c r="B89" s="1252"/>
      <c r="C89" s="1252"/>
      <c r="D89" s="1253"/>
      <c r="E89" s="341"/>
      <c r="F89" s="339">
        <f>+F22+F23</f>
        <v>0</v>
      </c>
      <c r="G89" s="568">
        <f t="shared" ref="G89" si="16">-F89*0.5</f>
        <v>0</v>
      </c>
      <c r="H89" s="339">
        <f t="shared" si="15"/>
        <v>0</v>
      </c>
      <c r="I89" s="212"/>
    </row>
    <row r="90" spans="1:9" s="281" customFormat="1" x14ac:dyDescent="0.2">
      <c r="A90" s="847"/>
      <c r="B90" s="847"/>
      <c r="C90" s="847"/>
      <c r="D90" s="847"/>
      <c r="E90" s="847"/>
      <c r="F90" s="849">
        <f>SUM(F86:F89)</f>
        <v>0</v>
      </c>
      <c r="G90" s="856">
        <f>SUM(G86:G89)</f>
        <v>0</v>
      </c>
      <c r="H90" s="849">
        <f>SUM(H86:H89)</f>
        <v>0</v>
      </c>
    </row>
    <row r="91" spans="1:9" s="167" customFormat="1" x14ac:dyDescent="0.2">
      <c r="A91" s="842"/>
      <c r="B91" s="842"/>
      <c r="C91" s="842"/>
      <c r="D91" s="842"/>
      <c r="E91" s="842"/>
      <c r="F91" s="842"/>
      <c r="G91" s="855"/>
      <c r="H91" s="842"/>
    </row>
    <row r="92" spans="1:9" s="167" customFormat="1" x14ac:dyDescent="0.2">
      <c r="A92" s="847" t="s">
        <v>172</v>
      </c>
      <c r="B92" s="842"/>
      <c r="C92" s="842"/>
      <c r="D92" s="842"/>
      <c r="E92" s="1004">
        <v>2023</v>
      </c>
      <c r="F92" s="842"/>
      <c r="G92" s="855"/>
      <c r="H92" s="842"/>
    </row>
    <row r="93" spans="1:9" s="167" customFormat="1" x14ac:dyDescent="0.2">
      <c r="A93" s="842"/>
      <c r="B93" s="842"/>
      <c r="C93" s="842"/>
      <c r="D93" s="842"/>
      <c r="E93" s="842"/>
      <c r="F93" s="842"/>
      <c r="G93" s="855"/>
      <c r="H93" s="842"/>
    </row>
    <row r="94" spans="1:9" s="167" customFormat="1" ht="107.1" customHeight="1" x14ac:dyDescent="0.2">
      <c r="A94" s="1254" t="s">
        <v>173</v>
      </c>
      <c r="B94" s="1255"/>
      <c r="C94" s="1255"/>
      <c r="D94" s="1256"/>
      <c r="E94" s="848"/>
      <c r="F94" s="837" t="str">
        <f>"Nog af te bouwen regulatoir saldo einde "&amp;E92-1</f>
        <v>Nog af te bouwen regulatoir saldo einde 2022</v>
      </c>
      <c r="G94" s="837" t="str">
        <f>"50% van het regulatoir saldo door te rekenen volgens de tariefmethodologie in het boekjaar "&amp;E92</f>
        <v>50% van het regulatoir saldo door te rekenen volgens de tariefmethodologie in het boekjaar 2023</v>
      </c>
      <c r="H94" s="837" t="str">
        <f>"Nog af te bouwen regulatoir saldo einde "&amp;E92</f>
        <v>Nog af te bouwen regulatoir saldo einde 2023</v>
      </c>
      <c r="I94" s="212"/>
    </row>
    <row r="95" spans="1:9" s="167" customFormat="1" x14ac:dyDescent="0.2">
      <c r="A95" s="1251">
        <v>2020</v>
      </c>
      <c r="B95" s="1252"/>
      <c r="C95" s="1252"/>
      <c r="D95" s="1253"/>
      <c r="E95" s="341"/>
      <c r="F95" s="339">
        <f>+H89</f>
        <v>0</v>
      </c>
      <c r="G95" s="568">
        <f>-F89*0.5</f>
        <v>0</v>
      </c>
      <c r="H95" s="339">
        <f t="shared" ref="H95:H96" si="17">+F95+G95</f>
        <v>0</v>
      </c>
      <c r="I95" s="212"/>
    </row>
    <row r="96" spans="1:9" s="167" customFormat="1" x14ac:dyDescent="0.2">
      <c r="A96" s="1251">
        <v>2021</v>
      </c>
      <c r="B96" s="1252"/>
      <c r="C96" s="1252"/>
      <c r="D96" s="1253"/>
      <c r="E96" s="341"/>
      <c r="F96" s="339">
        <f>+G23+G24</f>
        <v>0</v>
      </c>
      <c r="G96" s="568">
        <f t="shared" ref="G96" si="18">-F96*0.5</f>
        <v>0</v>
      </c>
      <c r="H96" s="339">
        <f t="shared" si="17"/>
        <v>0</v>
      </c>
      <c r="I96" s="212"/>
    </row>
    <row r="97" spans="1:13" s="281" customFormat="1" x14ac:dyDescent="0.2">
      <c r="A97" s="847"/>
      <c r="B97" s="847"/>
      <c r="C97" s="847"/>
      <c r="D97" s="847"/>
      <c r="E97" s="847"/>
      <c r="F97" s="849">
        <f>SUM(F95:F96)</f>
        <v>0</v>
      </c>
      <c r="G97" s="856">
        <f>SUM(G95:G96)</f>
        <v>0</v>
      </c>
      <c r="H97" s="849">
        <f>SUM(H95:H96)</f>
        <v>0</v>
      </c>
    </row>
    <row r="98" spans="1:13" s="167" customFormat="1" x14ac:dyDescent="0.2">
      <c r="A98" s="842"/>
      <c r="B98" s="842"/>
      <c r="C98" s="842"/>
      <c r="D98" s="842"/>
      <c r="E98" s="842"/>
      <c r="F98" s="842"/>
      <c r="G98" s="855"/>
      <c r="H98" s="842"/>
    </row>
    <row r="99" spans="1:13" s="167" customFormat="1" x14ac:dyDescent="0.2">
      <c r="A99" s="847" t="s">
        <v>172</v>
      </c>
      <c r="B99" s="842"/>
      <c r="C99" s="842"/>
      <c r="D99" s="842"/>
      <c r="E99" s="1004">
        <v>2024</v>
      </c>
      <c r="F99" s="842"/>
      <c r="G99" s="855"/>
      <c r="H99" s="842"/>
    </row>
    <row r="100" spans="1:13" s="167" customFormat="1" x14ac:dyDescent="0.2">
      <c r="A100" s="842"/>
      <c r="B100" s="842"/>
      <c r="C100" s="842"/>
      <c r="D100" s="842"/>
      <c r="E100" s="842"/>
      <c r="F100" s="842"/>
      <c r="G100" s="855"/>
      <c r="H100" s="842"/>
    </row>
    <row r="101" spans="1:13" s="167" customFormat="1" ht="107.1" customHeight="1" x14ac:dyDescent="0.2">
      <c r="A101" s="1254" t="s">
        <v>173</v>
      </c>
      <c r="B101" s="1255"/>
      <c r="C101" s="1255"/>
      <c r="D101" s="1256"/>
      <c r="E101" s="848"/>
      <c r="F101" s="837" t="str">
        <f>"Nog af te bouwen regulatoir saldo einde "&amp;E99-1</f>
        <v>Nog af te bouwen regulatoir saldo einde 2023</v>
      </c>
      <c r="G101" s="837" t="str">
        <f>"50% van het regulatoir saldo door te rekenen volgens de tariefmethodologie in het boekjaar "&amp;E99</f>
        <v>50% van het regulatoir saldo door te rekenen volgens de tariefmethodologie in het boekjaar 2024</v>
      </c>
      <c r="H101" s="837" t="str">
        <f>"Nog af te bouwen regulatoir saldo einde "&amp;E99</f>
        <v>Nog af te bouwen regulatoir saldo einde 2024</v>
      </c>
      <c r="I101" s="212"/>
    </row>
    <row r="102" spans="1:13" s="167" customFormat="1" x14ac:dyDescent="0.2">
      <c r="A102" s="1251">
        <v>2021</v>
      </c>
      <c r="B102" s="1252"/>
      <c r="C102" s="1252"/>
      <c r="D102" s="1253"/>
      <c r="E102" s="341"/>
      <c r="F102" s="339">
        <f>+H96</f>
        <v>0</v>
      </c>
      <c r="G102" s="568">
        <f>-F96*0.5</f>
        <v>0</v>
      </c>
      <c r="H102" s="339">
        <f t="shared" ref="H102:H103" si="19">+F102+G102</f>
        <v>0</v>
      </c>
      <c r="I102" s="212"/>
    </row>
    <row r="103" spans="1:13" s="167" customFormat="1" x14ac:dyDescent="0.2">
      <c r="A103" s="1251">
        <v>2022</v>
      </c>
      <c r="B103" s="1252"/>
      <c r="C103" s="1252"/>
      <c r="D103" s="1253"/>
      <c r="E103" s="341"/>
      <c r="F103" s="339">
        <f>+H24+H25</f>
        <v>0</v>
      </c>
      <c r="G103" s="568">
        <f t="shared" ref="G103" si="20">-F103*0.5</f>
        <v>0</v>
      </c>
      <c r="H103" s="339">
        <f t="shared" si="19"/>
        <v>0</v>
      </c>
      <c r="I103" s="212"/>
    </row>
    <row r="104" spans="1:13" s="281" customFormat="1" x14ac:dyDescent="0.2">
      <c r="A104" s="847"/>
      <c r="B104" s="847"/>
      <c r="C104" s="847"/>
      <c r="D104" s="847"/>
      <c r="E104" s="847"/>
      <c r="F104" s="849">
        <f>SUM(F102:F103)</f>
        <v>0</v>
      </c>
      <c r="G104" s="856">
        <f>SUM(G102:G103)</f>
        <v>0</v>
      </c>
      <c r="H104" s="849">
        <f>SUM(H102:H103)</f>
        <v>0</v>
      </c>
    </row>
    <row r="105" spans="1:13" x14ac:dyDescent="0.2">
      <c r="A105" s="167"/>
      <c r="B105" s="167"/>
      <c r="C105" s="167"/>
      <c r="D105" s="167"/>
      <c r="E105" s="167"/>
      <c r="F105" s="167"/>
      <c r="G105" s="167"/>
      <c r="H105" s="167"/>
      <c r="I105" s="167"/>
      <c r="J105" s="167"/>
      <c r="K105" s="209"/>
      <c r="L105" s="167"/>
    </row>
    <row r="106" spans="1:13" x14ac:dyDescent="0.2">
      <c r="A106" s="167"/>
      <c r="B106" s="167"/>
      <c r="C106" s="167"/>
      <c r="D106" s="167"/>
      <c r="E106" s="167"/>
      <c r="F106" s="167"/>
      <c r="G106" s="167"/>
      <c r="H106" s="167"/>
      <c r="I106" s="167"/>
      <c r="J106" s="167"/>
      <c r="K106" s="167"/>
      <c r="L106" s="209"/>
      <c r="M106" s="167"/>
    </row>
    <row r="107" spans="1:13" x14ac:dyDescent="0.2">
      <c r="A107" s="281" t="s">
        <v>174</v>
      </c>
      <c r="B107" s="224"/>
      <c r="C107" s="224"/>
      <c r="D107" s="224"/>
      <c r="E107" s="167"/>
      <c r="F107" s="167"/>
      <c r="G107" s="167"/>
      <c r="H107" s="167"/>
      <c r="I107" s="167"/>
      <c r="J107" s="167"/>
      <c r="K107" s="167"/>
      <c r="L107" s="209"/>
      <c r="M107" s="167"/>
    </row>
    <row r="108" spans="1:13" x14ac:dyDescent="0.2">
      <c r="A108" s="281"/>
      <c r="B108" s="224"/>
      <c r="C108" s="224"/>
      <c r="D108" s="224"/>
      <c r="E108" s="167"/>
      <c r="F108" s="167"/>
      <c r="G108" s="167"/>
      <c r="H108" s="167"/>
      <c r="I108" s="167"/>
      <c r="J108" s="167"/>
      <c r="K108" s="167"/>
      <c r="L108" s="209"/>
      <c r="M108" s="167"/>
    </row>
    <row r="109" spans="1:13" x14ac:dyDescent="0.2">
      <c r="A109" s="283">
        <v>2021</v>
      </c>
      <c r="B109" s="287">
        <f>+G81</f>
        <v>0</v>
      </c>
      <c r="C109" s="224"/>
      <c r="D109" s="224"/>
      <c r="E109" s="167"/>
      <c r="F109" s="167"/>
      <c r="G109" s="167"/>
      <c r="H109" s="167"/>
      <c r="I109" s="167"/>
      <c r="J109" s="167"/>
      <c r="K109" s="167"/>
      <c r="L109" s="209"/>
      <c r="M109" s="167"/>
    </row>
    <row r="110" spans="1:13" x14ac:dyDescent="0.2">
      <c r="A110" s="341">
        <v>2022</v>
      </c>
      <c r="B110" s="342">
        <f>+G90</f>
        <v>0</v>
      </c>
      <c r="C110" s="224"/>
      <c r="D110" s="224"/>
      <c r="E110" s="167"/>
      <c r="F110" s="167"/>
      <c r="G110" s="167"/>
      <c r="H110" s="167"/>
      <c r="I110" s="167"/>
      <c r="J110" s="167"/>
      <c r="K110" s="167"/>
      <c r="L110" s="209"/>
      <c r="M110" s="167"/>
    </row>
    <row r="111" spans="1:13" x14ac:dyDescent="0.2">
      <c r="A111" s="341">
        <v>2023</v>
      </c>
      <c r="B111" s="342">
        <f>+G97</f>
        <v>0</v>
      </c>
    </row>
    <row r="112" spans="1:13" x14ac:dyDescent="0.2">
      <c r="A112" s="341">
        <v>2024</v>
      </c>
      <c r="B112" s="342">
        <f>+G104</f>
        <v>0</v>
      </c>
    </row>
  </sheetData>
  <sheetProtection algorithmName="SHA-512" hashValue="QMmPhzxG3QIPg6MozHGKung6DHvsDWaVcwwcpPE5UMjvmxQzAEayl7mDyutauQ1AqcomjrSgS0OzAOMSpWxG4Q==" saltValue="pG1ua4JNiCNfRbAaQVIfvg==" spinCount="100000" sheet="1" objects="1" scenarios="1"/>
  <mergeCells count="32">
    <mergeCell ref="C6:J6"/>
    <mergeCell ref="C17:J17"/>
    <mergeCell ref="A1:L1"/>
    <mergeCell ref="A71:D71"/>
    <mergeCell ref="A13:N13"/>
    <mergeCell ref="A4:N4"/>
    <mergeCell ref="A72:D72"/>
    <mergeCell ref="A51:A58"/>
    <mergeCell ref="A18:B18"/>
    <mergeCell ref="A19:A27"/>
    <mergeCell ref="C32:J32"/>
    <mergeCell ref="A66:D66"/>
    <mergeCell ref="A70:D70"/>
    <mergeCell ref="A34:A42"/>
    <mergeCell ref="C49:J49"/>
    <mergeCell ref="A45:N45"/>
    <mergeCell ref="A61:N61"/>
    <mergeCell ref="A65:D65"/>
    <mergeCell ref="A80:D80"/>
    <mergeCell ref="A85:D85"/>
    <mergeCell ref="A77:D77"/>
    <mergeCell ref="A78:D78"/>
    <mergeCell ref="A79:D79"/>
    <mergeCell ref="A96:D96"/>
    <mergeCell ref="A101:D101"/>
    <mergeCell ref="A102:D102"/>
    <mergeCell ref="A103:D103"/>
    <mergeCell ref="A87:D87"/>
    <mergeCell ref="A88:D88"/>
    <mergeCell ref="A89:D89"/>
    <mergeCell ref="A94:D94"/>
    <mergeCell ref="A95:D95"/>
  </mergeCells>
  <pageMargins left="0.78740157480314965" right="0.78740157480314965" top="0.98425196850393704" bottom="0.98425196850393704" header="0.51181102362204722" footer="0.51181102362204722"/>
  <pageSetup paperSize="8" scale="92" orientation="landscape" r:id="rId1"/>
  <headerFooter alignWithMargins="0">
    <oddFooter>&amp;CPage &amp;P</oddFooter>
  </headerFooter>
  <ignoredErrors>
    <ignoredError sqref="L33 N33"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445D0-196C-44C7-8439-7ABE89B5AFED}">
  <sheetPr codeName="Blad19">
    <pageSetUpPr fitToPage="1"/>
  </sheetPr>
  <dimension ref="A1:M71"/>
  <sheetViews>
    <sheetView zoomScale="80" zoomScaleNormal="80" zoomScaleSheetLayoutView="80" workbookViewId="0">
      <selection activeCell="H25" sqref="H25"/>
    </sheetView>
  </sheetViews>
  <sheetFormatPr defaultColWidth="11.42578125" defaultRowHeight="12.75" x14ac:dyDescent="0.2"/>
  <cols>
    <col min="1" max="1" width="25.42578125" style="178" customWidth="1"/>
    <col min="2" max="2" width="14.28515625" style="178" customWidth="1"/>
    <col min="3" max="8" width="20.7109375" style="178" customWidth="1"/>
    <col min="9" max="9" width="20.28515625" style="178" customWidth="1"/>
    <col min="10" max="10" width="20.7109375" style="178" customWidth="1"/>
    <col min="11" max="11" width="28.7109375" style="178" bestFit="1" customWidth="1"/>
    <col min="12" max="12" width="14" style="178" customWidth="1"/>
    <col min="13" max="13" width="29.140625" style="178" customWidth="1"/>
    <col min="14" max="14" width="12.28515625" style="178" bestFit="1" customWidth="1"/>
    <col min="15" max="16384" width="11.42578125" style="178"/>
  </cols>
  <sheetData>
    <row r="1" spans="1:11" ht="21.75" customHeight="1" thickBot="1" x14ac:dyDescent="0.25">
      <c r="A1" s="1294" t="s">
        <v>286</v>
      </c>
      <c r="B1" s="1295"/>
      <c r="C1" s="1295"/>
      <c r="D1" s="1295"/>
      <c r="E1" s="1295"/>
      <c r="F1" s="1295"/>
      <c r="G1" s="1295"/>
      <c r="H1" s="1296"/>
      <c r="I1" s="220"/>
      <c r="J1" s="167"/>
      <c r="K1" s="229"/>
    </row>
    <row r="2" spans="1:11" x14ac:dyDescent="0.2">
      <c r="A2" s="233"/>
      <c r="B2" s="233"/>
      <c r="C2" s="233"/>
      <c r="D2" s="233"/>
      <c r="E2" s="233"/>
      <c r="F2" s="233"/>
      <c r="G2" s="233"/>
      <c r="H2" s="233"/>
      <c r="I2" s="220"/>
      <c r="J2" s="167"/>
      <c r="K2" s="233"/>
    </row>
    <row r="3" spans="1:11" ht="13.5" thickBot="1" x14ac:dyDescent="0.25">
      <c r="A3" s="233"/>
      <c r="B3" s="233"/>
      <c r="C3" s="233"/>
      <c r="D3" s="233"/>
      <c r="E3" s="233"/>
      <c r="F3" s="233"/>
      <c r="G3" s="233"/>
      <c r="H3" s="233"/>
      <c r="I3" s="220"/>
      <c r="J3" s="167"/>
      <c r="K3" s="233"/>
    </row>
    <row r="4" spans="1:11" ht="20.100000000000001" customHeight="1" thickBot="1" x14ac:dyDescent="0.25">
      <c r="A4" s="1224" t="s">
        <v>287</v>
      </c>
      <c r="B4" s="1225"/>
      <c r="C4" s="1225"/>
      <c r="D4" s="1225"/>
      <c r="E4" s="1225"/>
      <c r="F4" s="1225"/>
      <c r="G4" s="1225"/>
      <c r="H4" s="1225"/>
      <c r="I4" s="1225"/>
      <c r="J4" s="1226"/>
    </row>
    <row r="5" spans="1:11" ht="13.5" thickBot="1" x14ac:dyDescent="0.25"/>
    <row r="6" spans="1:11" ht="17.25" thickBot="1" x14ac:dyDescent="0.25">
      <c r="C6" s="1227"/>
      <c r="D6" s="1228"/>
      <c r="E6" s="1228"/>
      <c r="F6" s="1229"/>
    </row>
    <row r="7" spans="1:11" ht="13.5" thickBot="1" x14ac:dyDescent="0.25">
      <c r="C7" s="335">
        <v>2021</v>
      </c>
      <c r="D7" s="850">
        <f t="shared" ref="D7:F7" si="0">+C7+1</f>
        <v>2022</v>
      </c>
      <c r="E7" s="850">
        <f t="shared" si="0"/>
        <v>2023</v>
      </c>
      <c r="F7" s="850">
        <f t="shared" si="0"/>
        <v>2024</v>
      </c>
    </row>
    <row r="8" spans="1:11" x14ac:dyDescent="0.2">
      <c r="C8" s="986">
        <v>0</v>
      </c>
      <c r="D8" s="851">
        <v>0</v>
      </c>
      <c r="E8" s="851">
        <v>0</v>
      </c>
      <c r="F8" s="851">
        <v>0</v>
      </c>
    </row>
    <row r="9" spans="1:11" x14ac:dyDescent="0.2">
      <c r="F9" s="242"/>
    </row>
    <row r="10" spans="1:11" x14ac:dyDescent="0.2">
      <c r="B10" s="1038" t="str">
        <f>'T9 - Overzicht'!B6&amp;":"</f>
        <v>2021:</v>
      </c>
      <c r="C10" s="1039">
        <f>+IF('T9 - Overzicht'!C6="ex-ante",0,IF('T9 - Overzicht'!C6="ex-post",'T9 - Overzicht'!C38,"FOUT"))</f>
        <v>0</v>
      </c>
    </row>
    <row r="12" spans="1:11" ht="13.5" thickBot="1" x14ac:dyDescent="0.25"/>
    <row r="13" spans="1:11" ht="20.25" customHeight="1" thickBot="1" x14ac:dyDescent="0.25">
      <c r="A13" s="1224" t="s">
        <v>18</v>
      </c>
      <c r="B13" s="1225"/>
      <c r="C13" s="1225"/>
      <c r="D13" s="1225"/>
      <c r="E13" s="1225"/>
      <c r="F13" s="1225"/>
      <c r="G13" s="1225"/>
      <c r="H13" s="1225"/>
      <c r="I13" s="1225"/>
      <c r="J13" s="1226"/>
    </row>
    <row r="17" spans="1:11" ht="16.5" x14ac:dyDescent="0.2">
      <c r="C17" s="1244" t="s">
        <v>19</v>
      </c>
      <c r="D17" s="1245"/>
      <c r="E17" s="1245"/>
      <c r="F17" s="1246"/>
      <c r="H17" s="245" t="s">
        <v>20</v>
      </c>
    </row>
    <row r="18" spans="1:11" ht="13.5" thickBot="1" x14ac:dyDescent="0.25">
      <c r="A18" s="1247"/>
      <c r="B18" s="1247"/>
      <c r="C18" s="247">
        <f t="shared" ref="C18:E18" si="1">C7</f>
        <v>2021</v>
      </c>
      <c r="D18" s="809">
        <f t="shared" si="1"/>
        <v>2022</v>
      </c>
      <c r="E18" s="809">
        <f t="shared" si="1"/>
        <v>2023</v>
      </c>
      <c r="F18" s="809">
        <f>F7</f>
        <v>2024</v>
      </c>
      <c r="H18" s="248"/>
    </row>
    <row r="19" spans="1:11" ht="13.5" thickBot="1" x14ac:dyDescent="0.25">
      <c r="A19" s="1360" t="s">
        <v>288</v>
      </c>
      <c r="B19" s="290">
        <f>+C7</f>
        <v>2021</v>
      </c>
      <c r="C19" s="1040">
        <v>0</v>
      </c>
      <c r="D19" s="815"/>
      <c r="E19" s="815"/>
      <c r="F19" s="813"/>
      <c r="G19" s="252"/>
      <c r="H19" s="253">
        <f>SUM(C19:F19)</f>
        <v>0</v>
      </c>
    </row>
    <row r="20" spans="1:11" ht="13.5" thickBot="1" x14ac:dyDescent="0.25">
      <c r="A20" s="1361"/>
      <c r="B20" s="825">
        <f>+D7</f>
        <v>2022</v>
      </c>
      <c r="C20" s="867">
        <f>+C$8-C19</f>
        <v>0</v>
      </c>
      <c r="D20" s="861">
        <v>0</v>
      </c>
      <c r="E20" s="815"/>
      <c r="F20" s="813"/>
      <c r="G20" s="826"/>
      <c r="H20" s="827">
        <f>SUM(C20:F20)</f>
        <v>0</v>
      </c>
    </row>
    <row r="21" spans="1:11" ht="13.5" thickBot="1" x14ac:dyDescent="0.25">
      <c r="A21" s="1361"/>
      <c r="B21" s="825">
        <f>+E7</f>
        <v>2023</v>
      </c>
      <c r="C21" s="815"/>
      <c r="D21" s="852">
        <f>+D$8-D20</f>
        <v>0</v>
      </c>
      <c r="E21" s="861">
        <v>0</v>
      </c>
      <c r="F21" s="813"/>
      <c r="G21" s="826"/>
      <c r="H21" s="827">
        <f>SUM(C21:F21)</f>
        <v>0</v>
      </c>
    </row>
    <row r="22" spans="1:11" ht="13.5" thickBot="1" x14ac:dyDescent="0.25">
      <c r="A22" s="1361"/>
      <c r="B22" s="825">
        <f>F7</f>
        <v>2024</v>
      </c>
      <c r="C22" s="815"/>
      <c r="D22" s="815"/>
      <c r="E22" s="852">
        <f>+E$8-E21</f>
        <v>0</v>
      </c>
      <c r="F22" s="862">
        <v>0</v>
      </c>
      <c r="G22" s="826"/>
      <c r="H22" s="827">
        <f>SUM(C22:F22)</f>
        <v>0</v>
      </c>
    </row>
    <row r="23" spans="1:11" s="264" customFormat="1" ht="15.75" x14ac:dyDescent="0.2">
      <c r="A23" s="1362"/>
      <c r="B23" s="578" t="s">
        <v>22</v>
      </c>
      <c r="C23" s="577">
        <f>SUM(C19:C22)</f>
        <v>0</v>
      </c>
      <c r="D23" s="816">
        <f>SUM(D19:D22)</f>
        <v>0</v>
      </c>
      <c r="E23" s="816">
        <f>SUM(E19:E22)</f>
        <v>0</v>
      </c>
      <c r="F23" s="863">
        <f>SUM(F19:F22)</f>
        <v>0</v>
      </c>
      <c r="G23" s="262"/>
      <c r="H23" s="263">
        <f>SUM(H19:H22)</f>
        <v>0</v>
      </c>
    </row>
    <row r="24" spans="1:11" s="243" customFormat="1" x14ac:dyDescent="0.2">
      <c r="A24" s="266" t="s">
        <v>34</v>
      </c>
      <c r="C24" s="267">
        <f>+C23+C34</f>
        <v>0</v>
      </c>
      <c r="D24" s="818">
        <f>+D23+D34</f>
        <v>0</v>
      </c>
      <c r="E24" s="818">
        <f>+E23+E34</f>
        <v>0</v>
      </c>
      <c r="F24" s="818">
        <f>+F23+F34</f>
        <v>0</v>
      </c>
      <c r="G24" s="267"/>
      <c r="H24" s="267">
        <f>+H23+H34</f>
        <v>0</v>
      </c>
      <c r="I24" s="267"/>
    </row>
    <row r="25" spans="1:11" s="243" customFormat="1" x14ac:dyDescent="0.2">
      <c r="C25" s="267"/>
      <c r="D25" s="267"/>
      <c r="E25" s="267"/>
      <c r="F25" s="267"/>
    </row>
    <row r="26" spans="1:11" s="243" customFormat="1" x14ac:dyDescent="0.2">
      <c r="C26" s="267"/>
      <c r="D26" s="267"/>
      <c r="E26" s="267"/>
      <c r="F26" s="267"/>
      <c r="G26" s="267"/>
      <c r="H26" s="267"/>
    </row>
    <row r="28" spans="1:11" ht="16.5" x14ac:dyDescent="0.2">
      <c r="C28" s="1244" t="s">
        <v>19</v>
      </c>
      <c r="D28" s="1245"/>
      <c r="E28" s="1245"/>
      <c r="F28" s="1246"/>
      <c r="H28" s="245" t="s">
        <v>20</v>
      </c>
      <c r="J28" s="245" t="s">
        <v>20</v>
      </c>
    </row>
    <row r="29" spans="1:11" x14ac:dyDescent="0.2">
      <c r="C29" s="247">
        <f>+C18</f>
        <v>2021</v>
      </c>
      <c r="D29" s="809">
        <f>+D18</f>
        <v>2022</v>
      </c>
      <c r="E29" s="809">
        <f>+E18</f>
        <v>2023</v>
      </c>
      <c r="F29" s="809">
        <f>+F18</f>
        <v>2024</v>
      </c>
      <c r="H29" s="248" t="s">
        <v>23</v>
      </c>
      <c r="J29" s="248" t="s">
        <v>24</v>
      </c>
    </row>
    <row r="30" spans="1:11" ht="12.75" customHeight="1" x14ac:dyDescent="0.2">
      <c r="A30" s="1363" t="s">
        <v>289</v>
      </c>
      <c r="B30" s="273">
        <f>+B19</f>
        <v>2021</v>
      </c>
      <c r="C30" s="270"/>
      <c r="D30" s="819"/>
      <c r="E30" s="819"/>
      <c r="F30" s="821"/>
      <c r="G30" s="252"/>
      <c r="H30" s="253">
        <f>SUM(C30:F30)</f>
        <v>0</v>
      </c>
      <c r="I30" s="252"/>
      <c r="J30" s="272">
        <f>SUM(H19,H30)</f>
        <v>0</v>
      </c>
      <c r="K30" s="179"/>
    </row>
    <row r="31" spans="1:11" ht="12.75" customHeight="1" x14ac:dyDescent="0.2">
      <c r="A31" s="1361"/>
      <c r="B31" s="875">
        <f>+B20</f>
        <v>2022</v>
      </c>
      <c r="C31" s="819"/>
      <c r="D31" s="819"/>
      <c r="E31" s="819"/>
      <c r="F31" s="821"/>
      <c r="G31" s="826"/>
      <c r="H31" s="827">
        <f>SUM(C31:F31)</f>
        <v>0</v>
      </c>
      <c r="I31" s="252"/>
      <c r="J31" s="272">
        <f>SUM(H20,H31)</f>
        <v>0</v>
      </c>
    </row>
    <row r="32" spans="1:11" ht="12.75" customHeight="1" x14ac:dyDescent="0.2">
      <c r="A32" s="1361"/>
      <c r="B32" s="875">
        <f>+B21</f>
        <v>2023</v>
      </c>
      <c r="C32" s="565">
        <f>+G55</f>
        <v>0</v>
      </c>
      <c r="D32" s="819"/>
      <c r="E32" s="819"/>
      <c r="F32" s="821"/>
      <c r="G32" s="826"/>
      <c r="H32" s="827">
        <f>SUM(C32:F32)</f>
        <v>0</v>
      </c>
      <c r="I32" s="252"/>
      <c r="J32" s="272">
        <f>SUM(H21,H32)</f>
        <v>0</v>
      </c>
      <c r="K32" s="244" t="s">
        <v>27</v>
      </c>
    </row>
    <row r="33" spans="1:11" ht="12.75" customHeight="1" x14ac:dyDescent="0.2">
      <c r="A33" s="1361"/>
      <c r="B33" s="875">
        <f>+B22</f>
        <v>2024</v>
      </c>
      <c r="C33" s="565">
        <f>+G61</f>
        <v>0</v>
      </c>
      <c r="D33" s="565">
        <f>+G62</f>
        <v>0</v>
      </c>
      <c r="E33" s="819"/>
      <c r="F33" s="821"/>
      <c r="G33" s="826"/>
      <c r="H33" s="827">
        <f>SUM(C33:F33)</f>
        <v>0</v>
      </c>
      <c r="I33" s="252"/>
      <c r="J33" s="272">
        <f>SUM(H22,H33)</f>
        <v>0</v>
      </c>
      <c r="K33" s="244"/>
    </row>
    <row r="34" spans="1:11" s="264" customFormat="1" ht="16.5" customHeight="1" x14ac:dyDescent="0.2">
      <c r="A34" s="1362"/>
      <c r="B34" s="331" t="s">
        <v>22</v>
      </c>
      <c r="C34" s="275">
        <f>SUM(C30:C33)</f>
        <v>0</v>
      </c>
      <c r="D34" s="865">
        <f>SUM(D30:D33)</f>
        <v>0</v>
      </c>
      <c r="E34" s="865">
        <f>SUM(E30:E33)</f>
        <v>0</v>
      </c>
      <c r="F34" s="865">
        <f>SUM(F30:F33)</f>
        <v>0</v>
      </c>
      <c r="G34" s="252"/>
      <c r="H34" s="263">
        <f>SUM(H30:H33)</f>
        <v>0</v>
      </c>
      <c r="I34" s="262"/>
      <c r="J34" s="263">
        <f>SUM(J30:J33)</f>
        <v>0</v>
      </c>
    </row>
    <row r="35" spans="1:11" x14ac:dyDescent="0.2">
      <c r="G35" s="252"/>
    </row>
    <row r="36" spans="1:11" ht="13.5" thickBot="1" x14ac:dyDescent="0.25">
      <c r="G36" s="252"/>
    </row>
    <row r="37" spans="1:11" ht="21.75" customHeight="1" thickBot="1" x14ac:dyDescent="0.25">
      <c r="A37" s="1224" t="s">
        <v>175</v>
      </c>
      <c r="B37" s="1225"/>
      <c r="C37" s="1225"/>
      <c r="D37" s="1225"/>
      <c r="E37" s="1225"/>
      <c r="F37" s="1225"/>
      <c r="G37" s="1225"/>
      <c r="H37" s="1225"/>
      <c r="I37" s="1225"/>
      <c r="J37" s="1226"/>
    </row>
    <row r="41" spans="1:11" ht="16.5" x14ac:dyDescent="0.2">
      <c r="C41" s="1244" t="s">
        <v>19</v>
      </c>
      <c r="D41" s="1245"/>
      <c r="E41" s="1245"/>
      <c r="F41" s="1246"/>
    </row>
    <row r="42" spans="1:11" x14ac:dyDescent="0.2">
      <c r="C42" s="247">
        <f>+C29</f>
        <v>2021</v>
      </c>
      <c r="D42" s="809">
        <f>+D29</f>
        <v>2022</v>
      </c>
      <c r="E42" s="809">
        <f>+E29</f>
        <v>2023</v>
      </c>
      <c r="F42" s="809">
        <f>+F29</f>
        <v>2024</v>
      </c>
      <c r="H42" s="93" t="s">
        <v>20</v>
      </c>
    </row>
    <row r="43" spans="1:11" ht="13.5" customHeight="1" x14ac:dyDescent="0.2">
      <c r="A43" s="1360" t="s">
        <v>374</v>
      </c>
      <c r="B43" s="247">
        <f t="shared" ref="B43:B46" si="2">+B30</f>
        <v>2021</v>
      </c>
      <c r="C43" s="255">
        <f>+C19</f>
        <v>0</v>
      </c>
      <c r="D43" s="819"/>
      <c r="E43" s="819"/>
      <c r="F43" s="824"/>
      <c r="H43" s="278">
        <f>SUM(C43:F43)</f>
        <v>0</v>
      </c>
    </row>
    <row r="44" spans="1:11" ht="13.5" customHeight="1" x14ac:dyDescent="0.2">
      <c r="A44" s="1361"/>
      <c r="B44" s="809">
        <f t="shared" si="2"/>
        <v>2022</v>
      </c>
      <c r="C44" s="565">
        <f>+C43+C31+C20</f>
        <v>0</v>
      </c>
      <c r="D44" s="565">
        <f>+D20</f>
        <v>0</v>
      </c>
      <c r="E44" s="819"/>
      <c r="F44" s="824"/>
      <c r="G44" s="830"/>
      <c r="H44" s="831">
        <f>SUM(C44:F44)</f>
        <v>0</v>
      </c>
    </row>
    <row r="45" spans="1:11" ht="13.5" customHeight="1" x14ac:dyDescent="0.2">
      <c r="A45" s="1361"/>
      <c r="B45" s="809">
        <f t="shared" si="2"/>
        <v>2023</v>
      </c>
      <c r="C45" s="565">
        <f>+C44+C32+C21</f>
        <v>0</v>
      </c>
      <c r="D45" s="565">
        <f>+D44+D32+D21</f>
        <v>0</v>
      </c>
      <c r="E45" s="565">
        <f>+E21</f>
        <v>0</v>
      </c>
      <c r="F45" s="821"/>
      <c r="G45" s="830"/>
      <c r="H45" s="831">
        <f>SUM(C45:F45)</f>
        <v>0</v>
      </c>
    </row>
    <row r="46" spans="1:11" ht="13.5" customHeight="1" x14ac:dyDescent="0.2">
      <c r="A46" s="1362"/>
      <c r="B46" s="809">
        <f t="shared" si="2"/>
        <v>2024</v>
      </c>
      <c r="C46" s="565">
        <f>+C45+C33+C22</f>
        <v>0</v>
      </c>
      <c r="D46" s="565">
        <f>+D45+D33+D22</f>
        <v>0</v>
      </c>
      <c r="E46" s="565">
        <f>+E45+E33+E22</f>
        <v>0</v>
      </c>
      <c r="F46" s="565">
        <f>+F22</f>
        <v>0</v>
      </c>
      <c r="G46" s="830"/>
      <c r="H46" s="831">
        <f>SUM(C46:F46)</f>
        <v>0</v>
      </c>
    </row>
    <row r="48" spans="1:11" ht="13.5" thickBot="1" x14ac:dyDescent="0.25"/>
    <row r="49" spans="1:13" ht="20.25" customHeight="1" thickBot="1" x14ac:dyDescent="0.25">
      <c r="A49" s="1224" t="s">
        <v>176</v>
      </c>
      <c r="B49" s="1225"/>
      <c r="C49" s="1225"/>
      <c r="D49" s="1225"/>
      <c r="E49" s="1225"/>
      <c r="F49" s="1225"/>
      <c r="G49" s="1225"/>
      <c r="H49" s="1225"/>
      <c r="I49" s="1225"/>
      <c r="J49" s="1226"/>
    </row>
    <row r="50" spans="1:13" x14ac:dyDescent="0.2">
      <c r="A50" s="167"/>
      <c r="B50" s="167"/>
      <c r="C50" s="167"/>
      <c r="D50" s="167"/>
      <c r="E50" s="167"/>
      <c r="F50" s="167"/>
      <c r="G50" s="167"/>
      <c r="H50" s="167"/>
      <c r="I50" s="167"/>
      <c r="J50" s="167"/>
      <c r="K50" s="167"/>
      <c r="L50" s="212"/>
      <c r="M50" s="167"/>
    </row>
    <row r="51" spans="1:13" s="167" customFormat="1" x14ac:dyDescent="0.2">
      <c r="G51" s="221"/>
    </row>
    <row r="52" spans="1:13" s="167" customFormat="1" x14ac:dyDescent="0.2">
      <c r="A52" s="847" t="s">
        <v>172</v>
      </c>
      <c r="B52" s="842"/>
      <c r="C52" s="842"/>
      <c r="D52" s="842"/>
      <c r="E52" s="1004">
        <v>2023</v>
      </c>
      <c r="F52" s="842"/>
      <c r="G52" s="855"/>
      <c r="H52" s="842"/>
    </row>
    <row r="53" spans="1:13" s="167" customFormat="1" x14ac:dyDescent="0.2">
      <c r="A53" s="842"/>
      <c r="B53" s="842"/>
      <c r="C53" s="842"/>
      <c r="D53" s="842"/>
      <c r="E53" s="842"/>
      <c r="F53" s="842"/>
      <c r="G53" s="855"/>
      <c r="H53" s="842"/>
    </row>
    <row r="54" spans="1:13" s="167" customFormat="1" ht="107.1" customHeight="1" x14ac:dyDescent="0.2">
      <c r="A54" s="1254" t="s">
        <v>173</v>
      </c>
      <c r="B54" s="1255"/>
      <c r="C54" s="1255"/>
      <c r="D54" s="1256"/>
      <c r="E54" s="848"/>
      <c r="F54" s="837" t="str">
        <f>"Nog af te bouwen regulatoir saldo einde "&amp;E52-1</f>
        <v>Nog af te bouwen regulatoir saldo einde 2022</v>
      </c>
      <c r="G54" s="837" t="str">
        <f>"50% van het regulatoir saldo door te rekenen volgens de tariefmethodologie in het boekjaar "&amp;E52</f>
        <v>50% van het regulatoir saldo door te rekenen volgens de tariefmethodologie in het boekjaar 2023</v>
      </c>
      <c r="H54" s="837" t="str">
        <f>"Nog af te bouwen regulatoir saldo einde "&amp;E52</f>
        <v>Nog af te bouwen regulatoir saldo einde 2023</v>
      </c>
      <c r="I54" s="212"/>
    </row>
    <row r="55" spans="1:13" s="167" customFormat="1" x14ac:dyDescent="0.2">
      <c r="A55" s="1251">
        <v>2021</v>
      </c>
      <c r="B55" s="1252"/>
      <c r="C55" s="1252"/>
      <c r="D55" s="1253"/>
      <c r="E55" s="341"/>
      <c r="F55" s="339">
        <f>+C19+C20</f>
        <v>0</v>
      </c>
      <c r="G55" s="568">
        <f t="shared" ref="G55" si="3">-F55*0.5</f>
        <v>0</v>
      </c>
      <c r="H55" s="339">
        <f t="shared" ref="H55" si="4">+F55+G55</f>
        <v>0</v>
      </c>
      <c r="I55" s="212"/>
    </row>
    <row r="56" spans="1:13" s="281" customFormat="1" x14ac:dyDescent="0.2">
      <c r="A56" s="847"/>
      <c r="B56" s="847"/>
      <c r="C56" s="847"/>
      <c r="D56" s="847"/>
      <c r="E56" s="847"/>
      <c r="F56" s="849">
        <f>SUM(F55:F55)</f>
        <v>0</v>
      </c>
      <c r="G56" s="856">
        <f>SUM(G55:G55)</f>
        <v>0</v>
      </c>
      <c r="H56" s="849">
        <f>SUM(H55:H55)</f>
        <v>0</v>
      </c>
    </row>
    <row r="57" spans="1:13" s="167" customFormat="1" x14ac:dyDescent="0.2">
      <c r="A57" s="842"/>
      <c r="B57" s="842"/>
      <c r="C57" s="842"/>
      <c r="D57" s="842"/>
      <c r="E57" s="842"/>
      <c r="F57" s="842"/>
      <c r="G57" s="855"/>
      <c r="H57" s="842"/>
    </row>
    <row r="58" spans="1:13" s="167" customFormat="1" x14ac:dyDescent="0.2">
      <c r="A58" s="847" t="s">
        <v>172</v>
      </c>
      <c r="B58" s="842"/>
      <c r="C58" s="842"/>
      <c r="D58" s="842"/>
      <c r="E58" s="1004">
        <v>2024</v>
      </c>
      <c r="F58" s="842"/>
      <c r="G58" s="855"/>
      <c r="H58" s="842"/>
    </row>
    <row r="59" spans="1:13" s="167" customFormat="1" x14ac:dyDescent="0.2">
      <c r="A59" s="842"/>
      <c r="B59" s="842"/>
      <c r="C59" s="842"/>
      <c r="D59" s="842"/>
      <c r="E59" s="842"/>
      <c r="F59" s="842"/>
      <c r="G59" s="855"/>
      <c r="H59" s="842"/>
    </row>
    <row r="60" spans="1:13" s="167" customFormat="1" ht="107.1" customHeight="1" x14ac:dyDescent="0.2">
      <c r="A60" s="1254" t="s">
        <v>173</v>
      </c>
      <c r="B60" s="1255"/>
      <c r="C60" s="1255"/>
      <c r="D60" s="1256"/>
      <c r="E60" s="848"/>
      <c r="F60" s="837" t="str">
        <f>"Nog af te bouwen regulatoir saldo einde "&amp;E58-1</f>
        <v>Nog af te bouwen regulatoir saldo einde 2023</v>
      </c>
      <c r="G60" s="837" t="str">
        <f>"50% van het regulatoir saldo door te rekenen volgens de tariefmethodologie in het boekjaar "&amp;E58</f>
        <v>50% van het regulatoir saldo door te rekenen volgens de tariefmethodologie in het boekjaar 2024</v>
      </c>
      <c r="H60" s="837" t="str">
        <f>"Nog af te bouwen regulatoir saldo einde "&amp;E58</f>
        <v>Nog af te bouwen regulatoir saldo einde 2024</v>
      </c>
      <c r="I60" s="212"/>
    </row>
    <row r="61" spans="1:13" s="167" customFormat="1" x14ac:dyDescent="0.2">
      <c r="A61" s="1251">
        <v>2021</v>
      </c>
      <c r="B61" s="1252"/>
      <c r="C61" s="1252"/>
      <c r="D61" s="1253"/>
      <c r="E61" s="341"/>
      <c r="F61" s="339">
        <f>+H55</f>
        <v>0</v>
      </c>
      <c r="G61" s="568">
        <f>-F55*0.5</f>
        <v>0</v>
      </c>
      <c r="H61" s="339">
        <f t="shared" ref="H61:H62" si="5">+F61+G61</f>
        <v>0</v>
      </c>
      <c r="I61" s="212"/>
    </row>
    <row r="62" spans="1:13" s="167" customFormat="1" x14ac:dyDescent="0.2">
      <c r="A62" s="1251">
        <v>2022</v>
      </c>
      <c r="B62" s="1252"/>
      <c r="C62" s="1252"/>
      <c r="D62" s="1253"/>
      <c r="E62" s="341"/>
      <c r="F62" s="339">
        <f>+D20+D21</f>
        <v>0</v>
      </c>
      <c r="G62" s="568">
        <f t="shared" ref="G62" si="6">-F62*0.5</f>
        <v>0</v>
      </c>
      <c r="H62" s="339">
        <f t="shared" si="5"/>
        <v>0</v>
      </c>
      <c r="I62" s="212"/>
    </row>
    <row r="63" spans="1:13" s="281" customFormat="1" x14ac:dyDescent="0.2">
      <c r="A63" s="847"/>
      <c r="B63" s="847"/>
      <c r="C63" s="847"/>
      <c r="D63" s="847"/>
      <c r="E63" s="847"/>
      <c r="F63" s="849">
        <f>SUM(F61:F62)</f>
        <v>0</v>
      </c>
      <c r="G63" s="856">
        <f>SUM(G61:G62)</f>
        <v>0</v>
      </c>
      <c r="H63" s="849">
        <f>SUM(H61:H62)</f>
        <v>0</v>
      </c>
    </row>
    <row r="64" spans="1:13" x14ac:dyDescent="0.2">
      <c r="A64" s="167"/>
      <c r="B64" s="167"/>
      <c r="C64" s="167"/>
      <c r="D64" s="167"/>
      <c r="E64" s="167"/>
      <c r="F64" s="167"/>
      <c r="G64" s="167"/>
      <c r="H64" s="167"/>
      <c r="I64" s="167"/>
      <c r="J64" s="167"/>
      <c r="K64" s="209"/>
      <c r="L64" s="167"/>
    </row>
    <row r="65" spans="1:13" x14ac:dyDescent="0.2">
      <c r="A65" s="167"/>
      <c r="B65" s="167"/>
      <c r="C65" s="167"/>
      <c r="D65" s="167"/>
      <c r="E65" s="167"/>
      <c r="F65" s="167"/>
      <c r="G65" s="167"/>
      <c r="H65" s="167"/>
      <c r="I65" s="167"/>
      <c r="J65" s="167"/>
      <c r="K65" s="167"/>
      <c r="L65" s="209"/>
      <c r="M65" s="167"/>
    </row>
    <row r="66" spans="1:13" x14ac:dyDescent="0.2">
      <c r="A66" s="281" t="s">
        <v>174</v>
      </c>
      <c r="B66" s="224"/>
      <c r="C66" s="224"/>
      <c r="D66" s="224"/>
      <c r="E66" s="167"/>
      <c r="F66" s="167"/>
      <c r="G66" s="167"/>
      <c r="H66" s="167"/>
      <c r="I66" s="167"/>
      <c r="J66" s="167"/>
      <c r="K66" s="167"/>
      <c r="L66" s="209"/>
      <c r="M66" s="167"/>
    </row>
    <row r="67" spans="1:13" x14ac:dyDescent="0.2">
      <c r="A67" s="281"/>
      <c r="B67" s="224"/>
      <c r="C67" s="224"/>
      <c r="D67" s="224"/>
      <c r="E67" s="167"/>
      <c r="F67" s="167"/>
      <c r="G67" s="167"/>
      <c r="H67" s="167"/>
      <c r="I67" s="167"/>
      <c r="J67" s="167"/>
      <c r="K67" s="167"/>
      <c r="L67" s="209"/>
      <c r="M67" s="167"/>
    </row>
    <row r="68" spans="1:13" x14ac:dyDescent="0.2">
      <c r="A68" s="341">
        <v>2021</v>
      </c>
      <c r="B68" s="342">
        <v>0</v>
      </c>
      <c r="C68" s="224"/>
      <c r="D68" s="224"/>
      <c r="E68" s="167"/>
      <c r="F68" s="167"/>
      <c r="G68" s="167"/>
      <c r="H68" s="167"/>
      <c r="I68" s="167"/>
      <c r="J68" s="167"/>
      <c r="K68" s="167"/>
      <c r="L68" s="209"/>
      <c r="M68" s="167"/>
    </row>
    <row r="69" spans="1:13" x14ac:dyDescent="0.2">
      <c r="A69" s="341">
        <v>2022</v>
      </c>
      <c r="B69" s="342">
        <v>0</v>
      </c>
      <c r="C69" s="224"/>
      <c r="D69" s="224"/>
      <c r="E69" s="167"/>
      <c r="F69" s="167"/>
      <c r="G69" s="167"/>
      <c r="H69" s="167"/>
      <c r="I69" s="167"/>
      <c r="J69" s="167"/>
      <c r="K69" s="167"/>
      <c r="L69" s="209"/>
      <c r="M69" s="167"/>
    </row>
    <row r="70" spans="1:13" x14ac:dyDescent="0.2">
      <c r="A70" s="341">
        <v>2023</v>
      </c>
      <c r="B70" s="342">
        <f>+G56</f>
        <v>0</v>
      </c>
    </row>
    <row r="71" spans="1:13" x14ac:dyDescent="0.2">
      <c r="A71" s="341">
        <v>2024</v>
      </c>
      <c r="B71" s="342">
        <f>+G63</f>
        <v>0</v>
      </c>
    </row>
  </sheetData>
  <sheetProtection algorithmName="SHA-512" hashValue="TVyUz9gBCklqXov4vEM3AcnU/Zj7K9UxP8NXLQbTKYTArsmi8evc/3IblE83cbyPGgNg4+azinRnEeEHSn6JCQ==" saltValue="Vi4WiPacPEsP54FexC7Btw==" spinCount="100000" sheet="1" objects="1" scenarios="1"/>
  <mergeCells count="18">
    <mergeCell ref="A1:H1"/>
    <mergeCell ref="C6:F6"/>
    <mergeCell ref="A13:J13"/>
    <mergeCell ref="C17:F17"/>
    <mergeCell ref="A18:B18"/>
    <mergeCell ref="A60:D60"/>
    <mergeCell ref="A61:D61"/>
    <mergeCell ref="A62:D62"/>
    <mergeCell ref="A4:J4"/>
    <mergeCell ref="A54:D54"/>
    <mergeCell ref="A55:D55"/>
    <mergeCell ref="A49:J49"/>
    <mergeCell ref="A19:A23"/>
    <mergeCell ref="C28:F28"/>
    <mergeCell ref="A30:A34"/>
    <mergeCell ref="A37:J37"/>
    <mergeCell ref="C41:F41"/>
    <mergeCell ref="A43:A46"/>
  </mergeCells>
  <pageMargins left="0.78740157480314965" right="0.78740157480314965" top="0.98425196850393704" bottom="0.98425196850393704" header="0.51181102362204722" footer="0.51181102362204722"/>
  <pageSetup paperSize="8" scale="92" orientation="landscape" r:id="rId1"/>
  <headerFooter alignWithMargins="0">
    <oddFooter>&amp;CPage &amp;P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AE8C5-4723-4A05-9272-3E6FCF1421D1}">
  <sheetPr published="0" codeName="Blad20">
    <tabColor theme="6" tint="0.59999389629810485"/>
  </sheetPr>
  <dimension ref="A1"/>
  <sheetViews>
    <sheetView workbookViewId="0">
      <selection activeCell="T40" sqref="T40"/>
    </sheetView>
  </sheetViews>
  <sheetFormatPr defaultColWidth="8.7109375" defaultRowHeight="12.75" x14ac:dyDescent="0.2"/>
  <cols>
    <col min="1" max="16384" width="8.7109375" style="199"/>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CBBED-FD5D-4537-A27C-775751CBFDB9}">
  <sheetPr published="0" codeName="Blad3">
    <tabColor theme="6" tint="0.59999389629810485"/>
  </sheetPr>
  <dimension ref="A1"/>
  <sheetViews>
    <sheetView workbookViewId="0">
      <selection activeCell="Q34" sqref="Q34"/>
    </sheetView>
  </sheetViews>
  <sheetFormatPr defaultColWidth="8.7109375" defaultRowHeight="12.75" x14ac:dyDescent="0.2"/>
  <cols>
    <col min="1" max="16384" width="8.7109375" style="199"/>
  </cols>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9BF1B-EEC6-4B5E-AF15-EC56F417B360}">
  <sheetPr>
    <pageSetUpPr fitToPage="1"/>
  </sheetPr>
  <dimension ref="A1:U823"/>
  <sheetViews>
    <sheetView topLeftCell="A4" zoomScaleNormal="100" workbookViewId="0">
      <selection activeCell="B20" sqref="B20"/>
    </sheetView>
  </sheetViews>
  <sheetFormatPr defaultColWidth="9.140625" defaultRowHeight="12.75" x14ac:dyDescent="0.2"/>
  <cols>
    <col min="1" max="1" width="65.140625" style="1045" customWidth="1"/>
    <col min="2" max="3" width="25.7109375" style="1045" customWidth="1"/>
    <col min="4" max="31" width="9.140625" style="1045"/>
    <col min="32" max="32" width="13.5703125" style="1045" customWidth="1"/>
    <col min="33" max="16384" width="9.140625" style="1045"/>
  </cols>
  <sheetData>
    <row r="1" spans="1:21" s="531" customFormat="1" ht="16.5" thickBot="1" x14ac:dyDescent="0.25">
      <c r="A1" s="1364" t="s">
        <v>414</v>
      </c>
      <c r="B1" s="1365"/>
      <c r="C1" s="1365"/>
      <c r="D1" s="1365"/>
      <c r="E1" s="1365"/>
      <c r="F1" s="1365"/>
      <c r="G1" s="1365"/>
      <c r="H1" s="1365"/>
      <c r="I1" s="1365"/>
      <c r="J1" s="1365"/>
      <c r="K1" s="1365"/>
      <c r="L1" s="1366"/>
      <c r="M1" s="122"/>
      <c r="N1" s="122"/>
      <c r="O1" s="122"/>
      <c r="P1" s="122"/>
      <c r="Q1" s="122"/>
      <c r="R1" s="122"/>
      <c r="S1" s="122"/>
      <c r="T1" s="122"/>
      <c r="U1" s="122"/>
    </row>
    <row r="2" spans="1:21" s="531" customFormat="1" ht="13.5" thickBot="1" x14ac:dyDescent="0.25">
      <c r="M2" s="122"/>
      <c r="N2" s="122"/>
      <c r="O2" s="122"/>
      <c r="P2" s="122"/>
      <c r="Q2" s="122"/>
      <c r="R2" s="122"/>
      <c r="S2" s="122"/>
      <c r="T2" s="122"/>
      <c r="U2" s="122"/>
    </row>
    <row r="3" spans="1:21" s="531" customFormat="1" ht="13.5" thickBot="1" x14ac:dyDescent="0.25">
      <c r="A3" s="531" t="s">
        <v>12</v>
      </c>
      <c r="B3" s="1041" t="s">
        <v>13</v>
      </c>
      <c r="C3" s="1042">
        <f>+TITELBLAD!E13</f>
        <v>2021</v>
      </c>
      <c r="M3" s="122"/>
      <c r="N3" s="122"/>
      <c r="O3" s="122"/>
      <c r="P3" s="122"/>
      <c r="Q3" s="122"/>
      <c r="R3" s="122"/>
      <c r="S3" s="122"/>
      <c r="T3" s="122"/>
      <c r="U3" s="122"/>
    </row>
    <row r="4" spans="1:21" s="531" customFormat="1" ht="13.5" thickBot="1" x14ac:dyDescent="0.25">
      <c r="B4" s="1041" t="s">
        <v>14</v>
      </c>
      <c r="C4" s="1042">
        <f>+TITELBLAD!E14</f>
        <v>2024</v>
      </c>
      <c r="M4" s="122"/>
      <c r="N4" s="122"/>
      <c r="O4" s="122"/>
      <c r="P4" s="122"/>
      <c r="Q4" s="122"/>
      <c r="R4" s="122"/>
      <c r="S4" s="122"/>
      <c r="T4" s="122"/>
      <c r="U4" s="122"/>
    </row>
    <row r="5" spans="1:21" s="531" customFormat="1" ht="13.5" thickBot="1" x14ac:dyDescent="0.25">
      <c r="B5" s="1041"/>
      <c r="M5" s="122"/>
      <c r="N5" s="122"/>
      <c r="O5" s="122"/>
      <c r="P5" s="122"/>
      <c r="Q5" s="122"/>
      <c r="R5" s="122"/>
      <c r="S5" s="122"/>
      <c r="T5" s="122"/>
      <c r="U5" s="122"/>
    </row>
    <row r="6" spans="1:21" s="531" customFormat="1" ht="13.5" thickBot="1" x14ac:dyDescent="0.25">
      <c r="A6" s="531" t="s">
        <v>105</v>
      </c>
      <c r="B6" s="1043">
        <f>+TITELBLAD!E16</f>
        <v>2021</v>
      </c>
      <c r="C6" s="1042" t="str">
        <f>+TITELBLAD!F16</f>
        <v>ex-ante</v>
      </c>
      <c r="M6" s="122"/>
      <c r="N6" s="122"/>
      <c r="O6" s="122"/>
      <c r="P6" s="122"/>
      <c r="Q6" s="122"/>
      <c r="R6" s="122"/>
      <c r="S6" s="122"/>
      <c r="T6" s="122"/>
      <c r="U6" s="122"/>
    </row>
    <row r="7" spans="1:21" s="531" customFormat="1" x14ac:dyDescent="0.2">
      <c r="M7" s="122"/>
      <c r="N7" s="122"/>
      <c r="O7" s="122"/>
      <c r="P7" s="122"/>
      <c r="Q7" s="122"/>
      <c r="R7" s="122"/>
      <c r="S7" s="122"/>
      <c r="T7" s="122"/>
      <c r="U7" s="122"/>
    </row>
    <row r="8" spans="1:21" s="531" customFormat="1" x14ac:dyDescent="0.2">
      <c r="M8" s="122"/>
      <c r="N8" s="122"/>
      <c r="O8" s="122"/>
      <c r="P8" s="122"/>
      <c r="Q8" s="122"/>
      <c r="R8" s="122"/>
      <c r="S8" s="122"/>
      <c r="T8" s="122"/>
      <c r="U8" s="122"/>
    </row>
    <row r="9" spans="1:21" s="531" customFormat="1" ht="13.5" thickBot="1" x14ac:dyDescent="0.25">
      <c r="A9" s="531" t="s">
        <v>15</v>
      </c>
      <c r="M9" s="122"/>
      <c r="N9" s="122"/>
      <c r="O9" s="122"/>
      <c r="P9" s="122"/>
      <c r="Q9" s="122"/>
      <c r="R9" s="122"/>
      <c r="S9" s="122"/>
      <c r="T9" s="122"/>
      <c r="U9" s="122"/>
    </row>
    <row r="10" spans="1:21" ht="13.5" thickBot="1" x14ac:dyDescent="0.25">
      <c r="A10" s="1367" t="str">
        <f>+TITELBLAD!C7</f>
        <v>NAAM DNB</v>
      </c>
      <c r="B10" s="1368"/>
      <c r="C10" s="531"/>
      <c r="D10" s="531"/>
      <c r="E10" s="531"/>
      <c r="F10" s="531"/>
      <c r="G10" s="531"/>
      <c r="H10" s="531"/>
      <c r="I10" s="531"/>
      <c r="J10" s="531"/>
      <c r="K10" s="531"/>
      <c r="L10" s="531"/>
      <c r="M10" s="122"/>
      <c r="N10" s="122"/>
      <c r="O10" s="122"/>
      <c r="P10" s="1044"/>
      <c r="Q10" s="1044"/>
      <c r="R10" s="1044"/>
      <c r="S10" s="1044"/>
      <c r="T10" s="1044"/>
      <c r="U10" s="1044"/>
    </row>
    <row r="11" spans="1:21" s="531" customFormat="1" x14ac:dyDescent="0.2">
      <c r="M11" s="122"/>
      <c r="N11" s="122"/>
      <c r="O11" s="122"/>
      <c r="P11" s="122"/>
      <c r="Q11" s="122"/>
      <c r="R11" s="122"/>
      <c r="S11" s="122"/>
      <c r="T11" s="122"/>
      <c r="U11" s="122"/>
    </row>
    <row r="12" spans="1:21" s="531" customFormat="1" ht="13.5" thickBot="1" x14ac:dyDescent="0.25">
      <c r="A12" s="531" t="s">
        <v>302</v>
      </c>
      <c r="M12" s="122"/>
      <c r="N12" s="122"/>
      <c r="O12" s="122"/>
      <c r="P12" s="122"/>
      <c r="Q12" s="122"/>
      <c r="R12" s="122"/>
      <c r="S12" s="122"/>
      <c r="T12" s="122"/>
      <c r="U12" s="122"/>
    </row>
    <row r="13" spans="1:21" ht="13.5" thickBot="1" x14ac:dyDescent="0.25">
      <c r="A13" s="1367" t="str">
        <f>+TITELBLAD!C10</f>
        <v>gas</v>
      </c>
      <c r="B13" s="1368"/>
      <c r="C13" s="531"/>
      <c r="D13" s="531"/>
      <c r="E13" s="531"/>
      <c r="F13" s="531"/>
      <c r="G13" s="531"/>
      <c r="H13" s="531"/>
      <c r="I13" s="531"/>
      <c r="J13" s="531"/>
      <c r="K13" s="531"/>
      <c r="L13" s="531"/>
      <c r="M13" s="122"/>
      <c r="N13" s="122"/>
      <c r="O13" s="122"/>
      <c r="P13" s="1044"/>
      <c r="Q13" s="1044"/>
      <c r="R13" s="1044"/>
      <c r="S13" s="1044"/>
      <c r="T13" s="1044"/>
      <c r="U13" s="1044"/>
    </row>
    <row r="14" spans="1:21" s="531" customFormat="1" x14ac:dyDescent="0.2">
      <c r="M14" s="122"/>
      <c r="N14" s="122"/>
      <c r="O14" s="122"/>
      <c r="P14" s="122"/>
      <c r="Q14" s="122"/>
      <c r="R14" s="122"/>
      <c r="S14" s="122"/>
      <c r="T14" s="122"/>
      <c r="U14" s="122"/>
    </row>
    <row r="15" spans="1:21" s="531" customFormat="1" x14ac:dyDescent="0.2">
      <c r="D15" s="1046"/>
      <c r="M15" s="122"/>
      <c r="N15" s="122"/>
      <c r="O15" s="122"/>
      <c r="P15" s="122"/>
      <c r="Q15" s="122"/>
      <c r="R15" s="122"/>
      <c r="S15" s="122"/>
      <c r="T15" s="122"/>
      <c r="U15" s="122"/>
    </row>
    <row r="16" spans="1:21" s="531" customFormat="1" x14ac:dyDescent="0.2">
      <c r="A16" s="1047" t="s">
        <v>425</v>
      </c>
      <c r="D16" s="1046"/>
      <c r="E16" s="1046"/>
      <c r="F16" s="1046"/>
      <c r="M16" s="122"/>
      <c r="N16" s="122"/>
      <c r="O16" s="122"/>
      <c r="P16" s="122"/>
      <c r="Q16" s="122"/>
      <c r="R16" s="122"/>
      <c r="S16" s="122"/>
      <c r="T16" s="122"/>
      <c r="U16" s="122"/>
    </row>
    <row r="17" spans="1:21" s="531" customFormat="1" x14ac:dyDescent="0.2">
      <c r="M17" s="122"/>
      <c r="N17" s="122"/>
      <c r="O17" s="122"/>
      <c r="P17" s="122"/>
      <c r="Q17" s="122"/>
      <c r="R17" s="122"/>
      <c r="S17" s="122"/>
      <c r="T17" s="122"/>
      <c r="U17" s="122"/>
    </row>
    <row r="18" spans="1:21" s="531" customFormat="1" x14ac:dyDescent="0.2">
      <c r="B18" s="1048" t="s">
        <v>0</v>
      </c>
      <c r="C18" s="1049" t="s">
        <v>1</v>
      </c>
      <c r="M18" s="122"/>
      <c r="N18" s="122"/>
      <c r="O18" s="122"/>
      <c r="P18" s="122"/>
      <c r="Q18" s="122"/>
      <c r="R18" s="122"/>
      <c r="S18" s="122"/>
      <c r="T18" s="122"/>
      <c r="U18" s="122"/>
    </row>
    <row r="19" spans="1:21" s="531" customFormat="1" x14ac:dyDescent="0.2">
      <c r="A19" s="1050" t="s">
        <v>17</v>
      </c>
      <c r="B19" s="1051">
        <f>+B6</f>
        <v>2021</v>
      </c>
      <c r="C19" s="1052">
        <f>+B6</f>
        <v>2021</v>
      </c>
      <c r="M19" s="122"/>
      <c r="N19" s="122"/>
      <c r="O19" s="122"/>
      <c r="P19" s="122"/>
      <c r="Q19" s="122"/>
      <c r="R19" s="122"/>
      <c r="S19" s="122"/>
      <c r="T19" s="122"/>
      <c r="U19" s="122"/>
    </row>
    <row r="20" spans="1:21" s="531" customFormat="1" ht="30.6" customHeight="1" x14ac:dyDescent="0.2">
      <c r="A20" s="1053" t="s">
        <v>293</v>
      </c>
      <c r="B20" s="1054">
        <f>+'T10'!C15</f>
        <v>0</v>
      </c>
      <c r="C20" s="1055">
        <f>+'T10'!D15</f>
        <v>0</v>
      </c>
    </row>
    <row r="21" spans="1:21" s="531" customFormat="1" ht="30.6" customHeight="1" x14ac:dyDescent="0.2">
      <c r="A21" s="1056" t="s">
        <v>431</v>
      </c>
      <c r="B21" s="1054">
        <f>+'T11'!C14</f>
        <v>0</v>
      </c>
      <c r="C21" s="1055">
        <f>+'T11'!D14</f>
        <v>0</v>
      </c>
    </row>
    <row r="22" spans="1:21" s="531" customFormat="1" ht="30.6" customHeight="1" x14ac:dyDescent="0.2">
      <c r="A22" s="1057" t="s">
        <v>294</v>
      </c>
      <c r="B22" s="1054">
        <f>+'T12'!C19</f>
        <v>0</v>
      </c>
      <c r="C22" s="1055">
        <f>+'T12'!D19</f>
        <v>0</v>
      </c>
    </row>
    <row r="23" spans="1:21" s="531" customFormat="1" x14ac:dyDescent="0.2">
      <c r="A23" s="1057"/>
      <c r="B23" s="1054"/>
      <c r="C23" s="1055"/>
    </row>
    <row r="24" spans="1:21" s="531" customFormat="1" ht="30.6" customHeight="1" x14ac:dyDescent="0.2">
      <c r="A24" s="1058" t="s">
        <v>376</v>
      </c>
      <c r="B24" s="1059">
        <f>+SUM(B20:B22)</f>
        <v>0</v>
      </c>
      <c r="C24" s="1060">
        <f>+SUM(C20:C22)</f>
        <v>0</v>
      </c>
    </row>
    <row r="25" spans="1:21" s="531" customFormat="1" x14ac:dyDescent="0.2">
      <c r="A25" s="1057"/>
      <c r="B25" s="1054"/>
      <c r="C25" s="1055"/>
    </row>
    <row r="26" spans="1:21" s="531" customFormat="1" ht="30.6" customHeight="1" x14ac:dyDescent="0.2">
      <c r="A26" s="1369" t="s">
        <v>295</v>
      </c>
      <c r="B26" s="1370"/>
      <c r="C26" s="1060">
        <f>+C24-B24</f>
        <v>0</v>
      </c>
    </row>
    <row r="27" spans="1:21" s="531" customFormat="1" x14ac:dyDescent="0.2">
      <c r="C27" s="300" t="s">
        <v>75</v>
      </c>
    </row>
    <row r="28" spans="1:21" s="531" customFormat="1" x14ac:dyDescent="0.2">
      <c r="C28" s="300" t="s">
        <v>76</v>
      </c>
    </row>
    <row r="29" spans="1:21" s="531" customFormat="1" x14ac:dyDescent="0.2"/>
    <row r="30" spans="1:21" s="531" customFormat="1" x14ac:dyDescent="0.2"/>
    <row r="31" spans="1:21" s="531" customFormat="1" x14ac:dyDescent="0.2">
      <c r="B31" s="1048" t="s">
        <v>0</v>
      </c>
      <c r="C31" s="1049" t="s">
        <v>1</v>
      </c>
    </row>
    <row r="32" spans="1:21" s="531" customFormat="1" x14ac:dyDescent="0.2">
      <c r="A32" s="1050" t="s">
        <v>17</v>
      </c>
      <c r="B32" s="1051">
        <f>+B19</f>
        <v>2021</v>
      </c>
      <c r="C32" s="1052">
        <f>+C19</f>
        <v>2021</v>
      </c>
    </row>
    <row r="33" spans="1:3" s="531" customFormat="1" ht="30.6" customHeight="1" x14ac:dyDescent="0.2">
      <c r="A33" s="1053" t="s">
        <v>438</v>
      </c>
      <c r="B33" s="1061">
        <f>IF(A13="elektriciteit",T13A!C4+T13B!C4,IF('T9 - Overzicht'!A13="gas",T13C!C4+T13D!C4,"FOUT"))</f>
        <v>0</v>
      </c>
      <c r="C33" s="1062">
        <f>IF(A13="elektriciteit",T13A!D4+T13B!D4,IF('T9 - Overzicht'!A13="gas",T13C!D4+T13D!D4,"FOUT"))</f>
        <v>0</v>
      </c>
    </row>
    <row r="34" spans="1:3" s="531" customFormat="1" ht="30.6" customHeight="1" x14ac:dyDescent="0.2">
      <c r="A34" s="1057" t="s">
        <v>360</v>
      </c>
      <c r="B34" s="1061">
        <f>+'T14'!D34</f>
        <v>0</v>
      </c>
      <c r="C34" s="1062">
        <f>+'T14'!E34</f>
        <v>0</v>
      </c>
    </row>
    <row r="35" spans="1:3" s="531" customFormat="1" x14ac:dyDescent="0.2">
      <c r="A35" s="1057"/>
      <c r="B35" s="1054"/>
      <c r="C35" s="1055"/>
    </row>
    <row r="36" spans="1:3" s="531" customFormat="1" ht="30.6" customHeight="1" x14ac:dyDescent="0.2">
      <c r="A36" s="1058" t="s">
        <v>377</v>
      </c>
      <c r="B36" s="1059">
        <f>+B33+B34</f>
        <v>0</v>
      </c>
      <c r="C36" s="1060">
        <f>+C34+C33</f>
        <v>0</v>
      </c>
    </row>
    <row r="37" spans="1:3" s="531" customFormat="1" x14ac:dyDescent="0.2">
      <c r="A37" s="1057"/>
      <c r="B37" s="1054"/>
      <c r="C37" s="1055"/>
    </row>
    <row r="38" spans="1:3" s="531" customFormat="1" ht="30.6" customHeight="1" x14ac:dyDescent="0.2">
      <c r="A38" s="1369" t="s">
        <v>303</v>
      </c>
      <c r="B38" s="1370"/>
      <c r="C38" s="1060">
        <f>+C36-B36</f>
        <v>0</v>
      </c>
    </row>
    <row r="39" spans="1:3" s="531" customFormat="1" x14ac:dyDescent="0.2">
      <c r="C39" s="300" t="s">
        <v>75</v>
      </c>
    </row>
    <row r="40" spans="1:3" s="531" customFormat="1" x14ac:dyDescent="0.2">
      <c r="C40" s="300" t="s">
        <v>76</v>
      </c>
    </row>
    <row r="41" spans="1:3" s="531" customFormat="1" x14ac:dyDescent="0.2"/>
    <row r="42" spans="1:3" s="531" customFormat="1" x14ac:dyDescent="0.2"/>
    <row r="43" spans="1:3" s="531" customFormat="1" x14ac:dyDescent="0.2"/>
    <row r="44" spans="1:3" s="531" customFormat="1" x14ac:dyDescent="0.2"/>
    <row r="45" spans="1:3" s="531" customFormat="1" x14ac:dyDescent="0.2"/>
    <row r="46" spans="1:3" s="531" customFormat="1" x14ac:dyDescent="0.2"/>
    <row r="47" spans="1:3" s="531" customFormat="1" x14ac:dyDescent="0.2"/>
    <row r="48" spans="1:3" s="531" customFormat="1" x14ac:dyDescent="0.2"/>
    <row r="49" s="531" customFormat="1" x14ac:dyDescent="0.2"/>
    <row r="50" s="531" customFormat="1" x14ac:dyDescent="0.2"/>
    <row r="51" s="531" customFormat="1" x14ac:dyDescent="0.2"/>
    <row r="52" s="531" customFormat="1" x14ac:dyDescent="0.2"/>
    <row r="53" s="531" customFormat="1" x14ac:dyDescent="0.2"/>
    <row r="54" s="531" customFormat="1" x14ac:dyDescent="0.2"/>
    <row r="55" s="531" customFormat="1" x14ac:dyDescent="0.2"/>
    <row r="56" s="531" customFormat="1" x14ac:dyDescent="0.2"/>
    <row r="57" s="531" customFormat="1" x14ac:dyDescent="0.2"/>
    <row r="58" s="531" customFormat="1" x14ac:dyDescent="0.2"/>
    <row r="59" s="531" customFormat="1" x14ac:dyDescent="0.2"/>
    <row r="60" s="531" customFormat="1" x14ac:dyDescent="0.2"/>
    <row r="61" s="531" customFormat="1" x14ac:dyDescent="0.2"/>
    <row r="62" s="531" customFormat="1" x14ac:dyDescent="0.2"/>
    <row r="63" s="531" customFormat="1" x14ac:dyDescent="0.2"/>
    <row r="64" s="531" customFormat="1" x14ac:dyDescent="0.2"/>
    <row r="65" s="531" customFormat="1" x14ac:dyDescent="0.2"/>
    <row r="66" s="531" customFormat="1" x14ac:dyDescent="0.2"/>
    <row r="67" s="531" customFormat="1" x14ac:dyDescent="0.2"/>
    <row r="68" s="531" customFormat="1" x14ac:dyDescent="0.2"/>
    <row r="69" s="531" customFormat="1" x14ac:dyDescent="0.2"/>
    <row r="70" s="531" customFormat="1" x14ac:dyDescent="0.2"/>
    <row r="71" s="531" customFormat="1" x14ac:dyDescent="0.2"/>
    <row r="72" s="531" customFormat="1" x14ac:dyDescent="0.2"/>
    <row r="73" s="531" customFormat="1" x14ac:dyDescent="0.2"/>
    <row r="74" s="531" customFormat="1" x14ac:dyDescent="0.2"/>
    <row r="75" s="531" customFormat="1" x14ac:dyDescent="0.2"/>
    <row r="76" s="531" customFormat="1" x14ac:dyDescent="0.2"/>
    <row r="77" s="531" customFormat="1" x14ac:dyDescent="0.2"/>
    <row r="78" s="531" customFormat="1" x14ac:dyDescent="0.2"/>
    <row r="79" s="531" customFormat="1" x14ac:dyDescent="0.2"/>
    <row r="80" s="531" customFormat="1" x14ac:dyDescent="0.2"/>
    <row r="81" s="531" customFormat="1" x14ac:dyDescent="0.2"/>
    <row r="82" s="531" customFormat="1" x14ac:dyDescent="0.2"/>
    <row r="83" s="531" customFormat="1" x14ac:dyDescent="0.2"/>
    <row r="84" s="531" customFormat="1" x14ac:dyDescent="0.2"/>
    <row r="85" s="531" customFormat="1" x14ac:dyDescent="0.2"/>
    <row r="86" s="531" customFormat="1" x14ac:dyDescent="0.2"/>
    <row r="87" s="531" customFormat="1" x14ac:dyDescent="0.2"/>
    <row r="88" s="531" customFormat="1" x14ac:dyDescent="0.2"/>
    <row r="89" s="531" customFormat="1" x14ac:dyDescent="0.2"/>
    <row r="90" s="531" customFormat="1" x14ac:dyDescent="0.2"/>
    <row r="91" s="531" customFormat="1" x14ac:dyDescent="0.2"/>
    <row r="92" s="531" customFormat="1" x14ac:dyDescent="0.2"/>
    <row r="93" s="531" customFormat="1" x14ac:dyDescent="0.2"/>
    <row r="94" s="531" customFormat="1" x14ac:dyDescent="0.2"/>
    <row r="95" s="531" customFormat="1" x14ac:dyDescent="0.2"/>
    <row r="96" s="531" customFormat="1" x14ac:dyDescent="0.2"/>
    <row r="97" s="531" customFormat="1" x14ac:dyDescent="0.2"/>
    <row r="98" s="531" customFormat="1" x14ac:dyDescent="0.2"/>
    <row r="99" s="531" customFormat="1" x14ac:dyDescent="0.2"/>
    <row r="100" s="531" customFormat="1" x14ac:dyDescent="0.2"/>
    <row r="101" s="531" customFormat="1" x14ac:dyDescent="0.2"/>
    <row r="102" s="531" customFormat="1" x14ac:dyDescent="0.2"/>
    <row r="103" s="531" customFormat="1" x14ac:dyDescent="0.2"/>
    <row r="104" s="531" customFormat="1" x14ac:dyDescent="0.2"/>
    <row r="105" s="531" customFormat="1" x14ac:dyDescent="0.2"/>
    <row r="106" s="531" customFormat="1" x14ac:dyDescent="0.2"/>
    <row r="107" s="531" customFormat="1" x14ac:dyDescent="0.2"/>
    <row r="108" s="531" customFormat="1" x14ac:dyDescent="0.2"/>
    <row r="109" s="531" customFormat="1" x14ac:dyDescent="0.2"/>
    <row r="110" s="531" customFormat="1" x14ac:dyDescent="0.2"/>
    <row r="111" s="531" customFormat="1" x14ac:dyDescent="0.2"/>
    <row r="112" s="531" customFormat="1" x14ac:dyDescent="0.2"/>
    <row r="113" s="531" customFormat="1" x14ac:dyDescent="0.2"/>
    <row r="114" s="531" customFormat="1" x14ac:dyDescent="0.2"/>
    <row r="115" s="531" customFormat="1" x14ac:dyDescent="0.2"/>
    <row r="116" s="531" customFormat="1" x14ac:dyDescent="0.2"/>
    <row r="117" s="531" customFormat="1" x14ac:dyDescent="0.2"/>
    <row r="118" s="531" customFormat="1" x14ac:dyDescent="0.2"/>
    <row r="119" s="531" customFormat="1" x14ac:dyDescent="0.2"/>
    <row r="120" s="531" customFormat="1" x14ac:dyDescent="0.2"/>
    <row r="121" s="531" customFormat="1" x14ac:dyDescent="0.2"/>
    <row r="122" s="531" customFormat="1" x14ac:dyDescent="0.2"/>
    <row r="123" s="531" customFormat="1" x14ac:dyDescent="0.2"/>
    <row r="124" s="531" customFormat="1" x14ac:dyDescent="0.2"/>
    <row r="125" s="531" customFormat="1" x14ac:dyDescent="0.2"/>
    <row r="126" s="531" customFormat="1" x14ac:dyDescent="0.2"/>
    <row r="127" s="531" customFormat="1" x14ac:dyDescent="0.2"/>
    <row r="128" s="531" customFormat="1" x14ac:dyDescent="0.2"/>
    <row r="129" s="531" customFormat="1" x14ac:dyDescent="0.2"/>
    <row r="130" s="531" customFormat="1" x14ac:dyDescent="0.2"/>
    <row r="131" s="531" customFormat="1" x14ac:dyDescent="0.2"/>
    <row r="132" s="531" customFormat="1" x14ac:dyDescent="0.2"/>
    <row r="133" s="531" customFormat="1" x14ac:dyDescent="0.2"/>
    <row r="134" s="531" customFormat="1" x14ac:dyDescent="0.2"/>
    <row r="135" s="531" customFormat="1" x14ac:dyDescent="0.2"/>
    <row r="136" s="531" customFormat="1" x14ac:dyDescent="0.2"/>
    <row r="137" s="531" customFormat="1" x14ac:dyDescent="0.2"/>
    <row r="138" s="531" customFormat="1" x14ac:dyDescent="0.2"/>
    <row r="139" s="531" customFormat="1" x14ac:dyDescent="0.2"/>
    <row r="140" s="531" customFormat="1" x14ac:dyDescent="0.2"/>
    <row r="141" s="531" customFormat="1" x14ac:dyDescent="0.2"/>
    <row r="142" s="531" customFormat="1" x14ac:dyDescent="0.2"/>
    <row r="143" s="531" customFormat="1" x14ac:dyDescent="0.2"/>
    <row r="144" s="531" customFormat="1" x14ac:dyDescent="0.2"/>
    <row r="145" s="531" customFormat="1" x14ac:dyDescent="0.2"/>
    <row r="146" s="531" customFormat="1" x14ac:dyDescent="0.2"/>
    <row r="147" s="531" customFormat="1" x14ac:dyDescent="0.2"/>
    <row r="148" s="531" customFormat="1" x14ac:dyDescent="0.2"/>
    <row r="149" s="531" customFormat="1" x14ac:dyDescent="0.2"/>
    <row r="150" s="531" customFormat="1" x14ac:dyDescent="0.2"/>
    <row r="151" s="531" customFormat="1" x14ac:dyDescent="0.2"/>
    <row r="152" s="531" customFormat="1" x14ac:dyDescent="0.2"/>
    <row r="153" s="531" customFormat="1" x14ac:dyDescent="0.2"/>
    <row r="154" s="531" customFormat="1" x14ac:dyDescent="0.2"/>
    <row r="155" s="531" customFormat="1" x14ac:dyDescent="0.2"/>
    <row r="156" s="531" customFormat="1" x14ac:dyDescent="0.2"/>
    <row r="157" s="531" customFormat="1" x14ac:dyDescent="0.2"/>
    <row r="158" s="531" customFormat="1" x14ac:dyDescent="0.2"/>
    <row r="159" s="531" customFormat="1" x14ac:dyDescent="0.2"/>
    <row r="160" s="531" customFormat="1" x14ac:dyDescent="0.2"/>
    <row r="161" s="531" customFormat="1" x14ac:dyDescent="0.2"/>
    <row r="162" s="531" customFormat="1" x14ac:dyDescent="0.2"/>
    <row r="163" s="531" customFormat="1" x14ac:dyDescent="0.2"/>
    <row r="164" s="531" customFormat="1" x14ac:dyDescent="0.2"/>
    <row r="165" s="531" customFormat="1" x14ac:dyDescent="0.2"/>
    <row r="166" s="531" customFormat="1" x14ac:dyDescent="0.2"/>
    <row r="167" s="531" customFormat="1" x14ac:dyDescent="0.2"/>
    <row r="168" s="531" customFormat="1" x14ac:dyDescent="0.2"/>
    <row r="169" s="531" customFormat="1" x14ac:dyDescent="0.2"/>
    <row r="170" s="531" customFormat="1" x14ac:dyDescent="0.2"/>
    <row r="171" s="531" customFormat="1" x14ac:dyDescent="0.2"/>
    <row r="172" s="531" customFormat="1" x14ac:dyDescent="0.2"/>
    <row r="173" s="531" customFormat="1" x14ac:dyDescent="0.2"/>
    <row r="174" s="531" customFormat="1" x14ac:dyDescent="0.2"/>
    <row r="175" s="531" customFormat="1" x14ac:dyDescent="0.2"/>
    <row r="176" s="531" customFormat="1" x14ac:dyDescent="0.2"/>
    <row r="177" s="531" customFormat="1" x14ac:dyDescent="0.2"/>
    <row r="178" s="531" customFormat="1" x14ac:dyDescent="0.2"/>
    <row r="179" s="531" customFormat="1" x14ac:dyDescent="0.2"/>
    <row r="180" s="531" customFormat="1" x14ac:dyDescent="0.2"/>
    <row r="181" s="531" customFormat="1" x14ac:dyDescent="0.2"/>
    <row r="182" s="531" customFormat="1" x14ac:dyDescent="0.2"/>
    <row r="183" s="531" customFormat="1" x14ac:dyDescent="0.2"/>
    <row r="184" s="531" customFormat="1" x14ac:dyDescent="0.2"/>
    <row r="185" s="531" customFormat="1" x14ac:dyDescent="0.2"/>
    <row r="186" s="531" customFormat="1" x14ac:dyDescent="0.2"/>
    <row r="187" s="531" customFormat="1" x14ac:dyDescent="0.2"/>
    <row r="188" s="531" customFormat="1" x14ac:dyDescent="0.2"/>
    <row r="189" s="531" customFormat="1" x14ac:dyDescent="0.2"/>
    <row r="190" s="531" customFormat="1" x14ac:dyDescent="0.2"/>
    <row r="191" s="531" customFormat="1" x14ac:dyDescent="0.2"/>
    <row r="192" s="531" customFormat="1" x14ac:dyDescent="0.2"/>
    <row r="193" s="531" customFormat="1" x14ac:dyDescent="0.2"/>
    <row r="194" s="531" customFormat="1" x14ac:dyDescent="0.2"/>
    <row r="195" s="531" customFormat="1" x14ac:dyDescent="0.2"/>
    <row r="196" s="531" customFormat="1" x14ac:dyDescent="0.2"/>
    <row r="197" s="531" customFormat="1" x14ac:dyDescent="0.2"/>
    <row r="198" s="531" customFormat="1" x14ac:dyDescent="0.2"/>
    <row r="199" s="531" customFormat="1" x14ac:dyDescent="0.2"/>
    <row r="200" s="531" customFormat="1" x14ac:dyDescent="0.2"/>
    <row r="201" s="531" customFormat="1" x14ac:dyDescent="0.2"/>
    <row r="202" s="531" customFormat="1" x14ac:dyDescent="0.2"/>
    <row r="203" s="531" customFormat="1" x14ac:dyDescent="0.2"/>
    <row r="204" s="531" customFormat="1" x14ac:dyDescent="0.2"/>
    <row r="205" s="531" customFormat="1" x14ac:dyDescent="0.2"/>
    <row r="206" s="531" customFormat="1" x14ac:dyDescent="0.2"/>
    <row r="207" s="531" customFormat="1" x14ac:dyDescent="0.2"/>
    <row r="208" s="531" customFormat="1" x14ac:dyDescent="0.2"/>
    <row r="209" s="531" customFormat="1" x14ac:dyDescent="0.2"/>
    <row r="210" s="531" customFormat="1" x14ac:dyDescent="0.2"/>
    <row r="211" s="531" customFormat="1" x14ac:dyDescent="0.2"/>
    <row r="212" s="531" customFormat="1" x14ac:dyDescent="0.2"/>
    <row r="213" s="531" customFormat="1" x14ac:dyDescent="0.2"/>
    <row r="214" s="531" customFormat="1" x14ac:dyDescent="0.2"/>
    <row r="215" s="531" customFormat="1" x14ac:dyDescent="0.2"/>
    <row r="216" s="531" customFormat="1" x14ac:dyDescent="0.2"/>
    <row r="217" s="531" customFormat="1" x14ac:dyDescent="0.2"/>
    <row r="218" s="531" customFormat="1" x14ac:dyDescent="0.2"/>
    <row r="219" s="531" customFormat="1" x14ac:dyDescent="0.2"/>
    <row r="220" s="531" customFormat="1" x14ac:dyDescent="0.2"/>
    <row r="221" s="531" customFormat="1" x14ac:dyDescent="0.2"/>
    <row r="222" s="531" customFormat="1" x14ac:dyDescent="0.2"/>
    <row r="223" s="531" customFormat="1" x14ac:dyDescent="0.2"/>
    <row r="224" s="531" customFormat="1" x14ac:dyDescent="0.2"/>
    <row r="225" s="531" customFormat="1" x14ac:dyDescent="0.2"/>
    <row r="226" s="531" customFormat="1" x14ac:dyDescent="0.2"/>
    <row r="227" s="531" customFormat="1" x14ac:dyDescent="0.2"/>
    <row r="228" s="531" customFormat="1" x14ac:dyDescent="0.2"/>
    <row r="229" s="531" customFormat="1" x14ac:dyDescent="0.2"/>
    <row r="230" s="531" customFormat="1" x14ac:dyDescent="0.2"/>
    <row r="231" s="531" customFormat="1" x14ac:dyDescent="0.2"/>
    <row r="232" s="531" customFormat="1" x14ac:dyDescent="0.2"/>
    <row r="233" s="531" customFormat="1" x14ac:dyDescent="0.2"/>
    <row r="234" s="531" customFormat="1" x14ac:dyDescent="0.2"/>
    <row r="235" s="531" customFormat="1" x14ac:dyDescent="0.2"/>
    <row r="236" s="531" customFormat="1" x14ac:dyDescent="0.2"/>
    <row r="237" s="531" customFormat="1" x14ac:dyDescent="0.2"/>
    <row r="238" s="531" customFormat="1" x14ac:dyDescent="0.2"/>
    <row r="239" s="531" customFormat="1" x14ac:dyDescent="0.2"/>
    <row r="240" s="531" customFormat="1" x14ac:dyDescent="0.2"/>
    <row r="241" s="531" customFormat="1" x14ac:dyDescent="0.2"/>
    <row r="242" s="531" customFormat="1" x14ac:dyDescent="0.2"/>
    <row r="243" s="531" customFormat="1" x14ac:dyDescent="0.2"/>
    <row r="244" s="531" customFormat="1" x14ac:dyDescent="0.2"/>
    <row r="245" s="531" customFormat="1" x14ac:dyDescent="0.2"/>
    <row r="246" s="531" customFormat="1" x14ac:dyDescent="0.2"/>
    <row r="247" s="531" customFormat="1" x14ac:dyDescent="0.2"/>
    <row r="248" s="531" customFormat="1" x14ac:dyDescent="0.2"/>
    <row r="249" s="531" customFormat="1" x14ac:dyDescent="0.2"/>
    <row r="250" s="531" customFormat="1" x14ac:dyDescent="0.2"/>
    <row r="251" s="531" customFormat="1" x14ac:dyDescent="0.2"/>
    <row r="252" s="531" customFormat="1" x14ac:dyDescent="0.2"/>
    <row r="253" s="531" customFormat="1" x14ac:dyDescent="0.2"/>
    <row r="254" s="531" customFormat="1" x14ac:dyDescent="0.2"/>
    <row r="255" s="531" customFormat="1" x14ac:dyDescent="0.2"/>
    <row r="256" s="531" customFormat="1" x14ac:dyDescent="0.2"/>
    <row r="257" s="531" customFormat="1" x14ac:dyDescent="0.2"/>
    <row r="258" s="531" customFormat="1" x14ac:dyDescent="0.2"/>
    <row r="259" s="531" customFormat="1" x14ac:dyDescent="0.2"/>
    <row r="260" s="531" customFormat="1" x14ac:dyDescent="0.2"/>
    <row r="261" s="531" customFormat="1" x14ac:dyDescent="0.2"/>
    <row r="262" s="531" customFormat="1" x14ac:dyDescent="0.2"/>
    <row r="263" s="531" customFormat="1" x14ac:dyDescent="0.2"/>
    <row r="264" s="531" customFormat="1" x14ac:dyDescent="0.2"/>
    <row r="265" s="531" customFormat="1" x14ac:dyDescent="0.2"/>
    <row r="266" s="531" customFormat="1" x14ac:dyDescent="0.2"/>
    <row r="267" s="531" customFormat="1" x14ac:dyDescent="0.2"/>
    <row r="268" s="531" customFormat="1" x14ac:dyDescent="0.2"/>
    <row r="269" s="531" customFormat="1" x14ac:dyDescent="0.2"/>
    <row r="270" s="531" customFormat="1" x14ac:dyDescent="0.2"/>
    <row r="271" s="531" customFormat="1" x14ac:dyDescent="0.2"/>
    <row r="272" s="531" customFormat="1" x14ac:dyDescent="0.2"/>
    <row r="273" s="531" customFormat="1" x14ac:dyDescent="0.2"/>
    <row r="274" s="531" customFormat="1" x14ac:dyDescent="0.2"/>
    <row r="275" s="531" customFormat="1" x14ac:dyDescent="0.2"/>
    <row r="276" s="531" customFormat="1" x14ac:dyDescent="0.2"/>
    <row r="277" s="531" customFormat="1" x14ac:dyDescent="0.2"/>
    <row r="278" s="531" customFormat="1" x14ac:dyDescent="0.2"/>
    <row r="279" s="531" customFormat="1" x14ac:dyDescent="0.2"/>
    <row r="280" s="531" customFormat="1" x14ac:dyDescent="0.2"/>
    <row r="281" s="531" customFormat="1" x14ac:dyDescent="0.2"/>
    <row r="282" s="531" customFormat="1" x14ac:dyDescent="0.2"/>
    <row r="283" s="531" customFormat="1" x14ac:dyDescent="0.2"/>
    <row r="284" s="531" customFormat="1" x14ac:dyDescent="0.2"/>
    <row r="285" s="531" customFormat="1" x14ac:dyDescent="0.2"/>
    <row r="286" s="531" customFormat="1" x14ac:dyDescent="0.2"/>
    <row r="287" s="531" customFormat="1" x14ac:dyDescent="0.2"/>
    <row r="288" s="531" customFormat="1" x14ac:dyDescent="0.2"/>
    <row r="289" s="531" customFormat="1" x14ac:dyDescent="0.2"/>
    <row r="290" s="531" customFormat="1" x14ac:dyDescent="0.2"/>
    <row r="291" s="531" customFormat="1" x14ac:dyDescent="0.2"/>
    <row r="292" s="531" customFormat="1" x14ac:dyDescent="0.2"/>
    <row r="293" s="531" customFormat="1" x14ac:dyDescent="0.2"/>
    <row r="294" s="531" customFormat="1" x14ac:dyDescent="0.2"/>
    <row r="295" s="531" customFormat="1" x14ac:dyDescent="0.2"/>
    <row r="296" s="531" customFormat="1" x14ac:dyDescent="0.2"/>
    <row r="297" s="531" customFormat="1" x14ac:dyDescent="0.2"/>
    <row r="298" s="531" customFormat="1" x14ac:dyDescent="0.2"/>
    <row r="299" s="531" customFormat="1" x14ac:dyDescent="0.2"/>
    <row r="300" s="531" customFormat="1" x14ac:dyDescent="0.2"/>
    <row r="301" s="531" customFormat="1" x14ac:dyDescent="0.2"/>
    <row r="302" s="531" customFormat="1" x14ac:dyDescent="0.2"/>
    <row r="303" s="531" customFormat="1" x14ac:dyDescent="0.2"/>
    <row r="304" s="531" customFormat="1" x14ac:dyDescent="0.2"/>
    <row r="305" s="531" customFormat="1" x14ac:dyDescent="0.2"/>
    <row r="306" s="531" customFormat="1" x14ac:dyDescent="0.2"/>
    <row r="307" s="531" customFormat="1" x14ac:dyDescent="0.2"/>
    <row r="308" s="531" customFormat="1" x14ac:dyDescent="0.2"/>
    <row r="309" s="531" customFormat="1" x14ac:dyDescent="0.2"/>
    <row r="310" s="531" customFormat="1" x14ac:dyDescent="0.2"/>
    <row r="311" s="531" customFormat="1" x14ac:dyDescent="0.2"/>
    <row r="312" s="531" customFormat="1" x14ac:dyDescent="0.2"/>
    <row r="313" s="531" customFormat="1" x14ac:dyDescent="0.2"/>
    <row r="314" s="531" customFormat="1" x14ac:dyDescent="0.2"/>
    <row r="315" s="531" customFormat="1" x14ac:dyDescent="0.2"/>
    <row r="316" s="531" customFormat="1" x14ac:dyDescent="0.2"/>
    <row r="317" s="531" customFormat="1" x14ac:dyDescent="0.2"/>
    <row r="318" s="531" customFormat="1" x14ac:dyDescent="0.2"/>
    <row r="319" s="531" customFormat="1" x14ac:dyDescent="0.2"/>
    <row r="320" s="531" customFormat="1" x14ac:dyDescent="0.2"/>
    <row r="321" s="531" customFormat="1" x14ac:dyDescent="0.2"/>
    <row r="322" s="531" customFormat="1" x14ac:dyDescent="0.2"/>
    <row r="323" s="531" customFormat="1" x14ac:dyDescent="0.2"/>
    <row r="324" s="531" customFormat="1" x14ac:dyDescent="0.2"/>
    <row r="325" s="531" customFormat="1" x14ac:dyDescent="0.2"/>
    <row r="326" s="531" customFormat="1" x14ac:dyDescent="0.2"/>
    <row r="327" s="531" customFormat="1" x14ac:dyDescent="0.2"/>
    <row r="328" s="531" customFormat="1" x14ac:dyDescent="0.2"/>
    <row r="329" s="531" customFormat="1" x14ac:dyDescent="0.2"/>
    <row r="330" s="531" customFormat="1" x14ac:dyDescent="0.2"/>
    <row r="331" s="531" customFormat="1" x14ac:dyDescent="0.2"/>
    <row r="332" s="531" customFormat="1" x14ac:dyDescent="0.2"/>
    <row r="333" s="531" customFormat="1" x14ac:dyDescent="0.2"/>
    <row r="334" s="531" customFormat="1" x14ac:dyDescent="0.2"/>
    <row r="335" s="531" customFormat="1" x14ac:dyDescent="0.2"/>
    <row r="336" s="531" customFormat="1" x14ac:dyDescent="0.2"/>
    <row r="337" s="531" customFormat="1" x14ac:dyDescent="0.2"/>
    <row r="338" s="531" customFormat="1" x14ac:dyDescent="0.2"/>
    <row r="339" s="531" customFormat="1" x14ac:dyDescent="0.2"/>
    <row r="340" s="531" customFormat="1" x14ac:dyDescent="0.2"/>
    <row r="341" s="531" customFormat="1" x14ac:dyDescent="0.2"/>
    <row r="342" s="531" customFormat="1" x14ac:dyDescent="0.2"/>
    <row r="343" s="531" customFormat="1" x14ac:dyDescent="0.2"/>
    <row r="344" s="531" customFormat="1" x14ac:dyDescent="0.2"/>
    <row r="345" s="531" customFormat="1" x14ac:dyDescent="0.2"/>
    <row r="346" s="531" customFormat="1" x14ac:dyDescent="0.2"/>
    <row r="347" s="531" customFormat="1" x14ac:dyDescent="0.2"/>
    <row r="348" s="531" customFormat="1" x14ac:dyDescent="0.2"/>
    <row r="349" s="531" customFormat="1" x14ac:dyDescent="0.2"/>
    <row r="350" s="531" customFormat="1" x14ac:dyDescent="0.2"/>
    <row r="351" s="531" customFormat="1" x14ac:dyDescent="0.2"/>
    <row r="352" s="531" customFormat="1" x14ac:dyDescent="0.2"/>
    <row r="353" s="531" customFormat="1" x14ac:dyDescent="0.2"/>
    <row r="354" s="531" customFormat="1" x14ac:dyDescent="0.2"/>
    <row r="355" s="531" customFormat="1" x14ac:dyDescent="0.2"/>
    <row r="356" s="531" customFormat="1" x14ac:dyDescent="0.2"/>
    <row r="357" s="531" customFormat="1" x14ac:dyDescent="0.2"/>
    <row r="358" s="531" customFormat="1" x14ac:dyDescent="0.2"/>
    <row r="359" s="531" customFormat="1" x14ac:dyDescent="0.2"/>
    <row r="360" s="531" customFormat="1" x14ac:dyDescent="0.2"/>
    <row r="361" s="531" customFormat="1" x14ac:dyDescent="0.2"/>
    <row r="362" s="531" customFormat="1" x14ac:dyDescent="0.2"/>
    <row r="363" s="531" customFormat="1" x14ac:dyDescent="0.2"/>
    <row r="364" s="531" customFormat="1" x14ac:dyDescent="0.2"/>
    <row r="365" s="531" customFormat="1" x14ac:dyDescent="0.2"/>
    <row r="366" s="531" customFormat="1" x14ac:dyDescent="0.2"/>
    <row r="367" s="531" customFormat="1" x14ac:dyDescent="0.2"/>
    <row r="368" s="531" customFormat="1" x14ac:dyDescent="0.2"/>
    <row r="369" s="531" customFormat="1" x14ac:dyDescent="0.2"/>
    <row r="370" s="531" customFormat="1" x14ac:dyDescent="0.2"/>
    <row r="371" s="531" customFormat="1" x14ac:dyDescent="0.2"/>
    <row r="372" s="531" customFormat="1" x14ac:dyDescent="0.2"/>
    <row r="373" s="531" customFormat="1" x14ac:dyDescent="0.2"/>
    <row r="374" s="531" customFormat="1" x14ac:dyDescent="0.2"/>
    <row r="375" s="531" customFormat="1" x14ac:dyDescent="0.2"/>
    <row r="376" s="531" customFormat="1" x14ac:dyDescent="0.2"/>
    <row r="377" s="531" customFormat="1" x14ac:dyDescent="0.2"/>
    <row r="378" s="531" customFormat="1" x14ac:dyDescent="0.2"/>
    <row r="379" s="531" customFormat="1" x14ac:dyDescent="0.2"/>
    <row r="380" s="531" customFormat="1" x14ac:dyDescent="0.2"/>
    <row r="381" s="531" customFormat="1" x14ac:dyDescent="0.2"/>
    <row r="382" s="531" customFormat="1" x14ac:dyDescent="0.2"/>
    <row r="383" s="531" customFormat="1" x14ac:dyDescent="0.2"/>
    <row r="384" s="531" customFormat="1" x14ac:dyDescent="0.2"/>
    <row r="385" s="531" customFormat="1" x14ac:dyDescent="0.2"/>
    <row r="386" s="531" customFormat="1" x14ac:dyDescent="0.2"/>
    <row r="387" s="531" customFormat="1" x14ac:dyDescent="0.2"/>
    <row r="388" s="531" customFormat="1" x14ac:dyDescent="0.2"/>
    <row r="389" s="531" customFormat="1" x14ac:dyDescent="0.2"/>
    <row r="390" s="531" customFormat="1" x14ac:dyDescent="0.2"/>
    <row r="391" s="531" customFormat="1" x14ac:dyDescent="0.2"/>
    <row r="392" s="531" customFormat="1" x14ac:dyDescent="0.2"/>
    <row r="393" s="531" customFormat="1" x14ac:dyDescent="0.2"/>
    <row r="394" s="531" customFormat="1" x14ac:dyDescent="0.2"/>
    <row r="395" s="531" customFormat="1" x14ac:dyDescent="0.2"/>
    <row r="396" s="531" customFormat="1" x14ac:dyDescent="0.2"/>
    <row r="397" s="531" customFormat="1" x14ac:dyDescent="0.2"/>
    <row r="398" s="531" customFormat="1" x14ac:dyDescent="0.2"/>
    <row r="399" s="531" customFormat="1" x14ac:dyDescent="0.2"/>
    <row r="400" s="531" customFormat="1" x14ac:dyDescent="0.2"/>
    <row r="401" s="531" customFormat="1" x14ac:dyDescent="0.2"/>
    <row r="402" s="531" customFormat="1" x14ac:dyDescent="0.2"/>
    <row r="403" s="531" customFormat="1" x14ac:dyDescent="0.2"/>
    <row r="404" s="531" customFormat="1" x14ac:dyDescent="0.2"/>
    <row r="405" s="531" customFormat="1" x14ac:dyDescent="0.2"/>
    <row r="406" s="531" customFormat="1" x14ac:dyDescent="0.2"/>
    <row r="407" s="531" customFormat="1" x14ac:dyDescent="0.2"/>
    <row r="408" s="531" customFormat="1" x14ac:dyDescent="0.2"/>
    <row r="409" s="531" customFormat="1" x14ac:dyDescent="0.2"/>
    <row r="410" s="531" customFormat="1" x14ac:dyDescent="0.2"/>
    <row r="411" s="531" customFormat="1" x14ac:dyDescent="0.2"/>
    <row r="412" s="531" customFormat="1" x14ac:dyDescent="0.2"/>
    <row r="413" s="531" customFormat="1" x14ac:dyDescent="0.2"/>
    <row r="414" s="531" customFormat="1" x14ac:dyDescent="0.2"/>
    <row r="415" s="531" customFormat="1" x14ac:dyDescent="0.2"/>
    <row r="416" s="531" customFormat="1" x14ac:dyDescent="0.2"/>
    <row r="417" s="531" customFormat="1" x14ac:dyDescent="0.2"/>
    <row r="418" s="531" customFormat="1" x14ac:dyDescent="0.2"/>
    <row r="419" s="531" customFormat="1" x14ac:dyDescent="0.2"/>
    <row r="420" s="531" customFormat="1" x14ac:dyDescent="0.2"/>
    <row r="421" s="531" customFormat="1" x14ac:dyDescent="0.2"/>
    <row r="422" s="531" customFormat="1" x14ac:dyDescent="0.2"/>
    <row r="423" s="531" customFormat="1" x14ac:dyDescent="0.2"/>
    <row r="424" s="531" customFormat="1" x14ac:dyDescent="0.2"/>
    <row r="425" s="531" customFormat="1" x14ac:dyDescent="0.2"/>
    <row r="426" s="531" customFormat="1" x14ac:dyDescent="0.2"/>
    <row r="427" s="531" customFormat="1" x14ac:dyDescent="0.2"/>
    <row r="428" s="531" customFormat="1" x14ac:dyDescent="0.2"/>
    <row r="429" s="531" customFormat="1" x14ac:dyDescent="0.2"/>
    <row r="430" s="531" customFormat="1" x14ac:dyDescent="0.2"/>
    <row r="431" s="531" customFormat="1" x14ac:dyDescent="0.2"/>
    <row r="432" s="531" customFormat="1" x14ac:dyDescent="0.2"/>
    <row r="433" s="531" customFormat="1" x14ac:dyDescent="0.2"/>
    <row r="434" s="531" customFormat="1" x14ac:dyDescent="0.2"/>
    <row r="435" s="531" customFormat="1" x14ac:dyDescent="0.2"/>
    <row r="436" s="531" customFormat="1" x14ac:dyDescent="0.2"/>
    <row r="437" s="531" customFormat="1" x14ac:dyDescent="0.2"/>
    <row r="438" s="531" customFormat="1" x14ac:dyDescent="0.2"/>
    <row r="439" s="531" customFormat="1" x14ac:dyDescent="0.2"/>
    <row r="440" s="531" customFormat="1" x14ac:dyDescent="0.2"/>
    <row r="441" s="531" customFormat="1" x14ac:dyDescent="0.2"/>
    <row r="442" s="531" customFormat="1" x14ac:dyDescent="0.2"/>
    <row r="443" s="531" customFormat="1" x14ac:dyDescent="0.2"/>
    <row r="444" s="531" customFormat="1" x14ac:dyDescent="0.2"/>
    <row r="445" s="531" customFormat="1" x14ac:dyDescent="0.2"/>
    <row r="446" s="531" customFormat="1" x14ac:dyDescent="0.2"/>
    <row r="447" s="531" customFormat="1" x14ac:dyDescent="0.2"/>
    <row r="448" s="531" customFormat="1" x14ac:dyDescent="0.2"/>
    <row r="449" s="531" customFormat="1" x14ac:dyDescent="0.2"/>
    <row r="450" s="531" customFormat="1" x14ac:dyDescent="0.2"/>
    <row r="451" s="531" customFormat="1" x14ac:dyDescent="0.2"/>
    <row r="452" s="531" customFormat="1" x14ac:dyDescent="0.2"/>
    <row r="453" s="531" customFormat="1" x14ac:dyDescent="0.2"/>
    <row r="454" s="531" customFormat="1" x14ac:dyDescent="0.2"/>
    <row r="455" s="531" customFormat="1" x14ac:dyDescent="0.2"/>
    <row r="456" s="531" customFormat="1" x14ac:dyDescent="0.2"/>
    <row r="457" s="531" customFormat="1" x14ac:dyDescent="0.2"/>
    <row r="458" s="531" customFormat="1" x14ac:dyDescent="0.2"/>
    <row r="459" s="531" customFormat="1" x14ac:dyDescent="0.2"/>
    <row r="460" s="531" customFormat="1" x14ac:dyDescent="0.2"/>
    <row r="461" s="531" customFormat="1" x14ac:dyDescent="0.2"/>
    <row r="462" s="531" customFormat="1" x14ac:dyDescent="0.2"/>
    <row r="463" s="531" customFormat="1" x14ac:dyDescent="0.2"/>
    <row r="464" s="531" customFormat="1" x14ac:dyDescent="0.2"/>
    <row r="465" s="531" customFormat="1" x14ac:dyDescent="0.2"/>
    <row r="466" s="531" customFormat="1" x14ac:dyDescent="0.2"/>
    <row r="467" s="531" customFormat="1" x14ac:dyDescent="0.2"/>
    <row r="468" s="531" customFormat="1" x14ac:dyDescent="0.2"/>
    <row r="469" s="531" customFormat="1" x14ac:dyDescent="0.2"/>
    <row r="470" s="531" customFormat="1" x14ac:dyDescent="0.2"/>
    <row r="471" s="531" customFormat="1" x14ac:dyDescent="0.2"/>
    <row r="472" s="531" customFormat="1" x14ac:dyDescent="0.2"/>
    <row r="473" s="531" customFormat="1" x14ac:dyDescent="0.2"/>
    <row r="474" s="531" customFormat="1" x14ac:dyDescent="0.2"/>
    <row r="475" s="531" customFormat="1" x14ac:dyDescent="0.2"/>
    <row r="476" s="531" customFormat="1" x14ac:dyDescent="0.2"/>
    <row r="477" s="531" customFormat="1" x14ac:dyDescent="0.2"/>
    <row r="478" s="531" customFormat="1" x14ac:dyDescent="0.2"/>
    <row r="479" s="531" customFormat="1" x14ac:dyDescent="0.2"/>
    <row r="480" s="531" customFormat="1" x14ac:dyDescent="0.2"/>
    <row r="481" s="531" customFormat="1" x14ac:dyDescent="0.2"/>
    <row r="482" s="531" customFormat="1" x14ac:dyDescent="0.2"/>
    <row r="483" s="531" customFormat="1" x14ac:dyDescent="0.2"/>
    <row r="484" s="531" customFormat="1" x14ac:dyDescent="0.2"/>
    <row r="485" s="531" customFormat="1" x14ac:dyDescent="0.2"/>
    <row r="486" s="531" customFormat="1" x14ac:dyDescent="0.2"/>
    <row r="487" s="531" customFormat="1" x14ac:dyDescent="0.2"/>
    <row r="488" s="531" customFormat="1" x14ac:dyDescent="0.2"/>
    <row r="489" s="531" customFormat="1" x14ac:dyDescent="0.2"/>
    <row r="490" s="531" customFormat="1" x14ac:dyDescent="0.2"/>
    <row r="491" s="531" customFormat="1" x14ac:dyDescent="0.2"/>
    <row r="492" s="531" customFormat="1" x14ac:dyDescent="0.2"/>
    <row r="493" s="531" customFormat="1" x14ac:dyDescent="0.2"/>
    <row r="494" s="531" customFormat="1" x14ac:dyDescent="0.2"/>
    <row r="495" s="531" customFormat="1" x14ac:dyDescent="0.2"/>
    <row r="496" s="531" customFormat="1" x14ac:dyDescent="0.2"/>
    <row r="497" s="531" customFormat="1" x14ac:dyDescent="0.2"/>
    <row r="498" s="531" customFormat="1" x14ac:dyDescent="0.2"/>
    <row r="499" s="531" customFormat="1" x14ac:dyDescent="0.2"/>
    <row r="500" s="531" customFormat="1" x14ac:dyDescent="0.2"/>
    <row r="501" s="531" customFormat="1" x14ac:dyDescent="0.2"/>
    <row r="502" s="531" customFormat="1" x14ac:dyDescent="0.2"/>
    <row r="503" s="531" customFormat="1" x14ac:dyDescent="0.2"/>
    <row r="504" s="531" customFormat="1" x14ac:dyDescent="0.2"/>
    <row r="505" s="531" customFormat="1" x14ac:dyDescent="0.2"/>
    <row r="506" s="531" customFormat="1" x14ac:dyDescent="0.2"/>
    <row r="507" s="531" customFormat="1" x14ac:dyDescent="0.2"/>
    <row r="508" s="531" customFormat="1" x14ac:dyDescent="0.2"/>
    <row r="509" s="531" customFormat="1" x14ac:dyDescent="0.2"/>
    <row r="510" s="531" customFormat="1" x14ac:dyDescent="0.2"/>
    <row r="511" s="531" customFormat="1" x14ac:dyDescent="0.2"/>
    <row r="512" s="531" customFormat="1" x14ac:dyDescent="0.2"/>
    <row r="513" s="531" customFormat="1" x14ac:dyDescent="0.2"/>
    <row r="514" s="531" customFormat="1" x14ac:dyDescent="0.2"/>
    <row r="515" s="531" customFormat="1" x14ac:dyDescent="0.2"/>
    <row r="516" s="531" customFormat="1" x14ac:dyDescent="0.2"/>
    <row r="517" s="531" customFormat="1" x14ac:dyDescent="0.2"/>
    <row r="518" s="531" customFormat="1" x14ac:dyDescent="0.2"/>
    <row r="519" s="531" customFormat="1" x14ac:dyDescent="0.2"/>
    <row r="520" s="531" customFormat="1" x14ac:dyDescent="0.2"/>
    <row r="521" s="531" customFormat="1" x14ac:dyDescent="0.2"/>
    <row r="522" s="531" customFormat="1" x14ac:dyDescent="0.2"/>
    <row r="523" s="531" customFormat="1" x14ac:dyDescent="0.2"/>
    <row r="524" s="531" customFormat="1" x14ac:dyDescent="0.2"/>
    <row r="525" s="531" customFormat="1" x14ac:dyDescent="0.2"/>
    <row r="526" s="531" customFormat="1" x14ac:dyDescent="0.2"/>
    <row r="527" s="531" customFormat="1" x14ac:dyDescent="0.2"/>
    <row r="528" s="531" customFormat="1" x14ac:dyDescent="0.2"/>
    <row r="529" s="531" customFormat="1" x14ac:dyDescent="0.2"/>
    <row r="530" s="531" customFormat="1" x14ac:dyDescent="0.2"/>
    <row r="531" s="531" customFormat="1" x14ac:dyDescent="0.2"/>
    <row r="532" s="531" customFormat="1" x14ac:dyDescent="0.2"/>
    <row r="533" s="531" customFormat="1" x14ac:dyDescent="0.2"/>
    <row r="534" s="531" customFormat="1" x14ac:dyDescent="0.2"/>
    <row r="535" s="531" customFormat="1" x14ac:dyDescent="0.2"/>
    <row r="536" s="531" customFormat="1" x14ac:dyDescent="0.2"/>
    <row r="537" s="531" customFormat="1" x14ac:dyDescent="0.2"/>
    <row r="538" s="531" customFormat="1" x14ac:dyDescent="0.2"/>
    <row r="539" s="531" customFormat="1" x14ac:dyDescent="0.2"/>
    <row r="540" s="531" customFormat="1" x14ac:dyDescent="0.2"/>
    <row r="541" s="531" customFormat="1" x14ac:dyDescent="0.2"/>
    <row r="542" s="531" customFormat="1" x14ac:dyDescent="0.2"/>
    <row r="543" s="531" customFormat="1" x14ac:dyDescent="0.2"/>
    <row r="544" s="531" customFormat="1" x14ac:dyDescent="0.2"/>
    <row r="545" s="531" customFormat="1" x14ac:dyDescent="0.2"/>
    <row r="546" s="531" customFormat="1" x14ac:dyDescent="0.2"/>
    <row r="547" s="531" customFormat="1" x14ac:dyDescent="0.2"/>
    <row r="548" s="531" customFormat="1" x14ac:dyDescent="0.2"/>
    <row r="549" s="531" customFormat="1" x14ac:dyDescent="0.2"/>
    <row r="550" s="531" customFormat="1" x14ac:dyDescent="0.2"/>
    <row r="551" s="531" customFormat="1" x14ac:dyDescent="0.2"/>
    <row r="552" s="531" customFormat="1" x14ac:dyDescent="0.2"/>
    <row r="553" s="531" customFormat="1" x14ac:dyDescent="0.2"/>
    <row r="554" s="531" customFormat="1" x14ac:dyDescent="0.2"/>
    <row r="555" s="531" customFormat="1" x14ac:dyDescent="0.2"/>
    <row r="556" s="531" customFormat="1" x14ac:dyDescent="0.2"/>
    <row r="557" s="531" customFormat="1" x14ac:dyDescent="0.2"/>
    <row r="558" s="531" customFormat="1" x14ac:dyDescent="0.2"/>
    <row r="559" s="531" customFormat="1" x14ac:dyDescent="0.2"/>
    <row r="560" s="531" customFormat="1" x14ac:dyDescent="0.2"/>
    <row r="561" s="531" customFormat="1" x14ac:dyDescent="0.2"/>
    <row r="562" s="531" customFormat="1" x14ac:dyDescent="0.2"/>
    <row r="563" s="531" customFormat="1" x14ac:dyDescent="0.2"/>
    <row r="564" s="531" customFormat="1" x14ac:dyDescent="0.2"/>
    <row r="565" s="531" customFormat="1" x14ac:dyDescent="0.2"/>
    <row r="566" s="531" customFormat="1" x14ac:dyDescent="0.2"/>
    <row r="567" s="531" customFormat="1" x14ac:dyDescent="0.2"/>
    <row r="568" s="531" customFormat="1" x14ac:dyDescent="0.2"/>
    <row r="569" s="531" customFormat="1" x14ac:dyDescent="0.2"/>
    <row r="570" s="531" customFormat="1" x14ac:dyDescent="0.2"/>
    <row r="571" s="531" customFormat="1" x14ac:dyDescent="0.2"/>
    <row r="572" s="531" customFormat="1" x14ac:dyDescent="0.2"/>
    <row r="573" s="531" customFormat="1" x14ac:dyDescent="0.2"/>
    <row r="574" s="531" customFormat="1" x14ac:dyDescent="0.2"/>
    <row r="575" s="531" customFormat="1" x14ac:dyDescent="0.2"/>
    <row r="576" s="531" customFormat="1" x14ac:dyDescent="0.2"/>
    <row r="577" s="531" customFormat="1" x14ac:dyDescent="0.2"/>
    <row r="578" s="531" customFormat="1" x14ac:dyDescent="0.2"/>
    <row r="579" s="531" customFormat="1" x14ac:dyDescent="0.2"/>
    <row r="580" s="531" customFormat="1" x14ac:dyDescent="0.2"/>
    <row r="581" s="531" customFormat="1" x14ac:dyDescent="0.2"/>
    <row r="582" s="531" customFormat="1" x14ac:dyDescent="0.2"/>
    <row r="583" s="531" customFormat="1" x14ac:dyDescent="0.2"/>
    <row r="584" s="531" customFormat="1" x14ac:dyDescent="0.2"/>
    <row r="585" s="531" customFormat="1" x14ac:dyDescent="0.2"/>
    <row r="586" s="531" customFormat="1" x14ac:dyDescent="0.2"/>
    <row r="587" s="531" customFormat="1" x14ac:dyDescent="0.2"/>
    <row r="588" s="531" customFormat="1" x14ac:dyDescent="0.2"/>
    <row r="589" s="531" customFormat="1" x14ac:dyDescent="0.2"/>
    <row r="590" s="531" customFormat="1" x14ac:dyDescent="0.2"/>
    <row r="591" s="531" customFormat="1" x14ac:dyDescent="0.2"/>
    <row r="592" s="531" customFormat="1" x14ac:dyDescent="0.2"/>
    <row r="593" s="531" customFormat="1" x14ac:dyDescent="0.2"/>
    <row r="594" s="531" customFormat="1" x14ac:dyDescent="0.2"/>
    <row r="595" s="531" customFormat="1" x14ac:dyDescent="0.2"/>
    <row r="596" s="531" customFormat="1" x14ac:dyDescent="0.2"/>
    <row r="597" s="531" customFormat="1" x14ac:dyDescent="0.2"/>
    <row r="598" s="531" customFormat="1" x14ac:dyDescent="0.2"/>
    <row r="599" s="531" customFormat="1" x14ac:dyDescent="0.2"/>
    <row r="600" s="531" customFormat="1" x14ac:dyDescent="0.2"/>
    <row r="601" s="531" customFormat="1" x14ac:dyDescent="0.2"/>
    <row r="602" s="531" customFormat="1" x14ac:dyDescent="0.2"/>
    <row r="603" s="531" customFormat="1" x14ac:dyDescent="0.2"/>
    <row r="604" s="531" customFormat="1" x14ac:dyDescent="0.2"/>
    <row r="605" s="531" customFormat="1" x14ac:dyDescent="0.2"/>
    <row r="606" s="531" customFormat="1" x14ac:dyDescent="0.2"/>
    <row r="607" s="531" customFormat="1" x14ac:dyDescent="0.2"/>
    <row r="608" s="531" customFormat="1" x14ac:dyDescent="0.2"/>
    <row r="609" s="531" customFormat="1" x14ac:dyDescent="0.2"/>
    <row r="610" s="531" customFormat="1" x14ac:dyDescent="0.2"/>
    <row r="611" s="531" customFormat="1" x14ac:dyDescent="0.2"/>
    <row r="612" s="531" customFormat="1" x14ac:dyDescent="0.2"/>
    <row r="613" s="531" customFormat="1" x14ac:dyDescent="0.2"/>
    <row r="614" s="531" customFormat="1" x14ac:dyDescent="0.2"/>
    <row r="615" s="531" customFormat="1" x14ac:dyDescent="0.2"/>
    <row r="616" s="531" customFormat="1" x14ac:dyDescent="0.2"/>
    <row r="617" s="531" customFormat="1" x14ac:dyDescent="0.2"/>
    <row r="618" s="531" customFormat="1" x14ac:dyDescent="0.2"/>
    <row r="619" s="531" customFormat="1" x14ac:dyDescent="0.2"/>
    <row r="620" s="531" customFormat="1" x14ac:dyDescent="0.2"/>
    <row r="621" s="531" customFormat="1" x14ac:dyDescent="0.2"/>
    <row r="622" s="531" customFormat="1" x14ac:dyDescent="0.2"/>
    <row r="623" s="531" customFormat="1" x14ac:dyDescent="0.2"/>
    <row r="624" s="531" customFormat="1" x14ac:dyDescent="0.2"/>
    <row r="625" s="531" customFormat="1" x14ac:dyDescent="0.2"/>
    <row r="626" s="531" customFormat="1" x14ac:dyDescent="0.2"/>
    <row r="627" s="531" customFormat="1" x14ac:dyDescent="0.2"/>
    <row r="628" s="531" customFormat="1" x14ac:dyDescent="0.2"/>
    <row r="629" s="531" customFormat="1" x14ac:dyDescent="0.2"/>
    <row r="630" s="531" customFormat="1" x14ac:dyDescent="0.2"/>
    <row r="631" s="531" customFormat="1" x14ac:dyDescent="0.2"/>
    <row r="632" s="531" customFormat="1" x14ac:dyDescent="0.2"/>
    <row r="633" s="531" customFormat="1" x14ac:dyDescent="0.2"/>
    <row r="634" s="531" customFormat="1" x14ac:dyDescent="0.2"/>
    <row r="635" s="531" customFormat="1" x14ac:dyDescent="0.2"/>
    <row r="636" s="531" customFormat="1" x14ac:dyDescent="0.2"/>
    <row r="637" s="531" customFormat="1" x14ac:dyDescent="0.2"/>
    <row r="638" s="531" customFormat="1" x14ac:dyDescent="0.2"/>
    <row r="639" s="531" customFormat="1" x14ac:dyDescent="0.2"/>
    <row r="640" s="531" customFormat="1" x14ac:dyDescent="0.2"/>
    <row r="641" s="531" customFormat="1" x14ac:dyDescent="0.2"/>
    <row r="642" s="531" customFormat="1" x14ac:dyDescent="0.2"/>
    <row r="643" s="531" customFormat="1" x14ac:dyDescent="0.2"/>
    <row r="644" s="531" customFormat="1" x14ac:dyDescent="0.2"/>
    <row r="645" s="531" customFormat="1" x14ac:dyDescent="0.2"/>
    <row r="646" s="531" customFormat="1" x14ac:dyDescent="0.2"/>
    <row r="647" s="531" customFormat="1" x14ac:dyDescent="0.2"/>
    <row r="648" s="531" customFormat="1" x14ac:dyDescent="0.2"/>
    <row r="649" s="531" customFormat="1" x14ac:dyDescent="0.2"/>
    <row r="650" s="531" customFormat="1" x14ac:dyDescent="0.2"/>
    <row r="651" s="531" customFormat="1" x14ac:dyDescent="0.2"/>
    <row r="652" s="531" customFormat="1" x14ac:dyDescent="0.2"/>
    <row r="653" s="531" customFormat="1" x14ac:dyDescent="0.2"/>
    <row r="654" s="531" customFormat="1" x14ac:dyDescent="0.2"/>
    <row r="655" s="531" customFormat="1" x14ac:dyDescent="0.2"/>
    <row r="656" s="531" customFormat="1" x14ac:dyDescent="0.2"/>
    <row r="657" s="531" customFormat="1" x14ac:dyDescent="0.2"/>
    <row r="658" s="531" customFormat="1" x14ac:dyDescent="0.2"/>
    <row r="659" s="531" customFormat="1" x14ac:dyDescent="0.2"/>
    <row r="660" s="531" customFormat="1" x14ac:dyDescent="0.2"/>
    <row r="661" s="531" customFormat="1" x14ac:dyDescent="0.2"/>
    <row r="662" s="531" customFormat="1" x14ac:dyDescent="0.2"/>
    <row r="663" s="531" customFormat="1" x14ac:dyDescent="0.2"/>
    <row r="664" s="531" customFormat="1" x14ac:dyDescent="0.2"/>
    <row r="665" s="531" customFormat="1" x14ac:dyDescent="0.2"/>
    <row r="666" s="531" customFormat="1" x14ac:dyDescent="0.2"/>
    <row r="667" s="531" customFormat="1" x14ac:dyDescent="0.2"/>
    <row r="668" s="531" customFormat="1" x14ac:dyDescent="0.2"/>
    <row r="669" s="531" customFormat="1" x14ac:dyDescent="0.2"/>
    <row r="670" s="531" customFormat="1" x14ac:dyDescent="0.2"/>
    <row r="671" s="531" customFormat="1" x14ac:dyDescent="0.2"/>
    <row r="672" s="531" customFormat="1" x14ac:dyDescent="0.2"/>
    <row r="673" s="531" customFormat="1" x14ac:dyDescent="0.2"/>
    <row r="674" s="531" customFormat="1" x14ac:dyDescent="0.2"/>
    <row r="675" s="531" customFormat="1" x14ac:dyDescent="0.2"/>
    <row r="676" s="531" customFormat="1" x14ac:dyDescent="0.2"/>
    <row r="677" s="531" customFormat="1" x14ac:dyDescent="0.2"/>
    <row r="678" s="531" customFormat="1" x14ac:dyDescent="0.2"/>
    <row r="679" s="531" customFormat="1" x14ac:dyDescent="0.2"/>
    <row r="680" s="531" customFormat="1" x14ac:dyDescent="0.2"/>
    <row r="681" s="531" customFormat="1" x14ac:dyDescent="0.2"/>
    <row r="682" s="531" customFormat="1" x14ac:dyDescent="0.2"/>
    <row r="683" s="531" customFormat="1" x14ac:dyDescent="0.2"/>
    <row r="684" s="531" customFormat="1" x14ac:dyDescent="0.2"/>
    <row r="685" s="531" customFormat="1" x14ac:dyDescent="0.2"/>
    <row r="686" s="531" customFormat="1" x14ac:dyDescent="0.2"/>
    <row r="687" s="531" customFormat="1" x14ac:dyDescent="0.2"/>
    <row r="688" s="531" customFormat="1" x14ac:dyDescent="0.2"/>
    <row r="689" s="531" customFormat="1" x14ac:dyDescent="0.2"/>
    <row r="690" s="531" customFormat="1" x14ac:dyDescent="0.2"/>
    <row r="691" s="531" customFormat="1" x14ac:dyDescent="0.2"/>
    <row r="692" s="531" customFormat="1" x14ac:dyDescent="0.2"/>
    <row r="693" s="531" customFormat="1" x14ac:dyDescent="0.2"/>
    <row r="694" s="531" customFormat="1" x14ac:dyDescent="0.2"/>
    <row r="695" s="531" customFormat="1" x14ac:dyDescent="0.2"/>
    <row r="696" s="531" customFormat="1" x14ac:dyDescent="0.2"/>
    <row r="697" s="531" customFormat="1" x14ac:dyDescent="0.2"/>
    <row r="698" s="531" customFormat="1" x14ac:dyDescent="0.2"/>
    <row r="699" s="531" customFormat="1" x14ac:dyDescent="0.2"/>
    <row r="700" s="531" customFormat="1" x14ac:dyDescent="0.2"/>
    <row r="701" s="531" customFormat="1" x14ac:dyDescent="0.2"/>
    <row r="702" s="531" customFormat="1" x14ac:dyDescent="0.2"/>
    <row r="703" s="531" customFormat="1" x14ac:dyDescent="0.2"/>
    <row r="704" s="531" customFormat="1" x14ac:dyDescent="0.2"/>
    <row r="705" s="531" customFormat="1" x14ac:dyDescent="0.2"/>
    <row r="706" s="531" customFormat="1" x14ac:dyDescent="0.2"/>
    <row r="707" s="531" customFormat="1" x14ac:dyDescent="0.2"/>
    <row r="708" s="531" customFormat="1" x14ac:dyDescent="0.2"/>
    <row r="709" s="531" customFormat="1" x14ac:dyDescent="0.2"/>
    <row r="710" s="531" customFormat="1" x14ac:dyDescent="0.2"/>
    <row r="711" s="531" customFormat="1" x14ac:dyDescent="0.2"/>
    <row r="712" s="531" customFormat="1" x14ac:dyDescent="0.2"/>
    <row r="713" s="531" customFormat="1" x14ac:dyDescent="0.2"/>
    <row r="714" s="531" customFormat="1" x14ac:dyDescent="0.2"/>
    <row r="715" s="531" customFormat="1" x14ac:dyDescent="0.2"/>
    <row r="716" s="531" customFormat="1" x14ac:dyDescent="0.2"/>
    <row r="717" s="531" customFormat="1" x14ac:dyDescent="0.2"/>
    <row r="718" s="531" customFormat="1" x14ac:dyDescent="0.2"/>
    <row r="719" s="531" customFormat="1" x14ac:dyDescent="0.2"/>
    <row r="720" s="531" customFormat="1" x14ac:dyDescent="0.2"/>
    <row r="721" s="531" customFormat="1" x14ac:dyDescent="0.2"/>
    <row r="722" s="531" customFormat="1" x14ac:dyDescent="0.2"/>
    <row r="723" s="531" customFormat="1" x14ac:dyDescent="0.2"/>
    <row r="724" s="531" customFormat="1" x14ac:dyDescent="0.2"/>
    <row r="725" s="531" customFormat="1" x14ac:dyDescent="0.2"/>
    <row r="726" s="531" customFormat="1" x14ac:dyDescent="0.2"/>
    <row r="727" s="531" customFormat="1" x14ac:dyDescent="0.2"/>
    <row r="728" s="531" customFormat="1" x14ac:dyDescent="0.2"/>
    <row r="729" s="531" customFormat="1" x14ac:dyDescent="0.2"/>
    <row r="730" s="531" customFormat="1" x14ac:dyDescent="0.2"/>
    <row r="731" s="531" customFormat="1" x14ac:dyDescent="0.2"/>
    <row r="732" s="531" customFormat="1" x14ac:dyDescent="0.2"/>
    <row r="733" s="531" customFormat="1" x14ac:dyDescent="0.2"/>
    <row r="734" s="531" customFormat="1" x14ac:dyDescent="0.2"/>
    <row r="735" s="531" customFormat="1" x14ac:dyDescent="0.2"/>
    <row r="736" s="531" customFormat="1" x14ac:dyDescent="0.2"/>
    <row r="737" s="531" customFormat="1" x14ac:dyDescent="0.2"/>
    <row r="738" s="531" customFormat="1" x14ac:dyDescent="0.2"/>
    <row r="739" s="531" customFormat="1" x14ac:dyDescent="0.2"/>
    <row r="740" s="531" customFormat="1" x14ac:dyDescent="0.2"/>
    <row r="741" s="531" customFormat="1" x14ac:dyDescent="0.2"/>
    <row r="742" s="531" customFormat="1" x14ac:dyDescent="0.2"/>
    <row r="743" s="531" customFormat="1" x14ac:dyDescent="0.2"/>
    <row r="744" s="531" customFormat="1" x14ac:dyDescent="0.2"/>
    <row r="745" s="531" customFormat="1" x14ac:dyDescent="0.2"/>
    <row r="746" s="531" customFormat="1" x14ac:dyDescent="0.2"/>
    <row r="747" s="531" customFormat="1" x14ac:dyDescent="0.2"/>
    <row r="748" s="531" customFormat="1" x14ac:dyDescent="0.2"/>
    <row r="749" s="531" customFormat="1" x14ac:dyDescent="0.2"/>
    <row r="750" s="531" customFormat="1" x14ac:dyDescent="0.2"/>
    <row r="751" s="531" customFormat="1" x14ac:dyDescent="0.2"/>
    <row r="752" s="531" customFormat="1" x14ac:dyDescent="0.2"/>
    <row r="753" s="531" customFormat="1" x14ac:dyDescent="0.2"/>
    <row r="754" s="531" customFormat="1" x14ac:dyDescent="0.2"/>
    <row r="755" s="531" customFormat="1" x14ac:dyDescent="0.2"/>
    <row r="756" s="531" customFormat="1" x14ac:dyDescent="0.2"/>
    <row r="757" s="531" customFormat="1" x14ac:dyDescent="0.2"/>
    <row r="758" s="531" customFormat="1" x14ac:dyDescent="0.2"/>
    <row r="759" s="531" customFormat="1" x14ac:dyDescent="0.2"/>
    <row r="760" s="531" customFormat="1" x14ac:dyDescent="0.2"/>
    <row r="761" s="531" customFormat="1" x14ac:dyDescent="0.2"/>
    <row r="762" s="531" customFormat="1" x14ac:dyDescent="0.2"/>
    <row r="763" s="531" customFormat="1" x14ac:dyDescent="0.2"/>
    <row r="764" s="531" customFormat="1" x14ac:dyDescent="0.2"/>
    <row r="765" s="531" customFormat="1" x14ac:dyDescent="0.2"/>
    <row r="766" s="531" customFormat="1" x14ac:dyDescent="0.2"/>
    <row r="767" s="531" customFormat="1" x14ac:dyDescent="0.2"/>
    <row r="768" s="531" customFormat="1" x14ac:dyDescent="0.2"/>
    <row r="769" s="531" customFormat="1" x14ac:dyDescent="0.2"/>
    <row r="770" s="531" customFormat="1" x14ac:dyDescent="0.2"/>
    <row r="771" s="531" customFormat="1" x14ac:dyDescent="0.2"/>
    <row r="772" s="531" customFormat="1" x14ac:dyDescent="0.2"/>
    <row r="773" s="531" customFormat="1" x14ac:dyDescent="0.2"/>
    <row r="774" s="531" customFormat="1" x14ac:dyDescent="0.2"/>
    <row r="775" s="531" customFormat="1" x14ac:dyDescent="0.2"/>
    <row r="776" s="531" customFormat="1" x14ac:dyDescent="0.2"/>
    <row r="777" s="531" customFormat="1" x14ac:dyDescent="0.2"/>
    <row r="778" s="531" customFormat="1" x14ac:dyDescent="0.2"/>
    <row r="779" s="531" customFormat="1" x14ac:dyDescent="0.2"/>
    <row r="780" s="531" customFormat="1" x14ac:dyDescent="0.2"/>
    <row r="781" s="531" customFormat="1" x14ac:dyDescent="0.2"/>
    <row r="782" s="531" customFormat="1" x14ac:dyDescent="0.2"/>
    <row r="783" s="531" customFormat="1" x14ac:dyDescent="0.2"/>
    <row r="784" s="531" customFormat="1" x14ac:dyDescent="0.2"/>
    <row r="785" s="531" customFormat="1" x14ac:dyDescent="0.2"/>
    <row r="786" s="531" customFormat="1" x14ac:dyDescent="0.2"/>
    <row r="787" s="531" customFormat="1" x14ac:dyDescent="0.2"/>
    <row r="788" s="531" customFormat="1" x14ac:dyDescent="0.2"/>
    <row r="789" s="531" customFormat="1" x14ac:dyDescent="0.2"/>
    <row r="790" s="531" customFormat="1" x14ac:dyDescent="0.2"/>
    <row r="791" s="531" customFormat="1" x14ac:dyDescent="0.2"/>
    <row r="792" s="531" customFormat="1" x14ac:dyDescent="0.2"/>
    <row r="793" s="531" customFormat="1" x14ac:dyDescent="0.2"/>
    <row r="794" s="531" customFormat="1" x14ac:dyDescent="0.2"/>
    <row r="795" s="531" customFormat="1" x14ac:dyDescent="0.2"/>
    <row r="796" s="531" customFormat="1" x14ac:dyDescent="0.2"/>
    <row r="797" s="531" customFormat="1" x14ac:dyDescent="0.2"/>
    <row r="798" s="531" customFormat="1" x14ac:dyDescent="0.2"/>
    <row r="799" s="531" customFormat="1" x14ac:dyDescent="0.2"/>
    <row r="800" s="531" customFormat="1" x14ac:dyDescent="0.2"/>
    <row r="801" s="531" customFormat="1" x14ac:dyDescent="0.2"/>
    <row r="802" s="531" customFormat="1" x14ac:dyDescent="0.2"/>
    <row r="803" s="531" customFormat="1" x14ac:dyDescent="0.2"/>
    <row r="804" s="531" customFormat="1" x14ac:dyDescent="0.2"/>
    <row r="805" s="531" customFormat="1" x14ac:dyDescent="0.2"/>
    <row r="806" s="531" customFormat="1" x14ac:dyDescent="0.2"/>
    <row r="807" s="531" customFormat="1" x14ac:dyDescent="0.2"/>
    <row r="808" s="531" customFormat="1" x14ac:dyDescent="0.2"/>
    <row r="809" s="531" customFormat="1" x14ac:dyDescent="0.2"/>
    <row r="810" s="531" customFormat="1" x14ac:dyDescent="0.2"/>
    <row r="811" s="531" customFormat="1" x14ac:dyDescent="0.2"/>
    <row r="812" s="531" customFormat="1" x14ac:dyDescent="0.2"/>
    <row r="813" s="531" customFormat="1" x14ac:dyDescent="0.2"/>
    <row r="814" s="531" customFormat="1" x14ac:dyDescent="0.2"/>
    <row r="815" s="531" customFormat="1" x14ac:dyDescent="0.2"/>
    <row r="816" s="531" customFormat="1" x14ac:dyDescent="0.2"/>
    <row r="817" s="531" customFormat="1" x14ac:dyDescent="0.2"/>
    <row r="818" s="531" customFormat="1" x14ac:dyDescent="0.2"/>
    <row r="819" s="531" customFormat="1" x14ac:dyDescent="0.2"/>
    <row r="820" s="531" customFormat="1" x14ac:dyDescent="0.2"/>
    <row r="821" s="531" customFormat="1" x14ac:dyDescent="0.2"/>
    <row r="822" s="531" customFormat="1" x14ac:dyDescent="0.2"/>
    <row r="823" s="531" customFormat="1" x14ac:dyDescent="0.2"/>
  </sheetData>
  <sheetProtection algorithmName="SHA-512" hashValue="XLcfzDR7UEylnW+fuQrsPujY+lDKRB29I70k6K0NL7FkJFZWXQMehFcemdkprBH//+1bveAmPlKv7TZAKLaNSQ==" saltValue="UMNyIDIryAfURbVZMUnT/Q==" spinCount="100000" sheet="1" objects="1" scenarios="1"/>
  <mergeCells count="5">
    <mergeCell ref="A1:L1"/>
    <mergeCell ref="A10:B10"/>
    <mergeCell ref="A13:B13"/>
    <mergeCell ref="A26:B26"/>
    <mergeCell ref="A38:B38"/>
  </mergeCells>
  <conditionalFormatting sqref="C18:C26 C27:E28 C31:C38 C39:E40">
    <cfRule type="expression" dxfId="24" priority="1" stopIfTrue="1">
      <formula>$C$6="ex-ante"</formula>
    </cfRule>
  </conditionalFormatting>
  <pageMargins left="0.74803149606299213" right="0.74803149606299213" top="0.98425196850393704" bottom="0.98425196850393704" header="0.51181102362204722" footer="0.51181102362204722"/>
  <pageSetup paperSize="8" scale="86" orientation="landscape" r:id="rId1"/>
  <headerFooter alignWithMargins="0"/>
  <rowBreaks count="1" manualBreakCount="1">
    <brk id="24"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BBBCC-C0C8-4F1D-987E-B4A4D6CF2F01}">
  <sheetPr>
    <pageSetUpPr fitToPage="1"/>
  </sheetPr>
  <dimension ref="A1:S51"/>
  <sheetViews>
    <sheetView zoomScaleNormal="100" workbookViewId="0">
      <selection activeCell="E13" sqref="E13"/>
    </sheetView>
  </sheetViews>
  <sheetFormatPr defaultColWidth="9.140625" defaultRowHeight="12.75" x14ac:dyDescent="0.2"/>
  <cols>
    <col min="1" max="1" width="4.5703125" style="167" customWidth="1"/>
    <col min="2" max="2" width="54.85546875" style="167" customWidth="1"/>
    <col min="3" max="3" width="25.7109375" style="167" customWidth="1"/>
    <col min="4" max="4" width="25.7109375" style="220" customWidth="1"/>
    <col min="5" max="5" width="23.28515625" style="167" customWidth="1"/>
    <col min="6" max="13" width="9.140625" style="167"/>
    <col min="14" max="16384" width="9.140625" style="209"/>
  </cols>
  <sheetData>
    <row r="1" spans="1:19" ht="16.5" thickBot="1" x14ac:dyDescent="0.25">
      <c r="A1" s="1371" t="s">
        <v>413</v>
      </c>
      <c r="B1" s="1372"/>
      <c r="C1" s="1372"/>
      <c r="D1" s="1373"/>
      <c r="E1" s="293"/>
      <c r="F1" s="293"/>
      <c r="G1" s="293"/>
      <c r="H1" s="293"/>
      <c r="I1" s="293"/>
      <c r="J1" s="293"/>
      <c r="K1" s="293"/>
      <c r="L1" s="296"/>
      <c r="M1" s="212"/>
      <c r="N1" s="212"/>
      <c r="O1" s="212"/>
      <c r="P1" s="212"/>
      <c r="Q1" s="212"/>
      <c r="R1" s="212"/>
      <c r="S1" s="212"/>
    </row>
    <row r="2" spans="1:19" x14ac:dyDescent="0.2">
      <c r="B2" s="209">
        <f>+TITELBLAD!E16</f>
        <v>2021</v>
      </c>
      <c r="C2" s="212"/>
      <c r="E2" s="296"/>
      <c r="F2" s="296"/>
      <c r="G2" s="296"/>
      <c r="H2" s="296"/>
      <c r="I2" s="296"/>
      <c r="J2" s="296"/>
      <c r="K2" s="296"/>
      <c r="L2" s="296"/>
      <c r="M2" s="212"/>
      <c r="N2" s="212"/>
      <c r="O2" s="212"/>
      <c r="P2" s="212"/>
      <c r="Q2" s="212"/>
      <c r="R2" s="212"/>
      <c r="S2" s="212"/>
    </row>
    <row r="3" spans="1:19" x14ac:dyDescent="0.2">
      <c r="B3" s="224"/>
      <c r="E3" s="296"/>
      <c r="F3" s="296"/>
      <c r="G3" s="296"/>
      <c r="H3" s="296"/>
      <c r="I3" s="296"/>
      <c r="J3" s="296"/>
      <c r="K3" s="296"/>
      <c r="L3" s="296"/>
      <c r="M3" s="212"/>
      <c r="N3" s="212"/>
      <c r="O3" s="212"/>
      <c r="P3" s="212"/>
      <c r="Q3" s="212"/>
      <c r="R3" s="212"/>
      <c r="S3" s="212"/>
    </row>
    <row r="4" spans="1:19" x14ac:dyDescent="0.2">
      <c r="B4" s="224"/>
      <c r="E4" s="296"/>
      <c r="F4" s="296"/>
      <c r="G4" s="296"/>
      <c r="H4" s="296"/>
      <c r="I4" s="296"/>
      <c r="J4" s="296"/>
      <c r="K4" s="296"/>
      <c r="L4" s="296"/>
      <c r="M4" s="212"/>
      <c r="N4" s="212"/>
      <c r="O4" s="212"/>
      <c r="P4" s="212"/>
      <c r="Q4" s="212"/>
      <c r="R4" s="212"/>
      <c r="S4" s="212"/>
    </row>
    <row r="5" spans="1:19" x14ac:dyDescent="0.2">
      <c r="B5" s="224"/>
      <c r="C5" s="1063" t="s">
        <v>0</v>
      </c>
      <c r="D5" s="1064" t="s">
        <v>362</v>
      </c>
      <c r="E5" s="296"/>
      <c r="F5" s="296"/>
      <c r="G5" s="296"/>
      <c r="H5" s="296"/>
      <c r="I5" s="296"/>
      <c r="J5" s="296"/>
      <c r="K5" s="296"/>
      <c r="L5" s="296"/>
      <c r="M5" s="212"/>
      <c r="N5" s="212"/>
      <c r="O5" s="212"/>
      <c r="P5" s="212"/>
      <c r="Q5" s="212"/>
      <c r="R5" s="212"/>
      <c r="S5" s="212"/>
    </row>
    <row r="6" spans="1:19" x14ac:dyDescent="0.2">
      <c r="B6" s="281"/>
      <c r="C6" s="1065" t="s">
        <v>2</v>
      </c>
      <c r="D6" s="1065" t="s">
        <v>2</v>
      </c>
      <c r="E6" s="296"/>
      <c r="F6" s="296"/>
      <c r="G6" s="296"/>
      <c r="H6" s="296"/>
      <c r="I6" s="296"/>
      <c r="J6" s="296"/>
      <c r="K6" s="296"/>
      <c r="L6" s="296"/>
      <c r="M6" s="212"/>
      <c r="N6" s="212"/>
      <c r="O6" s="212"/>
      <c r="P6" s="212"/>
      <c r="Q6" s="212"/>
      <c r="R6" s="212"/>
      <c r="S6" s="212"/>
    </row>
    <row r="7" spans="1:19" x14ac:dyDescent="0.2">
      <c r="C7" s="584">
        <f>+'T9 - Overzicht'!$B$6</f>
        <v>2021</v>
      </c>
      <c r="D7" s="584">
        <f>+'T9 - Overzicht'!$B$6</f>
        <v>2021</v>
      </c>
      <c r="E7" s="296"/>
      <c r="F7" s="296"/>
      <c r="G7" s="296"/>
      <c r="H7" s="296"/>
      <c r="I7" s="296"/>
      <c r="J7" s="296"/>
      <c r="K7" s="296"/>
      <c r="L7" s="296"/>
      <c r="M7" s="212"/>
      <c r="N7" s="212"/>
      <c r="O7" s="212"/>
      <c r="P7" s="212"/>
      <c r="Q7" s="212"/>
      <c r="R7" s="212"/>
      <c r="S7" s="212"/>
    </row>
    <row r="8" spans="1:19" x14ac:dyDescent="0.2">
      <c r="B8" s="297"/>
      <c r="C8" s="1066" t="str">
        <f>+'T9 - Overzicht'!$A$10</f>
        <v>NAAM DNB</v>
      </c>
      <c r="D8" s="1066" t="str">
        <f>+'T9 - Overzicht'!$A$10</f>
        <v>NAAM DNB</v>
      </c>
      <c r="E8" s="296"/>
      <c r="F8" s="296"/>
      <c r="G8" s="296"/>
      <c r="H8" s="296"/>
      <c r="I8" s="296"/>
      <c r="J8" s="296"/>
      <c r="K8" s="296"/>
      <c r="L8" s="296"/>
      <c r="M8" s="212"/>
      <c r="N8" s="212"/>
      <c r="O8" s="212"/>
      <c r="P8" s="212"/>
      <c r="Q8" s="212"/>
      <c r="R8" s="212"/>
      <c r="S8" s="212"/>
    </row>
    <row r="9" spans="1:19" x14ac:dyDescent="0.2">
      <c r="C9" s="1067" t="str">
        <f>+'T9 - Overzicht'!$A$13</f>
        <v>gas</v>
      </c>
      <c r="D9" s="1067" t="str">
        <f>+'T9 - Overzicht'!$A$13</f>
        <v>gas</v>
      </c>
      <c r="E9" s="296"/>
      <c r="F9" s="296"/>
      <c r="G9" s="296"/>
      <c r="H9" s="296"/>
      <c r="I9" s="296"/>
      <c r="J9" s="296"/>
      <c r="K9" s="296"/>
      <c r="L9" s="296"/>
      <c r="M9" s="212"/>
      <c r="N9" s="212"/>
      <c r="O9" s="212"/>
      <c r="P9" s="212"/>
      <c r="Q9" s="212"/>
      <c r="R9" s="212"/>
      <c r="S9" s="212"/>
    </row>
    <row r="10" spans="1:19" x14ac:dyDescent="0.2">
      <c r="C10" s="1068"/>
      <c r="D10" s="1068"/>
      <c r="L10" s="212"/>
      <c r="M10" s="212"/>
      <c r="N10" s="212"/>
      <c r="O10" s="212"/>
      <c r="P10" s="212"/>
      <c r="Q10" s="212"/>
      <c r="R10" s="212"/>
      <c r="S10" s="212"/>
    </row>
    <row r="11" spans="1:19" s="1070" customFormat="1" ht="18" customHeight="1" x14ac:dyDescent="0.2">
      <c r="A11" s="176"/>
      <c r="B11" s="185"/>
      <c r="C11" s="1069"/>
      <c r="D11" s="1069"/>
      <c r="E11" s="176"/>
      <c r="F11" s="176"/>
      <c r="G11" s="176"/>
      <c r="H11" s="176"/>
      <c r="I11" s="176"/>
      <c r="J11" s="176"/>
      <c r="K11" s="176"/>
      <c r="L11" s="187"/>
      <c r="M11" s="187"/>
      <c r="N11" s="187"/>
      <c r="O11" s="187"/>
      <c r="P11" s="187"/>
      <c r="Q11" s="187"/>
      <c r="R11" s="187"/>
      <c r="S11" s="187"/>
    </row>
    <row r="12" spans="1:19" s="1070" customFormat="1" ht="32.1" customHeight="1" x14ac:dyDescent="0.2">
      <c r="A12" s="176"/>
      <c r="B12" s="980" t="s">
        <v>304</v>
      </c>
      <c r="C12" s="1145">
        <f>+IF($C$9="elektriciteit",-T13A!G66-T13A!H66,IF('T10'!$C$9="gas",-T13C!G45-T13C!H45,"FOUT"))</f>
        <v>0</v>
      </c>
      <c r="D12" s="1145">
        <f>+IF($C$9="elektriciteit",-T13A!G120-T13A!H120,IF('T10'!$C$9="gas",-T13C!G78-T13C!H78,"FOUT"))</f>
        <v>0</v>
      </c>
      <c r="E12" s="1146" t="s">
        <v>459</v>
      </c>
      <c r="F12" s="176"/>
      <c r="G12" s="176"/>
      <c r="H12" s="176"/>
      <c r="I12" s="176"/>
      <c r="J12" s="176"/>
      <c r="K12" s="176"/>
      <c r="L12" s="176"/>
      <c r="M12" s="176"/>
    </row>
    <row r="13" spans="1:19" s="1070" customFormat="1" ht="32.1" customHeight="1" x14ac:dyDescent="0.2">
      <c r="A13" s="176"/>
      <c r="B13" s="185" t="s">
        <v>305</v>
      </c>
      <c r="C13" s="1145">
        <f>+IF($C$9="elektriciteit",-T13B!G66-T13B!H66,IF('T10'!$C$9="gas",-T13D!G45-T13D!H45,"FOUT"))</f>
        <v>0</v>
      </c>
      <c r="D13" s="1145">
        <f>+IF($C$9="elektriciteit",-T13B!G120-T13B!H120,IF('T10'!$C$9="gas",-T13D!G78-T13D!H78,"FOUT"))</f>
        <v>0</v>
      </c>
      <c r="E13" s="1146" t="s">
        <v>459</v>
      </c>
      <c r="F13" s="176"/>
      <c r="G13" s="176"/>
      <c r="H13" s="176"/>
      <c r="I13" s="176"/>
      <c r="J13" s="176"/>
      <c r="K13" s="176"/>
      <c r="L13" s="176"/>
      <c r="M13" s="176"/>
    </row>
    <row r="14" spans="1:19" s="1070" customFormat="1" ht="18" customHeight="1" x14ac:dyDescent="0.2">
      <c r="A14" s="176"/>
      <c r="B14" s="185" t="s">
        <v>297</v>
      </c>
      <c r="C14" s="660">
        <v>0.25</v>
      </c>
      <c r="D14" s="660">
        <v>0.25</v>
      </c>
      <c r="E14" s="176"/>
      <c r="F14" s="176"/>
      <c r="G14" s="176"/>
      <c r="H14" s="176"/>
      <c r="I14" s="176"/>
      <c r="J14" s="176"/>
      <c r="K14" s="176"/>
      <c r="L14" s="176"/>
      <c r="M14" s="176"/>
    </row>
    <row r="15" spans="1:19" s="1070" customFormat="1" ht="30.75" customHeight="1" x14ac:dyDescent="0.2">
      <c r="A15" s="176"/>
      <c r="B15" s="979" t="s">
        <v>298</v>
      </c>
      <c r="C15" s="1071">
        <f>(C12+C13)*C14/(1-C14)</f>
        <v>0</v>
      </c>
      <c r="D15" s="1071">
        <f>(D12+D13)*D14/(1-D14)</f>
        <v>0</v>
      </c>
      <c r="E15" s="176"/>
      <c r="F15" s="176"/>
      <c r="G15" s="176"/>
      <c r="H15" s="176"/>
      <c r="I15" s="176"/>
      <c r="J15" s="176"/>
      <c r="K15" s="176"/>
      <c r="L15" s="176"/>
      <c r="M15" s="176"/>
    </row>
    <row r="51" spans="1:13" s="220" customFormat="1" x14ac:dyDescent="0.2">
      <c r="A51" s="167"/>
      <c r="B51" s="297"/>
      <c r="C51" s="167"/>
      <c r="E51" s="167"/>
      <c r="F51" s="167"/>
      <c r="G51" s="167"/>
      <c r="H51" s="167"/>
      <c r="I51" s="167"/>
      <c r="J51" s="167"/>
      <c r="K51" s="167"/>
      <c r="L51" s="167"/>
      <c r="M51" s="167"/>
    </row>
  </sheetData>
  <sheetProtection algorithmName="SHA-512" hashValue="eQaoja08WODi24o/VwwSFn56Yflmrfjcl4WFPLSn/mNGZosP+BJqYYVbBBaZj8YrqSWOJUwE5VZFJDmTPbQytg==" saltValue="+QnvJVLTIH7jhsJ4QuJ2MQ==" spinCount="100000" sheet="1" objects="1" scenarios="1"/>
  <mergeCells count="1">
    <mergeCell ref="A1:D1"/>
  </mergeCells>
  <pageMargins left="0.74803149606299213" right="0.74803149606299213" top="0.98425196850393704" bottom="0.98425196850393704" header="0.51181102362204722" footer="0.51181102362204722"/>
  <pageSetup paperSize="8" scale="9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stopIfTrue="1" id="{00000000-000E-0000-1500-000001000000}">
            <xm:f>'T9 - Overzicht'!$C$6="ex-ante"</xm:f>
            <x14:dxf>
              <fill>
                <patternFill patternType="lightUp"/>
              </fill>
            </x14:dxf>
          </x14:cfRule>
          <xm:sqref>D5:D15</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0C0E5-5AAA-4417-AB29-21D7CE211B45}">
  <sheetPr>
    <pageSetUpPr fitToPage="1"/>
  </sheetPr>
  <dimension ref="A1:S50"/>
  <sheetViews>
    <sheetView zoomScaleNormal="100" workbookViewId="0">
      <selection activeCell="E29" sqref="E29"/>
    </sheetView>
  </sheetViews>
  <sheetFormatPr defaultColWidth="9.140625" defaultRowHeight="12.75" x14ac:dyDescent="0.2"/>
  <cols>
    <col min="1" max="1" width="4.5703125" style="167" customWidth="1"/>
    <col min="2" max="2" width="54.85546875" style="167" customWidth="1"/>
    <col min="3" max="3" width="29.42578125" style="167" customWidth="1"/>
    <col min="4" max="4" width="29.42578125" style="220" customWidth="1"/>
    <col min="5" max="5" width="23.28515625" style="167" customWidth="1"/>
    <col min="6" max="13" width="9.140625" style="167"/>
    <col min="14" max="16384" width="9.140625" style="209"/>
  </cols>
  <sheetData>
    <row r="1" spans="1:19" ht="20.100000000000001" customHeight="1" thickBot="1" x14ac:dyDescent="0.25">
      <c r="A1" s="1371" t="s">
        <v>430</v>
      </c>
      <c r="B1" s="1372"/>
      <c r="C1" s="1372"/>
      <c r="D1" s="1373"/>
      <c r="E1" s="293"/>
      <c r="F1" s="293"/>
      <c r="G1" s="293"/>
      <c r="H1" s="293"/>
      <c r="I1" s="293"/>
      <c r="J1" s="293"/>
      <c r="K1" s="293"/>
      <c r="L1" s="296"/>
      <c r="M1" s="212"/>
      <c r="N1" s="212"/>
      <c r="O1" s="212"/>
      <c r="P1" s="212"/>
      <c r="Q1" s="212"/>
      <c r="R1" s="212"/>
      <c r="S1" s="212"/>
    </row>
    <row r="2" spans="1:19" x14ac:dyDescent="0.2">
      <c r="B2" s="209">
        <f>+TITELBLAD!E16</f>
        <v>2021</v>
      </c>
      <c r="C2" s="212"/>
      <c r="E2" s="296"/>
      <c r="F2" s="296"/>
      <c r="G2" s="296"/>
      <c r="H2" s="296"/>
      <c r="I2" s="296"/>
      <c r="J2" s="296"/>
      <c r="K2" s="296"/>
      <c r="L2" s="296"/>
      <c r="M2" s="212"/>
      <c r="N2" s="212"/>
      <c r="O2" s="212"/>
      <c r="P2" s="212"/>
      <c r="Q2" s="212"/>
      <c r="R2" s="212"/>
      <c r="S2" s="212"/>
    </row>
    <row r="3" spans="1:19" x14ac:dyDescent="0.2">
      <c r="B3" s="224"/>
      <c r="E3" s="296"/>
      <c r="F3" s="296"/>
      <c r="G3" s="296"/>
      <c r="H3" s="296"/>
      <c r="I3" s="296"/>
      <c r="J3" s="296"/>
      <c r="K3" s="296"/>
      <c r="L3" s="296"/>
      <c r="M3" s="212"/>
      <c r="N3" s="212"/>
      <c r="O3" s="212"/>
      <c r="P3" s="212"/>
      <c r="Q3" s="212"/>
      <c r="R3" s="212"/>
      <c r="S3" s="212"/>
    </row>
    <row r="4" spans="1:19" x14ac:dyDescent="0.2">
      <c r="B4" s="224"/>
      <c r="E4" s="296"/>
      <c r="F4" s="296"/>
      <c r="G4" s="296"/>
      <c r="H4" s="296"/>
      <c r="I4" s="296"/>
      <c r="J4" s="296"/>
      <c r="K4" s="296"/>
      <c r="L4" s="296"/>
      <c r="M4" s="212"/>
      <c r="N4" s="212"/>
      <c r="O4" s="212"/>
      <c r="P4" s="212"/>
      <c r="Q4" s="212"/>
      <c r="R4" s="212"/>
      <c r="S4" s="212"/>
    </row>
    <row r="5" spans="1:19" x14ac:dyDescent="0.2">
      <c r="B5" s="224"/>
      <c r="C5" s="1063" t="s">
        <v>0</v>
      </c>
      <c r="D5" s="1064" t="s">
        <v>362</v>
      </c>
      <c r="E5" s="296"/>
      <c r="F5" s="296"/>
      <c r="G5" s="296"/>
      <c r="H5" s="296"/>
      <c r="I5" s="296"/>
      <c r="J5" s="296"/>
      <c r="K5" s="296"/>
      <c r="L5" s="296"/>
      <c r="M5" s="212"/>
      <c r="N5" s="212"/>
      <c r="O5" s="212"/>
      <c r="P5" s="212"/>
      <c r="Q5" s="212"/>
      <c r="R5" s="212"/>
      <c r="S5" s="212"/>
    </row>
    <row r="6" spans="1:19" x14ac:dyDescent="0.2">
      <c r="B6" s="281"/>
      <c r="C6" s="1065" t="s">
        <v>2</v>
      </c>
      <c r="D6" s="1065" t="s">
        <v>2</v>
      </c>
      <c r="E6" s="296"/>
      <c r="F6" s="296"/>
      <c r="G6" s="296"/>
      <c r="H6" s="296"/>
      <c r="I6" s="296"/>
      <c r="J6" s="296"/>
      <c r="K6" s="296"/>
      <c r="L6" s="296"/>
      <c r="M6" s="212"/>
      <c r="N6" s="212"/>
      <c r="O6" s="212"/>
      <c r="P6" s="212"/>
      <c r="Q6" s="212"/>
      <c r="R6" s="212"/>
      <c r="S6" s="212"/>
    </row>
    <row r="7" spans="1:19" x14ac:dyDescent="0.2">
      <c r="C7" s="584">
        <f>+'T9 - Overzicht'!$B$6</f>
        <v>2021</v>
      </c>
      <c r="D7" s="584">
        <f>+'T9 - Overzicht'!$B$6</f>
        <v>2021</v>
      </c>
      <c r="E7" s="296"/>
      <c r="F7" s="296"/>
      <c r="G7" s="296"/>
      <c r="H7" s="296"/>
      <c r="I7" s="296"/>
      <c r="J7" s="296"/>
      <c r="K7" s="296"/>
      <c r="L7" s="296"/>
      <c r="M7" s="212"/>
      <c r="N7" s="212"/>
      <c r="O7" s="212"/>
      <c r="P7" s="212"/>
      <c r="Q7" s="212"/>
      <c r="R7" s="212"/>
      <c r="S7" s="212"/>
    </row>
    <row r="8" spans="1:19" x14ac:dyDescent="0.2">
      <c r="B8" s="297"/>
      <c r="C8" s="1066" t="str">
        <f>+'T9 - Overzicht'!$A$10</f>
        <v>NAAM DNB</v>
      </c>
      <c r="D8" s="1066" t="str">
        <f>+'T9 - Overzicht'!$A$10</f>
        <v>NAAM DNB</v>
      </c>
      <c r="E8" s="296"/>
      <c r="F8" s="296"/>
      <c r="G8" s="296"/>
      <c r="H8" s="296"/>
      <c r="I8" s="296"/>
      <c r="J8" s="296"/>
      <c r="K8" s="296"/>
      <c r="L8" s="296"/>
      <c r="M8" s="212"/>
      <c r="N8" s="212"/>
      <c r="O8" s="212"/>
      <c r="P8" s="212"/>
      <c r="Q8" s="212"/>
      <c r="R8" s="212"/>
      <c r="S8" s="212"/>
    </row>
    <row r="9" spans="1:19" x14ac:dyDescent="0.2">
      <c r="C9" s="1067" t="str">
        <f>+'T9 - Overzicht'!$A$13</f>
        <v>gas</v>
      </c>
      <c r="D9" s="1067" t="str">
        <f>+'T9 - Overzicht'!$A$13</f>
        <v>gas</v>
      </c>
      <c r="E9" s="296"/>
      <c r="F9" s="296"/>
      <c r="G9" s="296"/>
      <c r="H9" s="296"/>
      <c r="I9" s="296"/>
      <c r="J9" s="296"/>
      <c r="K9" s="296"/>
      <c r="L9" s="296"/>
      <c r="M9" s="212"/>
      <c r="N9" s="212"/>
      <c r="O9" s="212"/>
      <c r="P9" s="212"/>
      <c r="Q9" s="212"/>
      <c r="R9" s="212"/>
      <c r="S9" s="212"/>
    </row>
    <row r="10" spans="1:19" x14ac:dyDescent="0.2">
      <c r="C10" s="1068"/>
      <c r="D10" s="1068"/>
      <c r="L10" s="212"/>
      <c r="M10" s="212"/>
      <c r="N10" s="212"/>
      <c r="O10" s="212"/>
      <c r="P10" s="212"/>
      <c r="Q10" s="212"/>
      <c r="R10" s="212"/>
      <c r="S10" s="212"/>
    </row>
    <row r="11" spans="1:19" s="1070" customFormat="1" ht="18" customHeight="1" x14ac:dyDescent="0.2">
      <c r="A11" s="176"/>
      <c r="B11" s="185"/>
      <c r="C11" s="1069"/>
      <c r="D11" s="1069"/>
      <c r="E11" s="176"/>
      <c r="F11" s="176"/>
      <c r="G11" s="176"/>
      <c r="H11" s="176"/>
      <c r="I11" s="176"/>
      <c r="J11" s="176"/>
      <c r="K11" s="176"/>
      <c r="L11" s="187"/>
      <c r="M11" s="187"/>
      <c r="N11" s="187"/>
      <c r="O11" s="187"/>
      <c r="P11" s="187"/>
      <c r="Q11" s="187"/>
      <c r="R11" s="187"/>
      <c r="S11" s="187"/>
    </row>
    <row r="12" spans="1:19" s="1070" customFormat="1" ht="32.1" customHeight="1" x14ac:dyDescent="0.2">
      <c r="A12" s="176"/>
      <c r="B12" s="980" t="s">
        <v>291</v>
      </c>
      <c r="C12" s="617">
        <f>+'T3'!D175</f>
        <v>0</v>
      </c>
      <c r="D12" s="617">
        <f>+'T3'!E174</f>
        <v>0</v>
      </c>
      <c r="E12" s="176"/>
      <c r="F12" s="176"/>
      <c r="G12" s="176"/>
      <c r="H12" s="176"/>
      <c r="I12" s="176"/>
      <c r="J12" s="176"/>
      <c r="K12" s="176"/>
      <c r="L12" s="176"/>
      <c r="M12" s="176"/>
    </row>
    <row r="13" spans="1:19" s="1070" customFormat="1" ht="18" customHeight="1" x14ac:dyDescent="0.2">
      <c r="A13" s="176"/>
      <c r="B13" s="185" t="s">
        <v>297</v>
      </c>
      <c r="C13" s="1072">
        <f>+'T10'!C14</f>
        <v>0.25</v>
      </c>
      <c r="D13" s="1072">
        <f>+'T10'!D14</f>
        <v>0.25</v>
      </c>
      <c r="E13" s="176"/>
      <c r="F13" s="176"/>
      <c r="G13" s="176"/>
      <c r="H13" s="176"/>
      <c r="I13" s="176"/>
      <c r="J13" s="176"/>
      <c r="K13" s="176"/>
      <c r="L13" s="176"/>
      <c r="M13" s="176"/>
    </row>
    <row r="14" spans="1:19" s="1070" customFormat="1" ht="30.75" customHeight="1" x14ac:dyDescent="0.2">
      <c r="A14" s="176"/>
      <c r="B14" s="979" t="s">
        <v>429</v>
      </c>
      <c r="C14" s="1071">
        <f>C12*C13/(1-C13)</f>
        <v>0</v>
      </c>
      <c r="D14" s="1071">
        <f>D12*D13/(1-D13)</f>
        <v>0</v>
      </c>
      <c r="E14" s="176"/>
      <c r="F14" s="176"/>
      <c r="G14" s="176"/>
      <c r="H14" s="176"/>
      <c r="I14" s="176"/>
      <c r="J14" s="176"/>
      <c r="K14" s="176"/>
      <c r="L14" s="176"/>
      <c r="M14" s="176"/>
    </row>
    <row r="50" spans="1:13" s="220" customFormat="1" x14ac:dyDescent="0.2">
      <c r="A50" s="167"/>
      <c r="B50" s="297"/>
      <c r="C50" s="167"/>
      <c r="E50" s="167"/>
      <c r="F50" s="167"/>
      <c r="G50" s="167"/>
      <c r="H50" s="167"/>
      <c r="I50" s="167"/>
      <c r="J50" s="167"/>
      <c r="K50" s="167"/>
      <c r="L50" s="167"/>
      <c r="M50" s="167"/>
    </row>
  </sheetData>
  <sheetProtection algorithmName="SHA-512" hashValue="QTSHXWIbMYXPoPw7Tl537Gd1cCwUEtJuyBa5Y6DfEF0zV/qvsx7U2qMxF1KjZ5tu5CBD6RoS23b9Ak+pjkl4AQ==" saltValue="ka7VmoCOalnIhenDHY7enA==" spinCount="100000" sheet="1" objects="1" scenarios="1"/>
  <mergeCells count="1">
    <mergeCell ref="A1:D1"/>
  </mergeCells>
  <pageMargins left="0.74803149606299213" right="0.74803149606299213" top="0.98425196850393704" bottom="0.98425196850393704" header="0.51181102362204722" footer="0.51181102362204722"/>
  <pageSetup paperSize="8" scale="9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stopIfTrue="1" id="{00D6C370-673D-40D4-801C-F262C7AFB64E}">
            <xm:f>'T9 - Overzicht'!$C$6="ex-ante"</xm:f>
            <x14:dxf>
              <fill>
                <patternFill patternType="lightUp"/>
              </fill>
            </x14:dxf>
          </x14:cfRule>
          <xm:sqref>D5:D14</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427DF-C76B-467A-8D7A-3CFB79FA6AC6}">
  <dimension ref="A1:M22"/>
  <sheetViews>
    <sheetView zoomScaleNormal="100" workbookViewId="0">
      <selection activeCell="D19" sqref="D19"/>
    </sheetView>
  </sheetViews>
  <sheetFormatPr defaultColWidth="9.140625" defaultRowHeight="12.75" x14ac:dyDescent="0.2"/>
  <cols>
    <col min="1" max="1" width="9.140625" style="167"/>
    <col min="2" max="2" width="51" style="167" bestFit="1" customWidth="1"/>
    <col min="3" max="4" width="25.7109375" style="167" customWidth="1"/>
    <col min="5" max="5" width="17.140625" style="167" customWidth="1"/>
    <col min="6" max="6" width="21.28515625" style="297" customWidth="1"/>
    <col min="7" max="16384" width="9.140625" style="167"/>
  </cols>
  <sheetData>
    <row r="1" spans="1:13" s="209" customFormat="1" ht="20.45" customHeight="1" thickBot="1" x14ac:dyDescent="0.25">
      <c r="A1" s="1371" t="s">
        <v>432</v>
      </c>
      <c r="B1" s="1372"/>
      <c r="C1" s="1372"/>
      <c r="D1" s="1372"/>
      <c r="E1" s="1372"/>
      <c r="F1" s="1373"/>
      <c r="G1" s="294"/>
      <c r="H1" s="294"/>
      <c r="I1" s="294"/>
      <c r="J1" s="294"/>
      <c r="K1" s="294"/>
      <c r="L1" s="167"/>
      <c r="M1" s="167"/>
    </row>
    <row r="2" spans="1:13" s="209" customFormat="1" x14ac:dyDescent="0.2">
      <c r="A2" s="167"/>
      <c r="B2" s="209">
        <f>+TITELBLAD!E16</f>
        <v>2021</v>
      </c>
      <c r="D2" s="564"/>
      <c r="E2" s="212"/>
      <c r="F2" s="212"/>
      <c r="G2" s="212"/>
      <c r="H2" s="212"/>
      <c r="I2" s="212"/>
      <c r="J2" s="212"/>
      <c r="K2" s="212"/>
      <c r="L2" s="212"/>
      <c r="M2" s="212"/>
    </row>
    <row r="3" spans="1:13" s="209" customFormat="1" x14ac:dyDescent="0.2">
      <c r="A3" s="167"/>
      <c r="B3" s="358" t="s">
        <v>296</v>
      </c>
      <c r="C3" s="167"/>
      <c r="D3" s="167"/>
      <c r="E3" s="167"/>
      <c r="F3" s="297"/>
      <c r="G3" s="167"/>
      <c r="H3" s="167"/>
      <c r="I3" s="167"/>
      <c r="J3" s="167"/>
      <c r="K3" s="167"/>
      <c r="L3" s="167"/>
      <c r="M3" s="167"/>
    </row>
    <row r="4" spans="1:13" s="209" customFormat="1" ht="12.95" customHeight="1" x14ac:dyDescent="0.2">
      <c r="A4" s="167"/>
      <c r="B4" s="224" t="s">
        <v>299</v>
      </c>
      <c r="C4" s="167"/>
      <c r="D4" s="167"/>
      <c r="E4" s="167"/>
      <c r="F4" s="297"/>
      <c r="G4" s="167"/>
      <c r="H4" s="167"/>
      <c r="I4" s="167"/>
      <c r="J4" s="167"/>
      <c r="K4" s="167"/>
      <c r="L4" s="167"/>
      <c r="M4" s="167"/>
    </row>
    <row r="5" spans="1:13" s="531" customFormat="1" ht="71.099999999999994" customHeight="1" x14ac:dyDescent="0.2">
      <c r="B5" s="1374" t="s">
        <v>368</v>
      </c>
      <c r="C5" s="1374"/>
      <c r="D5" s="1374"/>
    </row>
    <row r="6" spans="1:13" s="531" customFormat="1" x14ac:dyDescent="0.2">
      <c r="D6" s="220"/>
      <c r="E6" s="167"/>
    </row>
    <row r="7" spans="1:13" s="209" customFormat="1" x14ac:dyDescent="0.2">
      <c r="A7" s="167"/>
      <c r="B7" s="167"/>
      <c r="C7" s="167"/>
      <c r="D7" s="220"/>
      <c r="E7" s="167"/>
      <c r="F7" s="297"/>
      <c r="G7" s="167"/>
      <c r="H7" s="167"/>
      <c r="I7" s="167"/>
      <c r="J7" s="167"/>
      <c r="K7" s="167"/>
      <c r="L7" s="167"/>
      <c r="M7" s="167"/>
    </row>
    <row r="8" spans="1:13" s="209" customFormat="1" x14ac:dyDescent="0.2">
      <c r="A8" s="167"/>
      <c r="B8" s="167"/>
      <c r="C8" s="1073" t="s">
        <v>0</v>
      </c>
      <c r="D8" s="1073" t="s">
        <v>1</v>
      </c>
      <c r="E8" s="167"/>
      <c r="F8" s="297"/>
      <c r="G8" s="167"/>
      <c r="H8" s="167"/>
      <c r="I8" s="167"/>
      <c r="J8" s="167"/>
      <c r="K8" s="167"/>
      <c r="L8" s="167"/>
      <c r="M8" s="167"/>
    </row>
    <row r="9" spans="1:13" s="209" customFormat="1" x14ac:dyDescent="0.2">
      <c r="A9" s="167"/>
      <c r="B9" s="281"/>
      <c r="C9" s="1065" t="s">
        <v>2</v>
      </c>
      <c r="D9" s="1065" t="s">
        <v>2</v>
      </c>
      <c r="E9" s="167"/>
      <c r="F9" s="1074"/>
      <c r="G9" s="167"/>
      <c r="H9" s="167"/>
      <c r="I9" s="167"/>
      <c r="J9" s="167"/>
      <c r="K9" s="167"/>
      <c r="L9" s="167"/>
      <c r="M9" s="167"/>
    </row>
    <row r="10" spans="1:13" s="209" customFormat="1" x14ac:dyDescent="0.2">
      <c r="A10" s="167"/>
      <c r="B10" s="167"/>
      <c r="C10" s="584">
        <f>+TITELBLAD!E16</f>
        <v>2021</v>
      </c>
      <c r="D10" s="584">
        <f>+TITELBLAD!E16</f>
        <v>2021</v>
      </c>
      <c r="E10" s="167"/>
      <c r="F10" s="297"/>
      <c r="G10" s="167"/>
      <c r="H10" s="167"/>
      <c r="I10" s="167"/>
      <c r="J10" s="167"/>
      <c r="K10" s="167"/>
      <c r="L10" s="167"/>
      <c r="M10" s="167"/>
    </row>
    <row r="11" spans="1:13" s="209" customFormat="1" x14ac:dyDescent="0.2">
      <c r="A11" s="167"/>
      <c r="B11" s="297"/>
      <c r="C11" s="1067" t="str">
        <f>+TITELBLAD!C7</f>
        <v>NAAM DNB</v>
      </c>
      <c r="D11" s="1067" t="str">
        <f>+TITELBLAD!C7</f>
        <v>NAAM DNB</v>
      </c>
      <c r="E11" s="167"/>
      <c r="F11" s="297"/>
      <c r="G11" s="167"/>
      <c r="H11" s="167"/>
      <c r="I11" s="167"/>
      <c r="J11" s="167"/>
      <c r="K11" s="167"/>
      <c r="L11" s="167"/>
      <c r="M11" s="167"/>
    </row>
    <row r="12" spans="1:13" s="209" customFormat="1" x14ac:dyDescent="0.2">
      <c r="A12" s="167"/>
      <c r="B12" s="167"/>
      <c r="C12" s="1067" t="str">
        <f>+TITELBLAD!C10</f>
        <v>gas</v>
      </c>
      <c r="D12" s="1067" t="str">
        <f>+TITELBLAD!C10</f>
        <v>gas</v>
      </c>
      <c r="E12" s="167"/>
      <c r="F12" s="297"/>
      <c r="G12" s="167"/>
      <c r="H12" s="167"/>
      <c r="I12" s="167"/>
      <c r="J12" s="167"/>
      <c r="K12" s="167"/>
      <c r="L12" s="167"/>
      <c r="M12" s="167"/>
    </row>
    <row r="13" spans="1:13" s="209" customFormat="1" x14ac:dyDescent="0.2">
      <c r="A13" s="167"/>
      <c r="B13" s="167"/>
      <c r="C13" s="1068"/>
      <c r="D13" s="1068"/>
      <c r="E13" s="167"/>
      <c r="F13" s="297"/>
      <c r="G13" s="167"/>
      <c r="H13" s="167"/>
      <c r="I13" s="167"/>
      <c r="J13" s="167"/>
      <c r="K13" s="167"/>
      <c r="L13" s="167"/>
      <c r="M13" s="167"/>
    </row>
    <row r="14" spans="1:13" s="209" customFormat="1" ht="30.75" customHeight="1" x14ac:dyDescent="0.2">
      <c r="A14" s="167"/>
      <c r="B14" s="1075" t="s">
        <v>139</v>
      </c>
      <c r="C14" s="1069"/>
      <c r="D14" s="1069"/>
      <c r="E14" s="167"/>
      <c r="F14" s="166" t="s">
        <v>140</v>
      </c>
      <c r="G14" s="167"/>
      <c r="H14" s="167"/>
      <c r="I14" s="167"/>
      <c r="J14" s="167"/>
      <c r="K14" s="167"/>
      <c r="L14" s="167"/>
      <c r="M14" s="167"/>
    </row>
    <row r="15" spans="1:13" s="209" customFormat="1" ht="30.95" customHeight="1" x14ac:dyDescent="0.2">
      <c r="A15" s="167"/>
      <c r="B15" s="1076" t="s">
        <v>306</v>
      </c>
      <c r="C15" s="1078">
        <v>0</v>
      </c>
      <c r="D15" s="1078">
        <v>0</v>
      </c>
      <c r="E15" s="167"/>
      <c r="F15" s="614" t="s">
        <v>35</v>
      </c>
      <c r="G15" s="167"/>
      <c r="H15" s="167"/>
      <c r="I15" s="167"/>
      <c r="J15" s="167"/>
      <c r="K15" s="167"/>
      <c r="L15" s="167"/>
      <c r="M15" s="167"/>
    </row>
    <row r="16" spans="1:13" s="209" customFormat="1" ht="36" customHeight="1" x14ac:dyDescent="0.2">
      <c r="A16" s="167"/>
      <c r="B16" s="1076" t="s">
        <v>307</v>
      </c>
      <c r="C16" s="1079">
        <v>0</v>
      </c>
      <c r="D16" s="807">
        <v>0</v>
      </c>
      <c r="E16" s="167"/>
      <c r="F16" s="614"/>
      <c r="G16" s="167"/>
      <c r="H16" s="167"/>
      <c r="I16" s="167"/>
      <c r="J16" s="167"/>
      <c r="K16" s="167"/>
      <c r="L16" s="167"/>
      <c r="M16" s="167"/>
    </row>
    <row r="17" spans="1:13" s="209" customFormat="1" ht="28.5" customHeight="1" x14ac:dyDescent="0.2">
      <c r="A17" s="167"/>
      <c r="B17" s="1076" t="s">
        <v>300</v>
      </c>
      <c r="C17" s="1077">
        <f>+C15*C16</f>
        <v>0</v>
      </c>
      <c r="D17" s="1077">
        <f>+D15*D16</f>
        <v>0</v>
      </c>
      <c r="E17" s="167"/>
      <c r="F17" s="614"/>
      <c r="G17" s="167"/>
      <c r="H17" s="167"/>
      <c r="I17" s="167"/>
      <c r="J17" s="167"/>
      <c r="K17" s="167"/>
      <c r="L17" s="167"/>
      <c r="M17" s="167"/>
    </row>
    <row r="18" spans="1:13" s="1070" customFormat="1" ht="18" customHeight="1" x14ac:dyDescent="0.2">
      <c r="A18" s="176"/>
      <c r="B18" s="185" t="s">
        <v>297</v>
      </c>
      <c r="C18" s="1072">
        <f>+'T10'!C14</f>
        <v>0.25</v>
      </c>
      <c r="D18" s="1072">
        <f>+'T10'!D14</f>
        <v>0.25</v>
      </c>
      <c r="E18" s="176"/>
      <c r="F18" s="614"/>
      <c r="G18" s="176"/>
      <c r="H18" s="176"/>
      <c r="I18" s="176"/>
      <c r="J18" s="176"/>
      <c r="K18" s="176"/>
      <c r="L18" s="176"/>
      <c r="M18" s="176"/>
    </row>
    <row r="19" spans="1:13" s="1070" customFormat="1" ht="30.75" customHeight="1" x14ac:dyDescent="0.2">
      <c r="A19" s="176"/>
      <c r="B19" s="979" t="s">
        <v>301</v>
      </c>
      <c r="C19" s="1071">
        <f>-C17*C18/(1-C18)</f>
        <v>0</v>
      </c>
      <c r="D19" s="1071">
        <f>-D17*D18/(1-D18)</f>
        <v>0</v>
      </c>
      <c r="E19" s="176"/>
      <c r="F19" s="614"/>
      <c r="G19" s="176"/>
      <c r="H19" s="176"/>
      <c r="I19" s="176"/>
      <c r="J19" s="176"/>
      <c r="K19" s="176"/>
      <c r="L19" s="176"/>
      <c r="M19" s="176"/>
    </row>
    <row r="20" spans="1:13" s="209" customFormat="1" x14ac:dyDescent="0.2">
      <c r="A20" s="167"/>
      <c r="B20" s="224"/>
      <c r="C20" s="167"/>
      <c r="D20" s="220"/>
      <c r="E20" s="167"/>
      <c r="F20" s="297"/>
      <c r="G20" s="167"/>
      <c r="H20" s="167"/>
      <c r="I20" s="167"/>
      <c r="J20" s="167"/>
      <c r="K20" s="167"/>
      <c r="L20" s="167"/>
      <c r="M20" s="167"/>
    </row>
    <row r="21" spans="1:13" s="209" customFormat="1" x14ac:dyDescent="0.2">
      <c r="A21" s="167"/>
      <c r="B21" s="167"/>
      <c r="C21" s="167"/>
      <c r="D21" s="220"/>
      <c r="E21" s="167"/>
      <c r="F21" s="297"/>
      <c r="G21" s="167"/>
      <c r="H21" s="167"/>
      <c r="I21" s="167"/>
      <c r="J21" s="167"/>
      <c r="K21" s="167"/>
      <c r="L21" s="167"/>
      <c r="M21" s="167"/>
    </row>
    <row r="22" spans="1:13" s="209" customFormat="1" x14ac:dyDescent="0.2">
      <c r="A22" s="167"/>
      <c r="B22" s="167"/>
      <c r="C22" s="167"/>
      <c r="D22" s="220"/>
      <c r="E22" s="167"/>
      <c r="F22" s="297"/>
      <c r="G22" s="167"/>
      <c r="H22" s="167"/>
      <c r="I22" s="167"/>
      <c r="J22" s="167"/>
      <c r="K22" s="167"/>
      <c r="L22" s="167"/>
      <c r="M22" s="167"/>
    </row>
  </sheetData>
  <sheetProtection algorithmName="SHA-512" hashValue="NVTnENtpSAkRL4ddrlB4WS+w2+psGLt19S28a6K5aarsI0ji5PZ0Pz9aKTWouN9y0InbNdCqpHcz1oRN+x08PQ==" saltValue="QbF2q0F6ZbRzICGYn6x/Kw==" spinCount="100000" sheet="1" objects="1" scenarios="1"/>
  <mergeCells count="2">
    <mergeCell ref="B5:D5"/>
    <mergeCell ref="A1:F1"/>
  </mergeCells>
  <pageMargins left="0.7" right="0.7" top="0.75" bottom="0.75" header="0.3" footer="0.3"/>
  <pageSetup paperSize="8" scale="41" orientation="portrait" r:id="rId1"/>
  <extLst>
    <ext xmlns:x14="http://schemas.microsoft.com/office/spreadsheetml/2009/9/main" uri="{78C0D931-6437-407d-A8EE-F0AAD7539E65}">
      <x14:conditionalFormattings>
        <x14:conditionalFormatting xmlns:xm="http://schemas.microsoft.com/office/excel/2006/main">
          <x14:cfRule type="expression" priority="1" stopIfTrue="1" id="{00000000-000E-0000-1600-000001000000}">
            <xm:f>'T9 - Overzicht'!$C$6="ex-ante"</xm:f>
            <x14:dxf>
              <fill>
                <patternFill patternType="lightUp"/>
              </fill>
            </x14:dxf>
          </x14:cfRule>
          <xm:sqref>D8:D19</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1AD4A-6622-47DC-95E4-62CDEAF67EE2}">
  <dimension ref="A1:AC121"/>
  <sheetViews>
    <sheetView topLeftCell="B1" zoomScale="80" zoomScaleNormal="80" workbookViewId="0">
      <selection activeCell="H15" sqref="H15"/>
    </sheetView>
  </sheetViews>
  <sheetFormatPr defaultColWidth="9.140625" defaultRowHeight="12.75" x14ac:dyDescent="0.2"/>
  <cols>
    <col min="1" max="1" width="51.42578125" style="167" customWidth="1"/>
    <col min="2" max="2" width="26.5703125" style="167" customWidth="1"/>
    <col min="3" max="7" width="31" style="167" customWidth="1"/>
    <col min="8" max="9" width="31" style="1130" customWidth="1"/>
    <col min="10" max="10" width="31" style="167" customWidth="1"/>
    <col min="11" max="11" width="8.85546875" style="167" customWidth="1"/>
    <col min="12" max="53" width="9.140625" style="167" customWidth="1"/>
    <col min="54" max="259" width="9.140625" style="167"/>
    <col min="260" max="260" width="51.42578125" style="167" customWidth="1"/>
    <col min="261" max="261" width="26.5703125" style="167" customWidth="1"/>
    <col min="262" max="266" width="31" style="167" customWidth="1"/>
    <col min="267" max="267" width="8.85546875" style="167" customWidth="1"/>
    <col min="268" max="515" width="9.140625" style="167"/>
    <col min="516" max="516" width="51.42578125" style="167" customWidth="1"/>
    <col min="517" max="517" width="26.5703125" style="167" customWidth="1"/>
    <col min="518" max="522" width="31" style="167" customWidth="1"/>
    <col min="523" max="523" width="8.85546875" style="167" customWidth="1"/>
    <col min="524" max="771" width="9.140625" style="167"/>
    <col min="772" max="772" width="51.42578125" style="167" customWidth="1"/>
    <col min="773" max="773" width="26.5703125" style="167" customWidth="1"/>
    <col min="774" max="778" width="31" style="167" customWidth="1"/>
    <col min="779" max="779" width="8.85546875" style="167" customWidth="1"/>
    <col min="780" max="1027" width="9.140625" style="167"/>
    <col min="1028" max="1028" width="51.42578125" style="167" customWidth="1"/>
    <col min="1029" max="1029" width="26.5703125" style="167" customWidth="1"/>
    <col min="1030" max="1034" width="31" style="167" customWidth="1"/>
    <col min="1035" max="1035" width="8.85546875" style="167" customWidth="1"/>
    <col min="1036" max="1283" width="9.140625" style="167"/>
    <col min="1284" max="1284" width="51.42578125" style="167" customWidth="1"/>
    <col min="1285" max="1285" width="26.5703125" style="167" customWidth="1"/>
    <col min="1286" max="1290" width="31" style="167" customWidth="1"/>
    <col min="1291" max="1291" width="8.85546875" style="167" customWidth="1"/>
    <col min="1292" max="1539" width="9.140625" style="167"/>
    <col min="1540" max="1540" width="51.42578125" style="167" customWidth="1"/>
    <col min="1541" max="1541" width="26.5703125" style="167" customWidth="1"/>
    <col min="1542" max="1546" width="31" style="167" customWidth="1"/>
    <col min="1547" max="1547" width="8.85546875" style="167" customWidth="1"/>
    <col min="1548" max="1795" width="9.140625" style="167"/>
    <col min="1796" max="1796" width="51.42578125" style="167" customWidth="1"/>
    <col min="1797" max="1797" width="26.5703125" style="167" customWidth="1"/>
    <col min="1798" max="1802" width="31" style="167" customWidth="1"/>
    <col min="1803" max="1803" width="8.85546875" style="167" customWidth="1"/>
    <col min="1804" max="2051" width="9.140625" style="167"/>
    <col min="2052" max="2052" width="51.42578125" style="167" customWidth="1"/>
    <col min="2053" max="2053" width="26.5703125" style="167" customWidth="1"/>
    <col min="2054" max="2058" width="31" style="167" customWidth="1"/>
    <col min="2059" max="2059" width="8.85546875" style="167" customWidth="1"/>
    <col min="2060" max="2307" width="9.140625" style="167"/>
    <col min="2308" max="2308" width="51.42578125" style="167" customWidth="1"/>
    <col min="2309" max="2309" width="26.5703125" style="167" customWidth="1"/>
    <col min="2310" max="2314" width="31" style="167" customWidth="1"/>
    <col min="2315" max="2315" width="8.85546875" style="167" customWidth="1"/>
    <col min="2316" max="2563" width="9.140625" style="167"/>
    <col min="2564" max="2564" width="51.42578125" style="167" customWidth="1"/>
    <col min="2565" max="2565" width="26.5703125" style="167" customWidth="1"/>
    <col min="2566" max="2570" width="31" style="167" customWidth="1"/>
    <col min="2571" max="2571" width="8.85546875" style="167" customWidth="1"/>
    <col min="2572" max="2819" width="9.140625" style="167"/>
    <col min="2820" max="2820" width="51.42578125" style="167" customWidth="1"/>
    <col min="2821" max="2821" width="26.5703125" style="167" customWidth="1"/>
    <col min="2822" max="2826" width="31" style="167" customWidth="1"/>
    <col min="2827" max="2827" width="8.85546875" style="167" customWidth="1"/>
    <col min="2828" max="3075" width="9.140625" style="167"/>
    <col min="3076" max="3076" width="51.42578125" style="167" customWidth="1"/>
    <col min="3077" max="3077" width="26.5703125" style="167" customWidth="1"/>
    <col min="3078" max="3082" width="31" style="167" customWidth="1"/>
    <col min="3083" max="3083" width="8.85546875" style="167" customWidth="1"/>
    <col min="3084" max="3331" width="9.140625" style="167"/>
    <col min="3332" max="3332" width="51.42578125" style="167" customWidth="1"/>
    <col min="3333" max="3333" width="26.5703125" style="167" customWidth="1"/>
    <col min="3334" max="3338" width="31" style="167" customWidth="1"/>
    <col min="3339" max="3339" width="8.85546875" style="167" customWidth="1"/>
    <col min="3340" max="3587" width="9.140625" style="167"/>
    <col min="3588" max="3588" width="51.42578125" style="167" customWidth="1"/>
    <col min="3589" max="3589" width="26.5703125" style="167" customWidth="1"/>
    <col min="3590" max="3594" width="31" style="167" customWidth="1"/>
    <col min="3595" max="3595" width="8.85546875" style="167" customWidth="1"/>
    <col min="3596" max="3843" width="9.140625" style="167"/>
    <col min="3844" max="3844" width="51.42578125" style="167" customWidth="1"/>
    <col min="3845" max="3845" width="26.5703125" style="167" customWidth="1"/>
    <col min="3846" max="3850" width="31" style="167" customWidth="1"/>
    <col min="3851" max="3851" width="8.85546875" style="167" customWidth="1"/>
    <col min="3852" max="4099" width="9.140625" style="167"/>
    <col min="4100" max="4100" width="51.42578125" style="167" customWidth="1"/>
    <col min="4101" max="4101" width="26.5703125" style="167" customWidth="1"/>
    <col min="4102" max="4106" width="31" style="167" customWidth="1"/>
    <col min="4107" max="4107" width="8.85546875" style="167" customWidth="1"/>
    <col min="4108" max="4355" width="9.140625" style="167"/>
    <col min="4356" max="4356" width="51.42578125" style="167" customWidth="1"/>
    <col min="4357" max="4357" width="26.5703125" style="167" customWidth="1"/>
    <col min="4358" max="4362" width="31" style="167" customWidth="1"/>
    <col min="4363" max="4363" width="8.85546875" style="167" customWidth="1"/>
    <col min="4364" max="4611" width="9.140625" style="167"/>
    <col min="4612" max="4612" width="51.42578125" style="167" customWidth="1"/>
    <col min="4613" max="4613" width="26.5703125" style="167" customWidth="1"/>
    <col min="4614" max="4618" width="31" style="167" customWidth="1"/>
    <col min="4619" max="4619" width="8.85546875" style="167" customWidth="1"/>
    <col min="4620" max="4867" width="9.140625" style="167"/>
    <col min="4868" max="4868" width="51.42578125" style="167" customWidth="1"/>
    <col min="4869" max="4869" width="26.5703125" style="167" customWidth="1"/>
    <col min="4870" max="4874" width="31" style="167" customWidth="1"/>
    <col min="4875" max="4875" width="8.85546875" style="167" customWidth="1"/>
    <col min="4876" max="5123" width="9.140625" style="167"/>
    <col min="5124" max="5124" width="51.42578125" style="167" customWidth="1"/>
    <col min="5125" max="5125" width="26.5703125" style="167" customWidth="1"/>
    <col min="5126" max="5130" width="31" style="167" customWidth="1"/>
    <col min="5131" max="5131" width="8.85546875" style="167" customWidth="1"/>
    <col min="5132" max="5379" width="9.140625" style="167"/>
    <col min="5380" max="5380" width="51.42578125" style="167" customWidth="1"/>
    <col min="5381" max="5381" width="26.5703125" style="167" customWidth="1"/>
    <col min="5382" max="5386" width="31" style="167" customWidth="1"/>
    <col min="5387" max="5387" width="8.85546875" style="167" customWidth="1"/>
    <col min="5388" max="5635" width="9.140625" style="167"/>
    <col min="5636" max="5636" width="51.42578125" style="167" customWidth="1"/>
    <col min="5637" max="5637" width="26.5703125" style="167" customWidth="1"/>
    <col min="5638" max="5642" width="31" style="167" customWidth="1"/>
    <col min="5643" max="5643" width="8.85546875" style="167" customWidth="1"/>
    <col min="5644" max="5891" width="9.140625" style="167"/>
    <col min="5892" max="5892" width="51.42578125" style="167" customWidth="1"/>
    <col min="5893" max="5893" width="26.5703125" style="167" customWidth="1"/>
    <col min="5894" max="5898" width="31" style="167" customWidth="1"/>
    <col min="5899" max="5899" width="8.85546875" style="167" customWidth="1"/>
    <col min="5900" max="6147" width="9.140625" style="167"/>
    <col min="6148" max="6148" width="51.42578125" style="167" customWidth="1"/>
    <col min="6149" max="6149" width="26.5703125" style="167" customWidth="1"/>
    <col min="6150" max="6154" width="31" style="167" customWidth="1"/>
    <col min="6155" max="6155" width="8.85546875" style="167" customWidth="1"/>
    <col min="6156" max="6403" width="9.140625" style="167"/>
    <col min="6404" max="6404" width="51.42578125" style="167" customWidth="1"/>
    <col min="6405" max="6405" width="26.5703125" style="167" customWidth="1"/>
    <col min="6406" max="6410" width="31" style="167" customWidth="1"/>
    <col min="6411" max="6411" width="8.85546875" style="167" customWidth="1"/>
    <col min="6412" max="6659" width="9.140625" style="167"/>
    <col min="6660" max="6660" width="51.42578125" style="167" customWidth="1"/>
    <col min="6661" max="6661" width="26.5703125" style="167" customWidth="1"/>
    <col min="6662" max="6666" width="31" style="167" customWidth="1"/>
    <col min="6667" max="6667" width="8.85546875" style="167" customWidth="1"/>
    <col min="6668" max="6915" width="9.140625" style="167"/>
    <col min="6916" max="6916" width="51.42578125" style="167" customWidth="1"/>
    <col min="6917" max="6917" width="26.5703125" style="167" customWidth="1"/>
    <col min="6918" max="6922" width="31" style="167" customWidth="1"/>
    <col min="6923" max="6923" width="8.85546875" style="167" customWidth="1"/>
    <col min="6924" max="7171" width="9.140625" style="167"/>
    <col min="7172" max="7172" width="51.42578125" style="167" customWidth="1"/>
    <col min="7173" max="7173" width="26.5703125" style="167" customWidth="1"/>
    <col min="7174" max="7178" width="31" style="167" customWidth="1"/>
    <col min="7179" max="7179" width="8.85546875" style="167" customWidth="1"/>
    <col min="7180" max="7427" width="9.140625" style="167"/>
    <col min="7428" max="7428" width="51.42578125" style="167" customWidth="1"/>
    <col min="7429" max="7429" width="26.5703125" style="167" customWidth="1"/>
    <col min="7430" max="7434" width="31" style="167" customWidth="1"/>
    <col min="7435" max="7435" width="8.85546875" style="167" customWidth="1"/>
    <col min="7436" max="7683" width="9.140625" style="167"/>
    <col min="7684" max="7684" width="51.42578125" style="167" customWidth="1"/>
    <col min="7685" max="7685" width="26.5703125" style="167" customWidth="1"/>
    <col min="7686" max="7690" width="31" style="167" customWidth="1"/>
    <col min="7691" max="7691" width="8.85546875" style="167" customWidth="1"/>
    <col min="7692" max="7939" width="9.140625" style="167"/>
    <col min="7940" max="7940" width="51.42578125" style="167" customWidth="1"/>
    <col min="7941" max="7941" width="26.5703125" style="167" customWidth="1"/>
    <col min="7942" max="7946" width="31" style="167" customWidth="1"/>
    <col min="7947" max="7947" width="8.85546875" style="167" customWidth="1"/>
    <col min="7948" max="8195" width="9.140625" style="167"/>
    <col min="8196" max="8196" width="51.42578125" style="167" customWidth="1"/>
    <col min="8197" max="8197" width="26.5703125" style="167" customWidth="1"/>
    <col min="8198" max="8202" width="31" style="167" customWidth="1"/>
    <col min="8203" max="8203" width="8.85546875" style="167" customWidth="1"/>
    <col min="8204" max="8451" width="9.140625" style="167"/>
    <col min="8452" max="8452" width="51.42578125" style="167" customWidth="1"/>
    <col min="8453" max="8453" width="26.5703125" style="167" customWidth="1"/>
    <col min="8454" max="8458" width="31" style="167" customWidth="1"/>
    <col min="8459" max="8459" width="8.85546875" style="167" customWidth="1"/>
    <col min="8460" max="8707" width="9.140625" style="167"/>
    <col min="8708" max="8708" width="51.42578125" style="167" customWidth="1"/>
    <col min="8709" max="8709" width="26.5703125" style="167" customWidth="1"/>
    <col min="8710" max="8714" width="31" style="167" customWidth="1"/>
    <col min="8715" max="8715" width="8.85546875" style="167" customWidth="1"/>
    <col min="8716" max="8963" width="9.140625" style="167"/>
    <col min="8964" max="8964" width="51.42578125" style="167" customWidth="1"/>
    <col min="8965" max="8965" width="26.5703125" style="167" customWidth="1"/>
    <col min="8966" max="8970" width="31" style="167" customWidth="1"/>
    <col min="8971" max="8971" width="8.85546875" style="167" customWidth="1"/>
    <col min="8972" max="9219" width="9.140625" style="167"/>
    <col min="9220" max="9220" width="51.42578125" style="167" customWidth="1"/>
    <col min="9221" max="9221" width="26.5703125" style="167" customWidth="1"/>
    <col min="9222" max="9226" width="31" style="167" customWidth="1"/>
    <col min="9227" max="9227" width="8.85546875" style="167" customWidth="1"/>
    <col min="9228" max="9475" width="9.140625" style="167"/>
    <col min="9476" max="9476" width="51.42578125" style="167" customWidth="1"/>
    <col min="9477" max="9477" width="26.5703125" style="167" customWidth="1"/>
    <col min="9478" max="9482" width="31" style="167" customWidth="1"/>
    <col min="9483" max="9483" width="8.85546875" style="167" customWidth="1"/>
    <col min="9484" max="9731" width="9.140625" style="167"/>
    <col min="9732" max="9732" width="51.42578125" style="167" customWidth="1"/>
    <col min="9733" max="9733" width="26.5703125" style="167" customWidth="1"/>
    <col min="9734" max="9738" width="31" style="167" customWidth="1"/>
    <col min="9739" max="9739" width="8.85546875" style="167" customWidth="1"/>
    <col min="9740" max="9987" width="9.140625" style="167"/>
    <col min="9988" max="9988" width="51.42578125" style="167" customWidth="1"/>
    <col min="9989" max="9989" width="26.5703125" style="167" customWidth="1"/>
    <col min="9990" max="9994" width="31" style="167" customWidth="1"/>
    <col min="9995" max="9995" width="8.85546875" style="167" customWidth="1"/>
    <col min="9996" max="10243" width="9.140625" style="167"/>
    <col min="10244" max="10244" width="51.42578125" style="167" customWidth="1"/>
    <col min="10245" max="10245" width="26.5703125" style="167" customWidth="1"/>
    <col min="10246" max="10250" width="31" style="167" customWidth="1"/>
    <col min="10251" max="10251" width="8.85546875" style="167" customWidth="1"/>
    <col min="10252" max="10499" width="9.140625" style="167"/>
    <col min="10500" max="10500" width="51.42578125" style="167" customWidth="1"/>
    <col min="10501" max="10501" width="26.5703125" style="167" customWidth="1"/>
    <col min="10502" max="10506" width="31" style="167" customWidth="1"/>
    <col min="10507" max="10507" width="8.85546875" style="167" customWidth="1"/>
    <col min="10508" max="10755" width="9.140625" style="167"/>
    <col min="10756" max="10756" width="51.42578125" style="167" customWidth="1"/>
    <col min="10757" max="10757" width="26.5703125" style="167" customWidth="1"/>
    <col min="10758" max="10762" width="31" style="167" customWidth="1"/>
    <col min="10763" max="10763" width="8.85546875" style="167" customWidth="1"/>
    <col min="10764" max="11011" width="9.140625" style="167"/>
    <col min="11012" max="11012" width="51.42578125" style="167" customWidth="1"/>
    <col min="11013" max="11013" width="26.5703125" style="167" customWidth="1"/>
    <col min="11014" max="11018" width="31" style="167" customWidth="1"/>
    <col min="11019" max="11019" width="8.85546875" style="167" customWidth="1"/>
    <col min="11020" max="11267" width="9.140625" style="167"/>
    <col min="11268" max="11268" width="51.42578125" style="167" customWidth="1"/>
    <col min="11269" max="11269" width="26.5703125" style="167" customWidth="1"/>
    <col min="11270" max="11274" width="31" style="167" customWidth="1"/>
    <col min="11275" max="11275" width="8.85546875" style="167" customWidth="1"/>
    <col min="11276" max="11523" width="9.140625" style="167"/>
    <col min="11524" max="11524" width="51.42578125" style="167" customWidth="1"/>
    <col min="11525" max="11525" width="26.5703125" style="167" customWidth="1"/>
    <col min="11526" max="11530" width="31" style="167" customWidth="1"/>
    <col min="11531" max="11531" width="8.85546875" style="167" customWidth="1"/>
    <col min="11532" max="11779" width="9.140625" style="167"/>
    <col min="11780" max="11780" width="51.42578125" style="167" customWidth="1"/>
    <col min="11781" max="11781" width="26.5703125" style="167" customWidth="1"/>
    <col min="11782" max="11786" width="31" style="167" customWidth="1"/>
    <col min="11787" max="11787" width="8.85546875" style="167" customWidth="1"/>
    <col min="11788" max="12035" width="9.140625" style="167"/>
    <col min="12036" max="12036" width="51.42578125" style="167" customWidth="1"/>
    <col min="12037" max="12037" width="26.5703125" style="167" customWidth="1"/>
    <col min="12038" max="12042" width="31" style="167" customWidth="1"/>
    <col min="12043" max="12043" width="8.85546875" style="167" customWidth="1"/>
    <col min="12044" max="12291" width="9.140625" style="167"/>
    <col min="12292" max="12292" width="51.42578125" style="167" customWidth="1"/>
    <col min="12293" max="12293" width="26.5703125" style="167" customWidth="1"/>
    <col min="12294" max="12298" width="31" style="167" customWidth="1"/>
    <col min="12299" max="12299" width="8.85546875" style="167" customWidth="1"/>
    <col min="12300" max="12547" width="9.140625" style="167"/>
    <col min="12548" max="12548" width="51.42578125" style="167" customWidth="1"/>
    <col min="12549" max="12549" width="26.5703125" style="167" customWidth="1"/>
    <col min="12550" max="12554" width="31" style="167" customWidth="1"/>
    <col min="12555" max="12555" width="8.85546875" style="167" customWidth="1"/>
    <col min="12556" max="12803" width="9.140625" style="167"/>
    <col min="12804" max="12804" width="51.42578125" style="167" customWidth="1"/>
    <col min="12805" max="12805" width="26.5703125" style="167" customWidth="1"/>
    <col min="12806" max="12810" width="31" style="167" customWidth="1"/>
    <col min="12811" max="12811" width="8.85546875" style="167" customWidth="1"/>
    <col min="12812" max="13059" width="9.140625" style="167"/>
    <col min="13060" max="13060" width="51.42578125" style="167" customWidth="1"/>
    <col min="13061" max="13061" width="26.5703125" style="167" customWidth="1"/>
    <col min="13062" max="13066" width="31" style="167" customWidth="1"/>
    <col min="13067" max="13067" width="8.85546875" style="167" customWidth="1"/>
    <col min="13068" max="13315" width="9.140625" style="167"/>
    <col min="13316" max="13316" width="51.42578125" style="167" customWidth="1"/>
    <col min="13317" max="13317" width="26.5703125" style="167" customWidth="1"/>
    <col min="13318" max="13322" width="31" style="167" customWidth="1"/>
    <col min="13323" max="13323" width="8.85546875" style="167" customWidth="1"/>
    <col min="13324" max="13571" width="9.140625" style="167"/>
    <col min="13572" max="13572" width="51.42578125" style="167" customWidth="1"/>
    <col min="13573" max="13573" width="26.5703125" style="167" customWidth="1"/>
    <col min="13574" max="13578" width="31" style="167" customWidth="1"/>
    <col min="13579" max="13579" width="8.85546875" style="167" customWidth="1"/>
    <col min="13580" max="13827" width="9.140625" style="167"/>
    <col min="13828" max="13828" width="51.42578125" style="167" customWidth="1"/>
    <col min="13829" max="13829" width="26.5703125" style="167" customWidth="1"/>
    <col min="13830" max="13834" width="31" style="167" customWidth="1"/>
    <col min="13835" max="13835" width="8.85546875" style="167" customWidth="1"/>
    <col min="13836" max="14083" width="9.140625" style="167"/>
    <col min="14084" max="14084" width="51.42578125" style="167" customWidth="1"/>
    <col min="14085" max="14085" width="26.5703125" style="167" customWidth="1"/>
    <col min="14086" max="14090" width="31" style="167" customWidth="1"/>
    <col min="14091" max="14091" width="8.85546875" style="167" customWidth="1"/>
    <col min="14092" max="14339" width="9.140625" style="167"/>
    <col min="14340" max="14340" width="51.42578125" style="167" customWidth="1"/>
    <col min="14341" max="14341" width="26.5703125" style="167" customWidth="1"/>
    <col min="14342" max="14346" width="31" style="167" customWidth="1"/>
    <col min="14347" max="14347" width="8.85546875" style="167" customWidth="1"/>
    <col min="14348" max="14595" width="9.140625" style="167"/>
    <col min="14596" max="14596" width="51.42578125" style="167" customWidth="1"/>
    <col min="14597" max="14597" width="26.5703125" style="167" customWidth="1"/>
    <col min="14598" max="14602" width="31" style="167" customWidth="1"/>
    <col min="14603" max="14603" width="8.85546875" style="167" customWidth="1"/>
    <col min="14604" max="14851" width="9.140625" style="167"/>
    <col min="14852" max="14852" width="51.42578125" style="167" customWidth="1"/>
    <col min="14853" max="14853" width="26.5703125" style="167" customWidth="1"/>
    <col min="14854" max="14858" width="31" style="167" customWidth="1"/>
    <col min="14859" max="14859" width="8.85546875" style="167" customWidth="1"/>
    <col min="14860" max="15107" width="9.140625" style="167"/>
    <col min="15108" max="15108" width="51.42578125" style="167" customWidth="1"/>
    <col min="15109" max="15109" width="26.5703125" style="167" customWidth="1"/>
    <col min="15110" max="15114" width="31" style="167" customWidth="1"/>
    <col min="15115" max="15115" width="8.85546875" style="167" customWidth="1"/>
    <col min="15116" max="15363" width="9.140625" style="167"/>
    <col min="15364" max="15364" width="51.42578125" style="167" customWidth="1"/>
    <col min="15365" max="15365" width="26.5703125" style="167" customWidth="1"/>
    <col min="15366" max="15370" width="31" style="167" customWidth="1"/>
    <col min="15371" max="15371" width="8.85546875" style="167" customWidth="1"/>
    <col min="15372" max="15619" width="9.140625" style="167"/>
    <col min="15620" max="15620" width="51.42578125" style="167" customWidth="1"/>
    <col min="15621" max="15621" width="26.5703125" style="167" customWidth="1"/>
    <col min="15622" max="15626" width="31" style="167" customWidth="1"/>
    <col min="15627" max="15627" width="8.85546875" style="167" customWidth="1"/>
    <col min="15628" max="15875" width="9.140625" style="167"/>
    <col min="15876" max="15876" width="51.42578125" style="167" customWidth="1"/>
    <col min="15877" max="15877" width="26.5703125" style="167" customWidth="1"/>
    <col min="15878" max="15882" width="31" style="167" customWidth="1"/>
    <col min="15883" max="15883" width="8.85546875" style="167" customWidth="1"/>
    <col min="15884" max="16131" width="9.140625" style="167"/>
    <col min="16132" max="16132" width="51.42578125" style="167" customWidth="1"/>
    <col min="16133" max="16133" width="26.5703125" style="167" customWidth="1"/>
    <col min="16134" max="16138" width="31" style="167" customWidth="1"/>
    <col min="16139" max="16139" width="8.85546875" style="167" customWidth="1"/>
    <col min="16140" max="16384" width="9.140625" style="167"/>
  </cols>
  <sheetData>
    <row r="1" spans="1:29" ht="26.45" customHeight="1" thickBot="1" x14ac:dyDescent="0.25">
      <c r="A1" s="1371" t="s">
        <v>433</v>
      </c>
      <c r="B1" s="1372"/>
      <c r="C1" s="1372"/>
      <c r="D1" s="1372"/>
      <c r="E1" s="1372"/>
      <c r="F1" s="1372"/>
      <c r="G1" s="1372"/>
      <c r="H1" s="1372"/>
      <c r="I1" s="1372"/>
      <c r="J1" s="1373"/>
      <c r="K1" s="296"/>
      <c r="L1" s="209" t="str">
        <f>+TITELBLAD!C10</f>
        <v>gas</v>
      </c>
      <c r="M1" s="296"/>
      <c r="N1" s="296"/>
      <c r="O1" s="296"/>
      <c r="P1" s="296"/>
      <c r="Q1" s="296"/>
      <c r="R1" s="296"/>
      <c r="S1" s="296"/>
      <c r="T1" s="296"/>
      <c r="U1" s="296"/>
      <c r="V1" s="296"/>
      <c r="W1" s="296"/>
      <c r="X1" s="296"/>
      <c r="Y1" s="296"/>
      <c r="Z1" s="296"/>
      <c r="AA1" s="296"/>
      <c r="AB1" s="296"/>
      <c r="AC1" s="296"/>
    </row>
    <row r="2" spans="1:29" x14ac:dyDescent="0.2">
      <c r="A2" s="296"/>
      <c r="B2" s="296"/>
      <c r="C2" s="296"/>
      <c r="D2" s="296"/>
      <c r="E2" s="296"/>
      <c r="F2" s="296"/>
      <c r="G2" s="296"/>
      <c r="J2" s="296"/>
      <c r="K2" s="296"/>
      <c r="L2" s="296"/>
      <c r="M2" s="296"/>
      <c r="N2" s="296"/>
      <c r="O2" s="296"/>
      <c r="P2" s="296"/>
      <c r="Q2" s="296"/>
      <c r="R2" s="296"/>
      <c r="S2" s="296"/>
      <c r="T2" s="296"/>
      <c r="U2" s="296"/>
      <c r="V2" s="296"/>
      <c r="W2" s="296"/>
      <c r="X2" s="296"/>
      <c r="Y2" s="296"/>
      <c r="Z2" s="296"/>
      <c r="AA2" s="296"/>
      <c r="AB2" s="296"/>
      <c r="AC2" s="296"/>
    </row>
    <row r="3" spans="1:29" x14ac:dyDescent="0.2">
      <c r="A3" s="296"/>
      <c r="B3" s="296"/>
      <c r="C3" s="1063" t="s">
        <v>346</v>
      </c>
      <c r="D3" s="1063" t="s">
        <v>347</v>
      </c>
      <c r="E3" s="296"/>
      <c r="F3" s="296"/>
      <c r="G3" s="296"/>
      <c r="J3" s="296"/>
      <c r="K3" s="296"/>
      <c r="L3" s="296"/>
      <c r="M3" s="296"/>
      <c r="N3" s="296"/>
      <c r="O3" s="296"/>
      <c r="P3" s="296"/>
      <c r="Q3" s="296"/>
      <c r="R3" s="296"/>
      <c r="S3" s="296"/>
      <c r="T3" s="296"/>
      <c r="U3" s="296"/>
      <c r="V3" s="296"/>
      <c r="W3" s="296"/>
      <c r="X3" s="296"/>
      <c r="Y3" s="296"/>
      <c r="Z3" s="296"/>
      <c r="AA3" s="296"/>
      <c r="AB3" s="296"/>
      <c r="AC3" s="296"/>
    </row>
    <row r="4" spans="1:29" x14ac:dyDescent="0.2">
      <c r="A4" s="358" t="s">
        <v>440</v>
      </c>
      <c r="B4" s="1080">
        <f>+TITELBLAD!E16</f>
        <v>2021</v>
      </c>
      <c r="C4" s="1081">
        <f>-G66</f>
        <v>0</v>
      </c>
      <c r="D4" s="1081">
        <f>-G120</f>
        <v>0</v>
      </c>
      <c r="E4" s="1082"/>
      <c r="J4" s="296"/>
      <c r="K4" s="296"/>
      <c r="L4" s="296"/>
      <c r="M4" s="296"/>
      <c r="N4" s="296"/>
      <c r="O4" s="296"/>
      <c r="P4" s="296"/>
      <c r="Q4" s="296"/>
      <c r="R4" s="296"/>
      <c r="S4" s="296"/>
      <c r="T4" s="296"/>
      <c r="U4" s="296"/>
      <c r="V4" s="296"/>
      <c r="W4" s="296"/>
      <c r="X4" s="296"/>
      <c r="Y4" s="296"/>
      <c r="Z4" s="296"/>
      <c r="AA4" s="296"/>
      <c r="AB4" s="296"/>
      <c r="AC4" s="296"/>
    </row>
    <row r="5" spans="1:29" x14ac:dyDescent="0.2">
      <c r="D5" s="1082"/>
      <c r="E5" s="1082"/>
      <c r="J5" s="296"/>
      <c r="K5" s="296"/>
      <c r="L5" s="296"/>
      <c r="M5" s="296"/>
      <c r="N5" s="296"/>
      <c r="O5" s="296"/>
      <c r="P5" s="296"/>
      <c r="Q5" s="296"/>
      <c r="R5" s="296"/>
      <c r="S5" s="296"/>
      <c r="T5" s="296"/>
      <c r="U5" s="296"/>
      <c r="V5" s="296"/>
      <c r="W5" s="296"/>
      <c r="X5" s="296"/>
      <c r="Y5" s="296"/>
      <c r="Z5" s="296"/>
      <c r="AA5" s="296"/>
      <c r="AB5" s="296"/>
      <c r="AC5" s="296"/>
    </row>
    <row r="6" spans="1:29" x14ac:dyDescent="0.2">
      <c r="J6" s="296"/>
      <c r="K6" s="296"/>
      <c r="L6" s="296"/>
      <c r="M6" s="296"/>
      <c r="N6" s="296"/>
      <c r="O6" s="296"/>
      <c r="P6" s="296"/>
      <c r="Q6" s="296"/>
      <c r="R6" s="296"/>
      <c r="S6" s="296"/>
      <c r="T6" s="296"/>
      <c r="U6" s="296"/>
      <c r="V6" s="296"/>
      <c r="W6" s="296"/>
      <c r="X6" s="296"/>
      <c r="Y6" s="296"/>
      <c r="Z6" s="296"/>
      <c r="AA6" s="296"/>
      <c r="AB6" s="296"/>
      <c r="AC6" s="296"/>
    </row>
    <row r="7" spans="1:29" x14ac:dyDescent="0.2">
      <c r="J7" s="296"/>
      <c r="K7" s="296"/>
      <c r="L7" s="296"/>
      <c r="M7" s="296"/>
      <c r="N7" s="296"/>
      <c r="O7" s="296"/>
      <c r="P7" s="296"/>
      <c r="Q7" s="296"/>
      <c r="R7" s="296"/>
      <c r="S7" s="296"/>
      <c r="T7" s="296"/>
      <c r="U7" s="296"/>
      <c r="V7" s="296"/>
      <c r="W7" s="296"/>
      <c r="X7" s="296"/>
      <c r="Y7" s="296"/>
      <c r="Z7" s="296"/>
      <c r="AA7" s="296"/>
      <c r="AB7" s="296"/>
      <c r="AC7" s="296"/>
    </row>
    <row r="8" spans="1:29" x14ac:dyDescent="0.2">
      <c r="A8" s="358" t="s">
        <v>308</v>
      </c>
      <c r="J8" s="296"/>
      <c r="K8" s="296"/>
      <c r="L8" s="296"/>
      <c r="M8" s="296"/>
      <c r="N8" s="296"/>
      <c r="O8" s="296"/>
      <c r="P8" s="296"/>
      <c r="Q8" s="296"/>
      <c r="R8" s="296"/>
      <c r="S8" s="296"/>
      <c r="T8" s="296"/>
      <c r="U8" s="296"/>
      <c r="V8" s="296"/>
      <c r="W8" s="296"/>
      <c r="X8" s="296"/>
      <c r="Y8" s="296"/>
      <c r="Z8" s="296"/>
      <c r="AA8" s="296"/>
      <c r="AB8" s="296"/>
      <c r="AC8" s="296"/>
    </row>
    <row r="9" spans="1:29" x14ac:dyDescent="0.2">
      <c r="A9" s="224" t="s">
        <v>309</v>
      </c>
      <c r="J9" s="296"/>
      <c r="K9" s="296"/>
      <c r="L9" s="296"/>
      <c r="M9" s="296"/>
      <c r="N9" s="296"/>
      <c r="O9" s="296"/>
      <c r="P9" s="296"/>
      <c r="Q9" s="296"/>
      <c r="R9" s="296"/>
      <c r="S9" s="296"/>
      <c r="T9" s="296"/>
      <c r="U9" s="296"/>
      <c r="V9" s="296"/>
      <c r="W9" s="296"/>
      <c r="X9" s="296"/>
      <c r="Y9" s="296"/>
      <c r="Z9" s="296"/>
      <c r="AA9" s="296"/>
      <c r="AB9" s="296"/>
      <c r="AC9" s="296"/>
    </row>
    <row r="10" spans="1:29" x14ac:dyDescent="0.2">
      <c r="A10" s="1083" t="s">
        <v>310</v>
      </c>
      <c r="J10" s="296"/>
      <c r="K10" s="296"/>
      <c r="L10" s="296"/>
      <c r="M10" s="296"/>
      <c r="N10" s="296"/>
      <c r="O10" s="296"/>
      <c r="P10" s="296"/>
      <c r="Q10" s="296"/>
      <c r="R10" s="296"/>
      <c r="S10" s="296"/>
      <c r="T10" s="296"/>
      <c r="U10" s="296"/>
      <c r="V10" s="296"/>
      <c r="W10" s="296"/>
      <c r="X10" s="296"/>
      <c r="Y10" s="296"/>
      <c r="Z10" s="296"/>
      <c r="AA10" s="296"/>
      <c r="AB10" s="296"/>
      <c r="AC10" s="296"/>
    </row>
    <row r="11" spans="1:29" x14ac:dyDescent="0.2">
      <c r="A11" s="1083" t="s">
        <v>311</v>
      </c>
      <c r="J11" s="296"/>
      <c r="K11" s="296"/>
      <c r="L11" s="296"/>
      <c r="M11" s="296"/>
      <c r="N11" s="296"/>
      <c r="O11" s="296"/>
      <c r="P11" s="296"/>
      <c r="Q11" s="296"/>
      <c r="R11" s="296"/>
      <c r="S11" s="296"/>
      <c r="T11" s="296"/>
      <c r="U11" s="296"/>
      <c r="V11" s="296"/>
      <c r="W11" s="296"/>
      <c r="X11" s="296"/>
      <c r="Y11" s="296"/>
      <c r="Z11" s="296"/>
      <c r="AA11" s="296"/>
      <c r="AB11" s="296"/>
      <c r="AC11" s="296"/>
    </row>
    <row r="13" spans="1:29" x14ac:dyDescent="0.2">
      <c r="A13" s="358" t="s">
        <v>427</v>
      </c>
    </row>
    <row r="14" spans="1:29" ht="31.5" customHeight="1" x14ac:dyDescent="0.2">
      <c r="A14" s="1381" t="s">
        <v>428</v>
      </c>
      <c r="B14" s="1381"/>
      <c r="C14" s="1381"/>
      <c r="H14" s="1135" t="s">
        <v>458</v>
      </c>
    </row>
    <row r="15" spans="1:29" x14ac:dyDescent="0.2">
      <c r="J15" s="296"/>
      <c r="K15" s="296"/>
      <c r="L15" s="296"/>
      <c r="M15" s="296"/>
      <c r="N15" s="296"/>
      <c r="O15" s="296"/>
      <c r="P15" s="296"/>
      <c r="Q15" s="296"/>
      <c r="R15" s="296"/>
      <c r="S15" s="296"/>
      <c r="T15" s="296"/>
      <c r="U15" s="296"/>
      <c r="V15" s="296"/>
      <c r="W15" s="296"/>
      <c r="X15" s="296"/>
      <c r="Y15" s="296"/>
      <c r="Z15" s="296"/>
      <c r="AA15" s="296"/>
      <c r="AB15" s="296"/>
      <c r="AC15" s="296"/>
    </row>
    <row r="16" spans="1:29" ht="13.5" thickBot="1" x14ac:dyDescent="0.25"/>
    <row r="17" spans="1:10" ht="15.95" customHeight="1" thickBot="1" x14ac:dyDescent="0.25">
      <c r="A17" s="1378" t="str">
        <f>"BUDGET "&amp;B4</f>
        <v>BUDGET 2021</v>
      </c>
      <c r="B17" s="1379"/>
      <c r="C17" s="1379"/>
      <c r="D17" s="1379"/>
      <c r="E17" s="1379"/>
      <c r="F17" s="1379"/>
      <c r="G17" s="1379"/>
      <c r="H17" s="1379"/>
      <c r="I17" s="1379"/>
      <c r="J17" s="1380"/>
    </row>
    <row r="18" spans="1:10" ht="47.45" customHeight="1" x14ac:dyDescent="0.2">
      <c r="A18" s="1084" t="s">
        <v>312</v>
      </c>
      <c r="B18" s="1085" t="s">
        <v>343</v>
      </c>
      <c r="C18" s="1086" t="str">
        <f>"Oorspronkelijke meerwaarde op basis van historische indexatie voor activa einde boekjaar "&amp;B4-1</f>
        <v>Oorspronkelijke meerwaarde op basis van historische indexatie voor activa einde boekjaar 2020</v>
      </c>
      <c r="D18" s="1086" t="str">
        <f>"Gecumuleerde afschrijvingen activa einde boekjaar "&amp; B4-1</f>
        <v>Gecumuleerde afschrijvingen activa einde boekjaar 2020</v>
      </c>
      <c r="E18" s="1086" t="str">
        <f>"Nettoboekwaarde meerwaarde op basis van historische indexatie einde boekjaar "&amp; B4-1</f>
        <v>Nettoboekwaarde meerwaarde op basis van historische indexatie einde boekjaar 2020</v>
      </c>
      <c r="F18" s="1086" t="str">
        <f>"Transfers boekjaar "&amp;B4</f>
        <v>Transfers boekjaar 2021</v>
      </c>
      <c r="G18" s="1086" t="str">
        <f>"Afschrijvingen boekjaar "&amp;B4</f>
        <v>Afschrijvingen boekjaar 2021</v>
      </c>
      <c r="H18" s="1136" t="str">
        <f>"Desinvesteringen boekjaar "&amp;B4&amp;" n.a.v. verkoop "</f>
        <v xml:space="preserve">Desinvesteringen boekjaar 2021 n.a.v. verkoop </v>
      </c>
      <c r="I18" s="1136" t="str">
        <f>"Desinvesteringen boekjaar "&amp;B4&amp;" n.a.v. structuurwijziging"</f>
        <v>Desinvesteringen boekjaar 2021 n.a.v. structuurwijziging</v>
      </c>
      <c r="J18" s="1086" t="str">
        <f>"Nettoboekwaarde meerwaarde op basis van historische indexatie einde boekjaar "&amp;B4</f>
        <v>Nettoboekwaarde meerwaarde op basis van historische indexatie einde boekjaar 2021</v>
      </c>
    </row>
    <row r="19" spans="1:10" ht="13.5" thickBot="1" x14ac:dyDescent="0.25">
      <c r="A19" s="1087"/>
      <c r="B19" s="1088"/>
      <c r="C19" s="1089" t="s">
        <v>4</v>
      </c>
      <c r="D19" s="1089" t="s">
        <v>8</v>
      </c>
      <c r="E19" s="1089"/>
      <c r="F19" s="1089" t="s">
        <v>4</v>
      </c>
      <c r="G19" s="1089" t="s">
        <v>8</v>
      </c>
      <c r="H19" s="1137" t="s">
        <v>8</v>
      </c>
      <c r="I19" s="1137" t="s">
        <v>8</v>
      </c>
      <c r="J19" s="1090"/>
    </row>
    <row r="20" spans="1:10" x14ac:dyDescent="0.2">
      <c r="A20" s="1091" t="s">
        <v>313</v>
      </c>
      <c r="B20" s="1375">
        <v>0.02</v>
      </c>
      <c r="C20" s="665">
        <v>0</v>
      </c>
      <c r="D20" s="665">
        <v>0</v>
      </c>
      <c r="E20" s="1092">
        <f t="shared" ref="E20:E62" si="0">+C20+D20</f>
        <v>0</v>
      </c>
      <c r="F20" s="665">
        <v>0</v>
      </c>
      <c r="G20" s="665">
        <v>0</v>
      </c>
      <c r="H20" s="1138">
        <v>0</v>
      </c>
      <c r="I20" s="1138">
        <v>0</v>
      </c>
      <c r="J20" s="1093">
        <f>+SUM(E20:I20)</f>
        <v>0</v>
      </c>
    </row>
    <row r="21" spans="1:10" x14ac:dyDescent="0.2">
      <c r="A21" s="1094" t="s">
        <v>314</v>
      </c>
      <c r="B21" s="1376"/>
      <c r="C21" s="666">
        <v>0</v>
      </c>
      <c r="D21" s="666">
        <v>0</v>
      </c>
      <c r="E21" s="1095">
        <f t="shared" si="0"/>
        <v>0</v>
      </c>
      <c r="F21" s="666">
        <v>0</v>
      </c>
      <c r="G21" s="666">
        <v>0</v>
      </c>
      <c r="H21" s="1139">
        <v>0</v>
      </c>
      <c r="I21" s="1139">
        <v>0</v>
      </c>
      <c r="J21" s="1096">
        <f t="shared" ref="J21:J64" si="1">+SUM(E21:I21)</f>
        <v>0</v>
      </c>
    </row>
    <row r="22" spans="1:10" x14ac:dyDescent="0.2">
      <c r="A22" s="1094" t="s">
        <v>315</v>
      </c>
      <c r="B22" s="1376"/>
      <c r="C22" s="666">
        <v>0</v>
      </c>
      <c r="D22" s="666">
        <v>0</v>
      </c>
      <c r="E22" s="1095">
        <f t="shared" si="0"/>
        <v>0</v>
      </c>
      <c r="F22" s="666">
        <v>0</v>
      </c>
      <c r="G22" s="666">
        <v>0</v>
      </c>
      <c r="H22" s="1139">
        <v>0</v>
      </c>
      <c r="I22" s="1139">
        <v>0</v>
      </c>
      <c r="J22" s="1096">
        <f t="shared" si="1"/>
        <v>0</v>
      </c>
    </row>
    <row r="23" spans="1:10" x14ac:dyDescent="0.2">
      <c r="A23" s="1094" t="s">
        <v>316</v>
      </c>
      <c r="B23" s="1376"/>
      <c r="C23" s="666">
        <v>0</v>
      </c>
      <c r="D23" s="666">
        <v>0</v>
      </c>
      <c r="E23" s="1095">
        <f t="shared" si="0"/>
        <v>0</v>
      </c>
      <c r="F23" s="666">
        <v>0</v>
      </c>
      <c r="G23" s="666">
        <v>0</v>
      </c>
      <c r="H23" s="1139">
        <v>0</v>
      </c>
      <c r="I23" s="1139">
        <v>0</v>
      </c>
      <c r="J23" s="1096">
        <f t="shared" si="1"/>
        <v>0</v>
      </c>
    </row>
    <row r="24" spans="1:10" x14ac:dyDescent="0.2">
      <c r="A24" s="1094" t="s">
        <v>385</v>
      </c>
      <c r="B24" s="1376"/>
      <c r="C24" s="666">
        <v>0</v>
      </c>
      <c r="D24" s="666">
        <v>0</v>
      </c>
      <c r="E24" s="1095">
        <f t="shared" si="0"/>
        <v>0</v>
      </c>
      <c r="F24" s="666">
        <v>0</v>
      </c>
      <c r="G24" s="666">
        <v>0</v>
      </c>
      <c r="H24" s="1139">
        <v>0</v>
      </c>
      <c r="I24" s="1139">
        <v>0</v>
      </c>
      <c r="J24" s="1096">
        <f t="shared" si="1"/>
        <v>0</v>
      </c>
    </row>
    <row r="25" spans="1:10" x14ac:dyDescent="0.2">
      <c r="A25" s="1094" t="s">
        <v>386</v>
      </c>
      <c r="B25" s="1376"/>
      <c r="C25" s="666">
        <v>0</v>
      </c>
      <c r="D25" s="666">
        <v>0</v>
      </c>
      <c r="E25" s="1095">
        <f t="shared" si="0"/>
        <v>0</v>
      </c>
      <c r="F25" s="666">
        <v>0</v>
      </c>
      <c r="G25" s="666">
        <v>0</v>
      </c>
      <c r="H25" s="1139">
        <v>0</v>
      </c>
      <c r="I25" s="1139">
        <v>0</v>
      </c>
      <c r="J25" s="1096">
        <f t="shared" si="1"/>
        <v>0</v>
      </c>
    </row>
    <row r="26" spans="1:10" x14ac:dyDescent="0.2">
      <c r="A26" s="1094" t="s">
        <v>317</v>
      </c>
      <c r="B26" s="1376"/>
      <c r="C26" s="666">
        <v>0</v>
      </c>
      <c r="D26" s="666">
        <v>0</v>
      </c>
      <c r="E26" s="1095">
        <f t="shared" si="0"/>
        <v>0</v>
      </c>
      <c r="F26" s="666">
        <v>0</v>
      </c>
      <c r="G26" s="666">
        <v>0</v>
      </c>
      <c r="H26" s="1139">
        <v>0</v>
      </c>
      <c r="I26" s="1139">
        <v>0</v>
      </c>
      <c r="J26" s="1096">
        <f t="shared" si="1"/>
        <v>0</v>
      </c>
    </row>
    <row r="27" spans="1:10" x14ac:dyDescent="0.2">
      <c r="A27" s="1094" t="s">
        <v>387</v>
      </c>
      <c r="B27" s="1376"/>
      <c r="C27" s="666">
        <v>0</v>
      </c>
      <c r="D27" s="666">
        <v>0</v>
      </c>
      <c r="E27" s="1095">
        <f t="shared" si="0"/>
        <v>0</v>
      </c>
      <c r="F27" s="666">
        <v>0</v>
      </c>
      <c r="G27" s="666">
        <v>0</v>
      </c>
      <c r="H27" s="1139">
        <v>0</v>
      </c>
      <c r="I27" s="1139">
        <v>0</v>
      </c>
      <c r="J27" s="1096">
        <f t="shared" si="1"/>
        <v>0</v>
      </c>
    </row>
    <row r="28" spans="1:10" x14ac:dyDescent="0.2">
      <c r="A28" s="1094" t="s">
        <v>318</v>
      </c>
      <c r="B28" s="1376"/>
      <c r="C28" s="666">
        <v>0</v>
      </c>
      <c r="D28" s="666">
        <v>0</v>
      </c>
      <c r="E28" s="1095">
        <f t="shared" si="0"/>
        <v>0</v>
      </c>
      <c r="F28" s="666">
        <v>0</v>
      </c>
      <c r="G28" s="666">
        <v>0</v>
      </c>
      <c r="H28" s="1139">
        <v>0</v>
      </c>
      <c r="I28" s="1139">
        <v>0</v>
      </c>
      <c r="J28" s="1096">
        <f t="shared" si="1"/>
        <v>0</v>
      </c>
    </row>
    <row r="29" spans="1:10" x14ac:dyDescent="0.2">
      <c r="A29" s="1094" t="s">
        <v>388</v>
      </c>
      <c r="B29" s="1376"/>
      <c r="C29" s="666">
        <v>0</v>
      </c>
      <c r="D29" s="666">
        <v>0</v>
      </c>
      <c r="E29" s="1095">
        <f t="shared" si="0"/>
        <v>0</v>
      </c>
      <c r="F29" s="666">
        <v>0</v>
      </c>
      <c r="G29" s="666">
        <v>0</v>
      </c>
      <c r="H29" s="1139">
        <v>0</v>
      </c>
      <c r="I29" s="1139">
        <v>0</v>
      </c>
      <c r="J29" s="1096">
        <f t="shared" si="1"/>
        <v>0</v>
      </c>
    </row>
    <row r="30" spans="1:10" x14ac:dyDescent="0.2">
      <c r="A30" s="1094" t="s">
        <v>389</v>
      </c>
      <c r="B30" s="1376"/>
      <c r="C30" s="666">
        <v>0</v>
      </c>
      <c r="D30" s="666">
        <v>0</v>
      </c>
      <c r="E30" s="1095">
        <f t="shared" si="0"/>
        <v>0</v>
      </c>
      <c r="F30" s="666">
        <v>0</v>
      </c>
      <c r="G30" s="666">
        <v>0</v>
      </c>
      <c r="H30" s="1139">
        <v>0</v>
      </c>
      <c r="I30" s="1139">
        <v>0</v>
      </c>
      <c r="J30" s="1096">
        <f t="shared" si="1"/>
        <v>0</v>
      </c>
    </row>
    <row r="31" spans="1:10" x14ac:dyDescent="0.2">
      <c r="A31" s="1094" t="s">
        <v>319</v>
      </c>
      <c r="B31" s="1376"/>
      <c r="C31" s="666">
        <v>0</v>
      </c>
      <c r="D31" s="666">
        <v>0</v>
      </c>
      <c r="E31" s="1095">
        <f t="shared" si="0"/>
        <v>0</v>
      </c>
      <c r="F31" s="666">
        <v>0</v>
      </c>
      <c r="G31" s="666">
        <v>0</v>
      </c>
      <c r="H31" s="1139">
        <v>0</v>
      </c>
      <c r="I31" s="1139">
        <v>0</v>
      </c>
      <c r="J31" s="1096">
        <f t="shared" si="1"/>
        <v>0</v>
      </c>
    </row>
    <row r="32" spans="1:10" x14ac:dyDescent="0.2">
      <c r="A32" s="1094" t="s">
        <v>390</v>
      </c>
      <c r="B32" s="1376"/>
      <c r="C32" s="666">
        <v>0</v>
      </c>
      <c r="D32" s="666">
        <v>0</v>
      </c>
      <c r="E32" s="1095">
        <f t="shared" si="0"/>
        <v>0</v>
      </c>
      <c r="F32" s="666">
        <v>0</v>
      </c>
      <c r="G32" s="666">
        <v>0</v>
      </c>
      <c r="H32" s="1139">
        <v>0</v>
      </c>
      <c r="I32" s="1139">
        <v>0</v>
      </c>
      <c r="J32" s="1096">
        <f t="shared" si="1"/>
        <v>0</v>
      </c>
    </row>
    <row r="33" spans="1:10" x14ac:dyDescent="0.2">
      <c r="A33" s="1094" t="s">
        <v>320</v>
      </c>
      <c r="B33" s="1376"/>
      <c r="C33" s="666">
        <v>0</v>
      </c>
      <c r="D33" s="666">
        <v>0</v>
      </c>
      <c r="E33" s="1095">
        <f t="shared" si="0"/>
        <v>0</v>
      </c>
      <c r="F33" s="666">
        <v>0</v>
      </c>
      <c r="G33" s="666">
        <v>0</v>
      </c>
      <c r="H33" s="1139">
        <v>0</v>
      </c>
      <c r="I33" s="1139">
        <v>0</v>
      </c>
      <c r="J33" s="1096">
        <f t="shared" si="1"/>
        <v>0</v>
      </c>
    </row>
    <row r="34" spans="1:10" x14ac:dyDescent="0.2">
      <c r="A34" s="1094" t="s">
        <v>391</v>
      </c>
      <c r="B34" s="1376"/>
      <c r="C34" s="666">
        <v>0</v>
      </c>
      <c r="D34" s="666">
        <v>0</v>
      </c>
      <c r="E34" s="1095">
        <f t="shared" si="0"/>
        <v>0</v>
      </c>
      <c r="F34" s="666">
        <v>0</v>
      </c>
      <c r="G34" s="666">
        <v>0</v>
      </c>
      <c r="H34" s="1139">
        <v>0</v>
      </c>
      <c r="I34" s="1139">
        <v>0</v>
      </c>
      <c r="J34" s="1096">
        <f t="shared" si="1"/>
        <v>0</v>
      </c>
    </row>
    <row r="35" spans="1:10" x14ac:dyDescent="0.2">
      <c r="A35" s="1094" t="s">
        <v>392</v>
      </c>
      <c r="B35" s="1376"/>
      <c r="C35" s="666">
        <v>0</v>
      </c>
      <c r="D35" s="666">
        <v>0</v>
      </c>
      <c r="E35" s="1095">
        <f t="shared" si="0"/>
        <v>0</v>
      </c>
      <c r="F35" s="666">
        <v>0</v>
      </c>
      <c r="G35" s="666">
        <v>0</v>
      </c>
      <c r="H35" s="1139">
        <v>0</v>
      </c>
      <c r="I35" s="1139">
        <v>0</v>
      </c>
      <c r="J35" s="1096">
        <f t="shared" si="1"/>
        <v>0</v>
      </c>
    </row>
    <row r="36" spans="1:10" x14ac:dyDescent="0.2">
      <c r="A36" s="1094" t="s">
        <v>321</v>
      </c>
      <c r="B36" s="1376"/>
      <c r="C36" s="666">
        <v>0</v>
      </c>
      <c r="D36" s="666">
        <v>0</v>
      </c>
      <c r="E36" s="1095">
        <f t="shared" si="0"/>
        <v>0</v>
      </c>
      <c r="F36" s="666">
        <v>0</v>
      </c>
      <c r="G36" s="666">
        <v>0</v>
      </c>
      <c r="H36" s="1139">
        <v>0</v>
      </c>
      <c r="I36" s="1139">
        <v>0</v>
      </c>
      <c r="J36" s="1096">
        <f t="shared" si="1"/>
        <v>0</v>
      </c>
    </row>
    <row r="37" spans="1:10" x14ac:dyDescent="0.2">
      <c r="A37" s="1094" t="s">
        <v>393</v>
      </c>
      <c r="B37" s="1376"/>
      <c r="C37" s="666">
        <v>0</v>
      </c>
      <c r="D37" s="666">
        <v>0</v>
      </c>
      <c r="E37" s="1095">
        <f t="shared" si="0"/>
        <v>0</v>
      </c>
      <c r="F37" s="666">
        <v>0</v>
      </c>
      <c r="G37" s="666">
        <v>0</v>
      </c>
      <c r="H37" s="1139">
        <v>0</v>
      </c>
      <c r="I37" s="1139">
        <v>0</v>
      </c>
      <c r="J37" s="1096">
        <f t="shared" si="1"/>
        <v>0</v>
      </c>
    </row>
    <row r="38" spans="1:10" x14ac:dyDescent="0.2">
      <c r="A38" s="1094" t="s">
        <v>322</v>
      </c>
      <c r="B38" s="1376"/>
      <c r="C38" s="666">
        <v>0</v>
      </c>
      <c r="D38" s="666">
        <v>0</v>
      </c>
      <c r="E38" s="1095">
        <f>+C38+D38</f>
        <v>0</v>
      </c>
      <c r="F38" s="666">
        <v>0</v>
      </c>
      <c r="G38" s="666">
        <v>0</v>
      </c>
      <c r="H38" s="1139">
        <v>0</v>
      </c>
      <c r="I38" s="1139">
        <v>0</v>
      </c>
      <c r="J38" s="1096">
        <f t="shared" si="1"/>
        <v>0</v>
      </c>
    </row>
    <row r="39" spans="1:10" x14ac:dyDescent="0.2">
      <c r="A39" s="1094" t="s">
        <v>323</v>
      </c>
      <c r="B39" s="1376"/>
      <c r="C39" s="666">
        <v>0</v>
      </c>
      <c r="D39" s="666">
        <v>0</v>
      </c>
      <c r="E39" s="1095">
        <f t="shared" si="0"/>
        <v>0</v>
      </c>
      <c r="F39" s="666">
        <v>0</v>
      </c>
      <c r="G39" s="666">
        <v>0</v>
      </c>
      <c r="H39" s="1139">
        <v>0</v>
      </c>
      <c r="I39" s="1139">
        <v>0</v>
      </c>
      <c r="J39" s="1096">
        <f t="shared" si="1"/>
        <v>0</v>
      </c>
    </row>
    <row r="40" spans="1:10" x14ac:dyDescent="0.2">
      <c r="A40" s="1094" t="s">
        <v>394</v>
      </c>
      <c r="B40" s="1376"/>
      <c r="C40" s="666">
        <v>0</v>
      </c>
      <c r="D40" s="666">
        <v>0</v>
      </c>
      <c r="E40" s="1095">
        <f t="shared" si="0"/>
        <v>0</v>
      </c>
      <c r="F40" s="666">
        <v>0</v>
      </c>
      <c r="G40" s="666">
        <v>0</v>
      </c>
      <c r="H40" s="1139">
        <v>0</v>
      </c>
      <c r="I40" s="1139">
        <v>0</v>
      </c>
      <c r="J40" s="1096">
        <f t="shared" si="1"/>
        <v>0</v>
      </c>
    </row>
    <row r="41" spans="1:10" x14ac:dyDescent="0.2">
      <c r="A41" s="1094" t="s">
        <v>395</v>
      </c>
      <c r="B41" s="1376"/>
      <c r="C41" s="666">
        <v>0</v>
      </c>
      <c r="D41" s="666">
        <v>0</v>
      </c>
      <c r="E41" s="1095">
        <f t="shared" si="0"/>
        <v>0</v>
      </c>
      <c r="F41" s="666">
        <v>0</v>
      </c>
      <c r="G41" s="666">
        <v>0</v>
      </c>
      <c r="H41" s="1139">
        <v>0</v>
      </c>
      <c r="I41" s="1139">
        <v>0</v>
      </c>
      <c r="J41" s="1096">
        <f t="shared" si="1"/>
        <v>0</v>
      </c>
    </row>
    <row r="42" spans="1:10" x14ac:dyDescent="0.2">
      <c r="A42" s="1094" t="s">
        <v>324</v>
      </c>
      <c r="B42" s="1376"/>
      <c r="C42" s="666">
        <v>0</v>
      </c>
      <c r="D42" s="666">
        <v>0</v>
      </c>
      <c r="E42" s="1095">
        <f t="shared" si="0"/>
        <v>0</v>
      </c>
      <c r="F42" s="666">
        <v>0</v>
      </c>
      <c r="G42" s="666">
        <v>0</v>
      </c>
      <c r="H42" s="1139">
        <v>0</v>
      </c>
      <c r="I42" s="1139">
        <v>0</v>
      </c>
      <c r="J42" s="1096">
        <f t="shared" si="1"/>
        <v>0</v>
      </c>
    </row>
    <row r="43" spans="1:10" x14ac:dyDescent="0.2">
      <c r="A43" s="1094" t="s">
        <v>396</v>
      </c>
      <c r="B43" s="1376"/>
      <c r="C43" s="666">
        <v>0</v>
      </c>
      <c r="D43" s="666">
        <v>0</v>
      </c>
      <c r="E43" s="1095">
        <f t="shared" si="0"/>
        <v>0</v>
      </c>
      <c r="F43" s="666">
        <v>0</v>
      </c>
      <c r="G43" s="666">
        <v>0</v>
      </c>
      <c r="H43" s="1139">
        <v>0</v>
      </c>
      <c r="I43" s="1139">
        <v>0</v>
      </c>
      <c r="J43" s="1096">
        <f t="shared" si="1"/>
        <v>0</v>
      </c>
    </row>
    <row r="44" spans="1:10" x14ac:dyDescent="0.2">
      <c r="A44" s="1094" t="s">
        <v>325</v>
      </c>
      <c r="B44" s="1376"/>
      <c r="C44" s="666">
        <v>0</v>
      </c>
      <c r="D44" s="666">
        <v>0</v>
      </c>
      <c r="E44" s="1095">
        <f t="shared" si="0"/>
        <v>0</v>
      </c>
      <c r="F44" s="666">
        <v>0</v>
      </c>
      <c r="G44" s="666">
        <v>0</v>
      </c>
      <c r="H44" s="1139">
        <v>0</v>
      </c>
      <c r="I44" s="1139">
        <v>0</v>
      </c>
      <c r="J44" s="1096">
        <f t="shared" si="1"/>
        <v>0</v>
      </c>
    </row>
    <row r="45" spans="1:10" x14ac:dyDescent="0.2">
      <c r="A45" s="1094" t="s">
        <v>397</v>
      </c>
      <c r="B45" s="1376"/>
      <c r="C45" s="666">
        <v>0</v>
      </c>
      <c r="D45" s="666">
        <v>0</v>
      </c>
      <c r="E45" s="1095">
        <f t="shared" si="0"/>
        <v>0</v>
      </c>
      <c r="F45" s="666">
        <v>0</v>
      </c>
      <c r="G45" s="666">
        <v>0</v>
      </c>
      <c r="H45" s="1139">
        <v>0</v>
      </c>
      <c r="I45" s="1139">
        <v>0</v>
      </c>
      <c r="J45" s="1096">
        <f t="shared" si="1"/>
        <v>0</v>
      </c>
    </row>
    <row r="46" spans="1:10" x14ac:dyDescent="0.2">
      <c r="A46" s="1094" t="s">
        <v>398</v>
      </c>
      <c r="B46" s="1376"/>
      <c r="C46" s="666">
        <v>0</v>
      </c>
      <c r="D46" s="666">
        <v>0</v>
      </c>
      <c r="E46" s="1095">
        <f t="shared" si="0"/>
        <v>0</v>
      </c>
      <c r="F46" s="666">
        <v>0</v>
      </c>
      <c r="G46" s="666">
        <v>0</v>
      </c>
      <c r="H46" s="1139">
        <v>0</v>
      </c>
      <c r="I46" s="1139">
        <v>0</v>
      </c>
      <c r="J46" s="1096">
        <f t="shared" si="1"/>
        <v>0</v>
      </c>
    </row>
    <row r="47" spans="1:10" x14ac:dyDescent="0.2">
      <c r="A47" s="1094" t="s">
        <v>326</v>
      </c>
      <c r="B47" s="1376"/>
      <c r="C47" s="666">
        <v>0</v>
      </c>
      <c r="D47" s="666">
        <v>0</v>
      </c>
      <c r="E47" s="1095">
        <f t="shared" si="0"/>
        <v>0</v>
      </c>
      <c r="F47" s="666">
        <v>0</v>
      </c>
      <c r="G47" s="666">
        <v>0</v>
      </c>
      <c r="H47" s="1139">
        <v>0</v>
      </c>
      <c r="I47" s="1139">
        <v>0</v>
      </c>
      <c r="J47" s="1096">
        <f t="shared" si="1"/>
        <v>0</v>
      </c>
    </row>
    <row r="48" spans="1:10" x14ac:dyDescent="0.2">
      <c r="A48" s="1094" t="s">
        <v>399</v>
      </c>
      <c r="B48" s="1376"/>
      <c r="C48" s="666">
        <v>0</v>
      </c>
      <c r="D48" s="666">
        <v>0</v>
      </c>
      <c r="E48" s="1095">
        <f t="shared" si="0"/>
        <v>0</v>
      </c>
      <c r="F48" s="666">
        <v>0</v>
      </c>
      <c r="G48" s="666">
        <v>0</v>
      </c>
      <c r="H48" s="1139">
        <v>0</v>
      </c>
      <c r="I48" s="1139">
        <v>0</v>
      </c>
      <c r="J48" s="1096">
        <f t="shared" si="1"/>
        <v>0</v>
      </c>
    </row>
    <row r="49" spans="1:10" x14ac:dyDescent="0.2">
      <c r="A49" s="1094" t="s">
        <v>327</v>
      </c>
      <c r="B49" s="1376"/>
      <c r="C49" s="666">
        <v>0</v>
      </c>
      <c r="D49" s="666">
        <v>0</v>
      </c>
      <c r="E49" s="1095">
        <f t="shared" si="0"/>
        <v>0</v>
      </c>
      <c r="F49" s="666">
        <v>0</v>
      </c>
      <c r="G49" s="666">
        <v>0</v>
      </c>
      <c r="H49" s="1139">
        <v>0</v>
      </c>
      <c r="I49" s="1139">
        <v>0</v>
      </c>
      <c r="J49" s="1096">
        <f t="shared" si="1"/>
        <v>0</v>
      </c>
    </row>
    <row r="50" spans="1:10" x14ac:dyDescent="0.2">
      <c r="A50" s="1094" t="s">
        <v>328</v>
      </c>
      <c r="B50" s="1376"/>
      <c r="C50" s="666">
        <v>0</v>
      </c>
      <c r="D50" s="666">
        <v>0</v>
      </c>
      <c r="E50" s="1095">
        <f t="shared" si="0"/>
        <v>0</v>
      </c>
      <c r="F50" s="666">
        <v>0</v>
      </c>
      <c r="G50" s="666">
        <v>0</v>
      </c>
      <c r="H50" s="1139">
        <v>0</v>
      </c>
      <c r="I50" s="1139">
        <v>0</v>
      </c>
      <c r="J50" s="1096">
        <f t="shared" si="1"/>
        <v>0</v>
      </c>
    </row>
    <row r="51" spans="1:10" x14ac:dyDescent="0.2">
      <c r="A51" s="1094" t="s">
        <v>329</v>
      </c>
      <c r="B51" s="1376"/>
      <c r="C51" s="666">
        <v>0</v>
      </c>
      <c r="D51" s="666">
        <v>0</v>
      </c>
      <c r="E51" s="1095">
        <f t="shared" si="0"/>
        <v>0</v>
      </c>
      <c r="F51" s="666">
        <v>0</v>
      </c>
      <c r="G51" s="666">
        <v>0</v>
      </c>
      <c r="H51" s="1139">
        <v>0</v>
      </c>
      <c r="I51" s="1139">
        <v>0</v>
      </c>
      <c r="J51" s="1096">
        <f t="shared" si="1"/>
        <v>0</v>
      </c>
    </row>
    <row r="52" spans="1:10" x14ac:dyDescent="0.2">
      <c r="A52" s="1094" t="s">
        <v>330</v>
      </c>
      <c r="B52" s="1376"/>
      <c r="C52" s="666">
        <v>0</v>
      </c>
      <c r="D52" s="666">
        <v>0</v>
      </c>
      <c r="E52" s="1095">
        <f t="shared" si="0"/>
        <v>0</v>
      </c>
      <c r="F52" s="666">
        <v>0</v>
      </c>
      <c r="G52" s="666">
        <v>0</v>
      </c>
      <c r="H52" s="1139">
        <v>0</v>
      </c>
      <c r="I52" s="1139">
        <v>0</v>
      </c>
      <c r="J52" s="1096">
        <f t="shared" si="1"/>
        <v>0</v>
      </c>
    </row>
    <row r="53" spans="1:10" x14ac:dyDescent="0.2">
      <c r="A53" s="1094" t="s">
        <v>331</v>
      </c>
      <c r="B53" s="1376"/>
      <c r="C53" s="666">
        <v>0</v>
      </c>
      <c r="D53" s="666">
        <v>0</v>
      </c>
      <c r="E53" s="1095">
        <f t="shared" si="0"/>
        <v>0</v>
      </c>
      <c r="F53" s="666">
        <v>0</v>
      </c>
      <c r="G53" s="666">
        <v>0</v>
      </c>
      <c r="H53" s="1139">
        <v>0</v>
      </c>
      <c r="I53" s="1139">
        <v>0</v>
      </c>
      <c r="J53" s="1096">
        <f t="shared" si="1"/>
        <v>0</v>
      </c>
    </row>
    <row r="54" spans="1:10" x14ac:dyDescent="0.2">
      <c r="A54" s="1094" t="s">
        <v>332</v>
      </c>
      <c r="B54" s="1376"/>
      <c r="C54" s="666">
        <v>0</v>
      </c>
      <c r="D54" s="666">
        <v>0</v>
      </c>
      <c r="E54" s="1095">
        <f t="shared" si="0"/>
        <v>0</v>
      </c>
      <c r="F54" s="666">
        <v>0</v>
      </c>
      <c r="G54" s="666">
        <v>0</v>
      </c>
      <c r="H54" s="1139">
        <v>0</v>
      </c>
      <c r="I54" s="1139">
        <v>0</v>
      </c>
      <c r="J54" s="1096">
        <f t="shared" si="1"/>
        <v>0</v>
      </c>
    </row>
    <row r="55" spans="1:10" x14ac:dyDescent="0.2">
      <c r="A55" s="1094" t="s">
        <v>333</v>
      </c>
      <c r="B55" s="1376"/>
      <c r="C55" s="666">
        <v>0</v>
      </c>
      <c r="D55" s="666">
        <v>0</v>
      </c>
      <c r="E55" s="1095">
        <f t="shared" si="0"/>
        <v>0</v>
      </c>
      <c r="F55" s="666">
        <v>0</v>
      </c>
      <c r="G55" s="666">
        <v>0</v>
      </c>
      <c r="H55" s="1139">
        <v>0</v>
      </c>
      <c r="I55" s="1139">
        <v>0</v>
      </c>
      <c r="J55" s="1096">
        <f t="shared" si="1"/>
        <v>0</v>
      </c>
    </row>
    <row r="56" spans="1:10" x14ac:dyDescent="0.2">
      <c r="A56" s="1094" t="s">
        <v>344</v>
      </c>
      <c r="B56" s="1376"/>
      <c r="C56" s="666">
        <v>0</v>
      </c>
      <c r="D56" s="666">
        <v>0</v>
      </c>
      <c r="E56" s="1095">
        <f t="shared" ref="E56" si="2">+C56+D56</f>
        <v>0</v>
      </c>
      <c r="F56" s="666">
        <v>0</v>
      </c>
      <c r="G56" s="666">
        <v>0</v>
      </c>
      <c r="H56" s="1139">
        <v>0</v>
      </c>
      <c r="I56" s="1139">
        <v>0</v>
      </c>
      <c r="J56" s="1096">
        <f t="shared" si="1"/>
        <v>0</v>
      </c>
    </row>
    <row r="57" spans="1:10" x14ac:dyDescent="0.2">
      <c r="A57" s="1094" t="s">
        <v>334</v>
      </c>
      <c r="B57" s="1376"/>
      <c r="C57" s="666">
        <v>0</v>
      </c>
      <c r="D57" s="666">
        <v>0</v>
      </c>
      <c r="E57" s="1095">
        <f t="shared" si="0"/>
        <v>0</v>
      </c>
      <c r="F57" s="666">
        <v>0</v>
      </c>
      <c r="G57" s="666">
        <v>0</v>
      </c>
      <c r="H57" s="1139">
        <v>0</v>
      </c>
      <c r="I57" s="1139">
        <v>0</v>
      </c>
      <c r="J57" s="1096">
        <f t="shared" si="1"/>
        <v>0</v>
      </c>
    </row>
    <row r="58" spans="1:10" x14ac:dyDescent="0.2">
      <c r="A58" s="1094" t="s">
        <v>335</v>
      </c>
      <c r="B58" s="1376"/>
      <c r="C58" s="666">
        <v>0</v>
      </c>
      <c r="D58" s="666">
        <v>0</v>
      </c>
      <c r="E58" s="1095">
        <f t="shared" si="0"/>
        <v>0</v>
      </c>
      <c r="F58" s="666">
        <v>0</v>
      </c>
      <c r="G58" s="666">
        <v>0</v>
      </c>
      <c r="H58" s="1139">
        <v>0</v>
      </c>
      <c r="I58" s="1139">
        <v>0</v>
      </c>
      <c r="J58" s="1096">
        <f t="shared" si="1"/>
        <v>0</v>
      </c>
    </row>
    <row r="59" spans="1:10" x14ac:dyDescent="0.2">
      <c r="A59" s="1094" t="s">
        <v>336</v>
      </c>
      <c r="B59" s="1376"/>
      <c r="C59" s="666">
        <v>0</v>
      </c>
      <c r="D59" s="666">
        <v>0</v>
      </c>
      <c r="E59" s="1095">
        <f t="shared" si="0"/>
        <v>0</v>
      </c>
      <c r="F59" s="666">
        <v>0</v>
      </c>
      <c r="G59" s="666">
        <v>0</v>
      </c>
      <c r="H59" s="1139">
        <v>0</v>
      </c>
      <c r="I59" s="1139">
        <v>0</v>
      </c>
      <c r="J59" s="1096">
        <f t="shared" si="1"/>
        <v>0</v>
      </c>
    </row>
    <row r="60" spans="1:10" x14ac:dyDescent="0.2">
      <c r="A60" s="1094" t="s">
        <v>337</v>
      </c>
      <c r="B60" s="1376"/>
      <c r="C60" s="666">
        <v>0</v>
      </c>
      <c r="D60" s="666">
        <v>0</v>
      </c>
      <c r="E60" s="1095">
        <f t="shared" si="0"/>
        <v>0</v>
      </c>
      <c r="F60" s="666">
        <v>0</v>
      </c>
      <c r="G60" s="666">
        <v>0</v>
      </c>
      <c r="H60" s="1139">
        <v>0</v>
      </c>
      <c r="I60" s="1139">
        <v>0</v>
      </c>
      <c r="J60" s="1096">
        <f t="shared" si="1"/>
        <v>0</v>
      </c>
    </row>
    <row r="61" spans="1:10" x14ac:dyDescent="0.2">
      <c r="A61" s="1094" t="s">
        <v>338</v>
      </c>
      <c r="B61" s="1376"/>
      <c r="C61" s="666">
        <v>0</v>
      </c>
      <c r="D61" s="666">
        <v>0</v>
      </c>
      <c r="E61" s="1095">
        <f t="shared" si="0"/>
        <v>0</v>
      </c>
      <c r="F61" s="666">
        <v>0</v>
      </c>
      <c r="G61" s="666">
        <v>0</v>
      </c>
      <c r="H61" s="1139">
        <v>0</v>
      </c>
      <c r="I61" s="1139">
        <v>0</v>
      </c>
      <c r="J61" s="1096">
        <f t="shared" si="1"/>
        <v>0</v>
      </c>
    </row>
    <row r="62" spans="1:10" x14ac:dyDescent="0.2">
      <c r="A62" s="1094" t="s">
        <v>339</v>
      </c>
      <c r="B62" s="1376"/>
      <c r="C62" s="667">
        <v>0</v>
      </c>
      <c r="D62" s="666">
        <v>0</v>
      </c>
      <c r="E62" s="1095">
        <f t="shared" si="0"/>
        <v>0</v>
      </c>
      <c r="F62" s="666">
        <v>0</v>
      </c>
      <c r="G62" s="666">
        <v>0</v>
      </c>
      <c r="H62" s="1139">
        <v>0</v>
      </c>
      <c r="I62" s="1139">
        <v>0</v>
      </c>
      <c r="J62" s="1096">
        <f t="shared" si="1"/>
        <v>0</v>
      </c>
    </row>
    <row r="63" spans="1:10" x14ac:dyDescent="0.2">
      <c r="A63" s="1094" t="s">
        <v>340</v>
      </c>
      <c r="B63" s="1376"/>
      <c r="C63" s="666">
        <v>0</v>
      </c>
      <c r="D63" s="666">
        <v>0</v>
      </c>
      <c r="E63" s="1095">
        <f t="shared" ref="E63" si="3">+C63+D63</f>
        <v>0</v>
      </c>
      <c r="F63" s="666">
        <v>0</v>
      </c>
      <c r="G63" s="666">
        <v>0</v>
      </c>
      <c r="H63" s="1139">
        <v>0</v>
      </c>
      <c r="I63" s="1139">
        <v>0</v>
      </c>
      <c r="J63" s="1096">
        <f t="shared" si="1"/>
        <v>0</v>
      </c>
    </row>
    <row r="64" spans="1:10" ht="13.5" thickBot="1" x14ac:dyDescent="0.25">
      <c r="A64" s="1097" t="s">
        <v>341</v>
      </c>
      <c r="B64" s="1377"/>
      <c r="C64" s="668">
        <v>0</v>
      </c>
      <c r="D64" s="668">
        <v>0</v>
      </c>
      <c r="E64" s="1098">
        <f>+C64+D64</f>
        <v>0</v>
      </c>
      <c r="F64" s="668">
        <v>0</v>
      </c>
      <c r="G64" s="668">
        <v>0</v>
      </c>
      <c r="H64" s="1140">
        <v>0</v>
      </c>
      <c r="I64" s="1140">
        <v>0</v>
      </c>
      <c r="J64" s="1099">
        <f t="shared" si="1"/>
        <v>0</v>
      </c>
    </row>
    <row r="65" spans="1:10" x14ac:dyDescent="0.2">
      <c r="A65" s="1100"/>
      <c r="B65" s="1101"/>
      <c r="C65" s="1102"/>
      <c r="D65" s="1102"/>
      <c r="E65" s="1102"/>
      <c r="F65" s="1102"/>
      <c r="G65" s="1102"/>
      <c r="H65" s="1141"/>
      <c r="I65" s="1141"/>
      <c r="J65" s="1102"/>
    </row>
    <row r="66" spans="1:10" x14ac:dyDescent="0.2">
      <c r="A66" s="1100" t="s">
        <v>342</v>
      </c>
      <c r="B66" s="1101"/>
      <c r="C66" s="1103">
        <f t="shared" ref="C66:J66" si="4">SUM(C20:C64)</f>
        <v>0</v>
      </c>
      <c r="D66" s="1103">
        <f t="shared" si="4"/>
        <v>0</v>
      </c>
      <c r="E66" s="1103">
        <f t="shared" si="4"/>
        <v>0</v>
      </c>
      <c r="F66" s="1103">
        <f t="shared" ref="F66" si="5">SUM(F20:F64)</f>
        <v>0</v>
      </c>
      <c r="G66" s="1103">
        <f t="shared" si="4"/>
        <v>0</v>
      </c>
      <c r="H66" s="1142">
        <f t="shared" si="4"/>
        <v>0</v>
      </c>
      <c r="I66" s="1142">
        <f t="shared" ref="I66" si="6">SUM(I20:I64)</f>
        <v>0</v>
      </c>
      <c r="J66" s="1103">
        <f t="shared" si="4"/>
        <v>0</v>
      </c>
    </row>
    <row r="67" spans="1:10" ht="13.5" thickBot="1" x14ac:dyDescent="0.25">
      <c r="A67" s="1104"/>
      <c r="B67" s="1105"/>
      <c r="C67" s="1106"/>
      <c r="D67" s="1106"/>
      <c r="E67" s="1106"/>
      <c r="F67" s="1106"/>
      <c r="G67" s="1106"/>
      <c r="H67" s="1143"/>
      <c r="I67" s="1143"/>
      <c r="J67" s="1107"/>
    </row>
    <row r="68" spans="1:10" s="1109" customFormat="1" ht="12" x14ac:dyDescent="0.2">
      <c r="A68" s="1108"/>
      <c r="B68" s="1108"/>
      <c r="H68" s="1144"/>
      <c r="I68" s="1144"/>
    </row>
    <row r="69" spans="1:10" s="1109" customFormat="1" ht="12" x14ac:dyDescent="0.2">
      <c r="H69" s="1144"/>
      <c r="I69" s="1144"/>
    </row>
    <row r="70" spans="1:10" ht="13.5" thickBot="1" x14ac:dyDescent="0.25"/>
    <row r="71" spans="1:10" ht="15.95" customHeight="1" thickBot="1" x14ac:dyDescent="0.25">
      <c r="A71" s="1378" t="str">
        <f>"REALITEIT "&amp;B4</f>
        <v>REALITEIT 2021</v>
      </c>
      <c r="B71" s="1379"/>
      <c r="C71" s="1379"/>
      <c r="D71" s="1379"/>
      <c r="E71" s="1379"/>
      <c r="F71" s="1379"/>
      <c r="G71" s="1379"/>
      <c r="H71" s="1379"/>
      <c r="I71" s="1379"/>
      <c r="J71" s="1380"/>
    </row>
    <row r="72" spans="1:10" ht="47.45" customHeight="1" x14ac:dyDescent="0.2">
      <c r="A72" s="1084" t="s">
        <v>312</v>
      </c>
      <c r="B72" s="1085" t="s">
        <v>343</v>
      </c>
      <c r="C72" s="1086" t="str">
        <f>"Oorspronkelijke meerwaarde op basis van historische indexatie voor activa einde boekjaar "&amp;B4-1</f>
        <v>Oorspronkelijke meerwaarde op basis van historische indexatie voor activa einde boekjaar 2020</v>
      </c>
      <c r="D72" s="1086" t="str">
        <f>"Gecumuleerde afschrijvingen activa einde boekjaar "&amp; B4-1</f>
        <v>Gecumuleerde afschrijvingen activa einde boekjaar 2020</v>
      </c>
      <c r="E72" s="1086" t="str">
        <f>"Nettoboekwaarde meerwaarde op basis van historische indexatie einde boekjaar "&amp; B4-1</f>
        <v>Nettoboekwaarde meerwaarde op basis van historische indexatie einde boekjaar 2020</v>
      </c>
      <c r="F72" s="1086" t="str">
        <f>"Transfers boekjaar "&amp;B4</f>
        <v>Transfers boekjaar 2021</v>
      </c>
      <c r="G72" s="1086" t="str">
        <f>"Afschrijvingen boekjaar "&amp;B4</f>
        <v>Afschrijvingen boekjaar 2021</v>
      </c>
      <c r="H72" s="1136" t="str">
        <f>"Desinvesteringen boekjaar "&amp;B4&amp;" n.a.v. verkoop"</f>
        <v>Desinvesteringen boekjaar 2021 n.a.v. verkoop</v>
      </c>
      <c r="I72" s="1136" t="str">
        <f>"Desinvesteringen boekjaar "&amp;B4&amp;" n.a.v. structuurwijziging"</f>
        <v>Desinvesteringen boekjaar 2021 n.a.v. structuurwijziging</v>
      </c>
      <c r="J72" s="1086" t="str">
        <f>"Nettoboekwaarde meerwaarde op basis van historische indexatie einde boekjaar "&amp;B4</f>
        <v>Nettoboekwaarde meerwaarde op basis van historische indexatie einde boekjaar 2021</v>
      </c>
    </row>
    <row r="73" spans="1:10" ht="13.5" thickBot="1" x14ac:dyDescent="0.25">
      <c r="A73" s="1087"/>
      <c r="B73" s="1088"/>
      <c r="C73" s="1089" t="s">
        <v>4</v>
      </c>
      <c r="D73" s="1089" t="s">
        <v>8</v>
      </c>
      <c r="E73" s="1089"/>
      <c r="F73" s="1089" t="s">
        <v>4</v>
      </c>
      <c r="G73" s="1089" t="s">
        <v>8</v>
      </c>
      <c r="H73" s="1137" t="s">
        <v>8</v>
      </c>
      <c r="I73" s="1137" t="s">
        <v>8</v>
      </c>
      <c r="J73" s="1090"/>
    </row>
    <row r="74" spans="1:10" x14ac:dyDescent="0.2">
      <c r="A74" s="1091" t="s">
        <v>313</v>
      </c>
      <c r="B74" s="1375">
        <v>0.02</v>
      </c>
      <c r="C74" s="665">
        <v>0</v>
      </c>
      <c r="D74" s="665">
        <v>0</v>
      </c>
      <c r="E74" s="1092">
        <f t="shared" ref="E74:E91" si="7">+C74+D74</f>
        <v>0</v>
      </c>
      <c r="F74" s="665">
        <v>0</v>
      </c>
      <c r="G74" s="665">
        <v>0</v>
      </c>
      <c r="H74" s="1138">
        <v>0</v>
      </c>
      <c r="I74" s="1138">
        <v>0</v>
      </c>
      <c r="J74" s="1093">
        <f>+SUM(E74:I74)</f>
        <v>0</v>
      </c>
    </row>
    <row r="75" spans="1:10" x14ac:dyDescent="0.2">
      <c r="A75" s="1094" t="s">
        <v>314</v>
      </c>
      <c r="B75" s="1376"/>
      <c r="C75" s="666">
        <v>0</v>
      </c>
      <c r="D75" s="666">
        <v>0</v>
      </c>
      <c r="E75" s="1095">
        <f t="shared" si="7"/>
        <v>0</v>
      </c>
      <c r="F75" s="666">
        <v>0</v>
      </c>
      <c r="G75" s="666">
        <v>0</v>
      </c>
      <c r="H75" s="1139">
        <v>0</v>
      </c>
      <c r="I75" s="1139">
        <v>0</v>
      </c>
      <c r="J75" s="1096">
        <f t="shared" ref="J75:J118" si="8">+SUM(E75:I75)</f>
        <v>0</v>
      </c>
    </row>
    <row r="76" spans="1:10" x14ac:dyDescent="0.2">
      <c r="A76" s="1094" t="s">
        <v>315</v>
      </c>
      <c r="B76" s="1376"/>
      <c r="C76" s="666">
        <v>0</v>
      </c>
      <c r="D76" s="666">
        <v>0</v>
      </c>
      <c r="E76" s="1095">
        <f t="shared" si="7"/>
        <v>0</v>
      </c>
      <c r="F76" s="666">
        <v>0</v>
      </c>
      <c r="G76" s="666">
        <v>0</v>
      </c>
      <c r="H76" s="1139">
        <v>0</v>
      </c>
      <c r="I76" s="1139">
        <v>0</v>
      </c>
      <c r="J76" s="1096">
        <f t="shared" si="8"/>
        <v>0</v>
      </c>
    </row>
    <row r="77" spans="1:10" x14ac:dyDescent="0.2">
      <c r="A77" s="1094" t="s">
        <v>316</v>
      </c>
      <c r="B77" s="1376"/>
      <c r="C77" s="666">
        <v>0</v>
      </c>
      <c r="D77" s="666">
        <v>0</v>
      </c>
      <c r="E77" s="1095">
        <f t="shared" si="7"/>
        <v>0</v>
      </c>
      <c r="F77" s="666">
        <v>0</v>
      </c>
      <c r="G77" s="666">
        <v>0</v>
      </c>
      <c r="H77" s="1139">
        <v>0</v>
      </c>
      <c r="I77" s="1139">
        <v>0</v>
      </c>
      <c r="J77" s="1096">
        <f t="shared" si="8"/>
        <v>0</v>
      </c>
    </row>
    <row r="78" spans="1:10" x14ac:dyDescent="0.2">
      <c r="A78" s="1094" t="s">
        <v>385</v>
      </c>
      <c r="B78" s="1376"/>
      <c r="C78" s="666">
        <v>0</v>
      </c>
      <c r="D78" s="666">
        <v>0</v>
      </c>
      <c r="E78" s="1095">
        <f t="shared" si="7"/>
        <v>0</v>
      </c>
      <c r="F78" s="666">
        <v>0</v>
      </c>
      <c r="G78" s="666">
        <v>0</v>
      </c>
      <c r="H78" s="1139">
        <v>0</v>
      </c>
      <c r="I78" s="1139">
        <v>0</v>
      </c>
      <c r="J78" s="1096">
        <f t="shared" si="8"/>
        <v>0</v>
      </c>
    </row>
    <row r="79" spans="1:10" x14ac:dyDescent="0.2">
      <c r="A79" s="1094" t="s">
        <v>386</v>
      </c>
      <c r="B79" s="1376"/>
      <c r="C79" s="666">
        <v>0</v>
      </c>
      <c r="D79" s="666">
        <v>0</v>
      </c>
      <c r="E79" s="1095">
        <f t="shared" si="7"/>
        <v>0</v>
      </c>
      <c r="F79" s="666">
        <v>0</v>
      </c>
      <c r="G79" s="666">
        <v>0</v>
      </c>
      <c r="H79" s="1139">
        <v>0</v>
      </c>
      <c r="I79" s="1139">
        <v>0</v>
      </c>
      <c r="J79" s="1096">
        <f t="shared" si="8"/>
        <v>0</v>
      </c>
    </row>
    <row r="80" spans="1:10" x14ac:dyDescent="0.2">
      <c r="A80" s="1094" t="s">
        <v>317</v>
      </c>
      <c r="B80" s="1376"/>
      <c r="C80" s="666">
        <v>0</v>
      </c>
      <c r="D80" s="666">
        <v>0</v>
      </c>
      <c r="E80" s="1095">
        <f t="shared" si="7"/>
        <v>0</v>
      </c>
      <c r="F80" s="666">
        <v>0</v>
      </c>
      <c r="G80" s="666">
        <v>0</v>
      </c>
      <c r="H80" s="1139">
        <v>0</v>
      </c>
      <c r="I80" s="1139">
        <v>0</v>
      </c>
      <c r="J80" s="1096">
        <f t="shared" si="8"/>
        <v>0</v>
      </c>
    </row>
    <row r="81" spans="1:10" x14ac:dyDescent="0.2">
      <c r="A81" s="1094" t="s">
        <v>387</v>
      </c>
      <c r="B81" s="1376"/>
      <c r="C81" s="666">
        <v>0</v>
      </c>
      <c r="D81" s="666">
        <v>0</v>
      </c>
      <c r="E81" s="1095">
        <f t="shared" si="7"/>
        <v>0</v>
      </c>
      <c r="F81" s="666">
        <v>0</v>
      </c>
      <c r="G81" s="666">
        <v>0</v>
      </c>
      <c r="H81" s="1139">
        <v>0</v>
      </c>
      <c r="I81" s="1139">
        <v>0</v>
      </c>
      <c r="J81" s="1096">
        <f t="shared" si="8"/>
        <v>0</v>
      </c>
    </row>
    <row r="82" spans="1:10" x14ac:dyDescent="0.2">
      <c r="A82" s="1094" t="s">
        <v>318</v>
      </c>
      <c r="B82" s="1376"/>
      <c r="C82" s="666">
        <v>0</v>
      </c>
      <c r="D82" s="666">
        <v>0</v>
      </c>
      <c r="E82" s="1095">
        <f t="shared" si="7"/>
        <v>0</v>
      </c>
      <c r="F82" s="666">
        <v>0</v>
      </c>
      <c r="G82" s="666">
        <v>0</v>
      </c>
      <c r="H82" s="1139">
        <v>0</v>
      </c>
      <c r="I82" s="1139">
        <v>0</v>
      </c>
      <c r="J82" s="1096">
        <f t="shared" si="8"/>
        <v>0</v>
      </c>
    </row>
    <row r="83" spans="1:10" x14ac:dyDescent="0.2">
      <c r="A83" s="1094" t="s">
        <v>388</v>
      </c>
      <c r="B83" s="1376"/>
      <c r="C83" s="666">
        <v>0</v>
      </c>
      <c r="D83" s="666">
        <v>0</v>
      </c>
      <c r="E83" s="1095">
        <f t="shared" si="7"/>
        <v>0</v>
      </c>
      <c r="F83" s="666">
        <v>0</v>
      </c>
      <c r="G83" s="666">
        <v>0</v>
      </c>
      <c r="H83" s="1139">
        <v>0</v>
      </c>
      <c r="I83" s="1139">
        <v>0</v>
      </c>
      <c r="J83" s="1096">
        <f t="shared" si="8"/>
        <v>0</v>
      </c>
    </row>
    <row r="84" spans="1:10" x14ac:dyDescent="0.2">
      <c r="A84" s="1094" t="s">
        <v>389</v>
      </c>
      <c r="B84" s="1376"/>
      <c r="C84" s="666">
        <v>0</v>
      </c>
      <c r="D84" s="666">
        <v>0</v>
      </c>
      <c r="E84" s="1095">
        <f t="shared" si="7"/>
        <v>0</v>
      </c>
      <c r="F84" s="666">
        <v>0</v>
      </c>
      <c r="G84" s="666">
        <v>0</v>
      </c>
      <c r="H84" s="1139">
        <v>0</v>
      </c>
      <c r="I84" s="1139">
        <v>0</v>
      </c>
      <c r="J84" s="1096">
        <f t="shared" si="8"/>
        <v>0</v>
      </c>
    </row>
    <row r="85" spans="1:10" x14ac:dyDescent="0.2">
      <c r="A85" s="1094" t="s">
        <v>319</v>
      </c>
      <c r="B85" s="1376"/>
      <c r="C85" s="666">
        <v>0</v>
      </c>
      <c r="D85" s="666">
        <v>0</v>
      </c>
      <c r="E85" s="1095">
        <f t="shared" si="7"/>
        <v>0</v>
      </c>
      <c r="F85" s="666">
        <v>0</v>
      </c>
      <c r="G85" s="666">
        <v>0</v>
      </c>
      <c r="H85" s="1139">
        <v>0</v>
      </c>
      <c r="I85" s="1139">
        <v>0</v>
      </c>
      <c r="J85" s="1096">
        <f t="shared" si="8"/>
        <v>0</v>
      </c>
    </row>
    <row r="86" spans="1:10" x14ac:dyDescent="0.2">
      <c r="A86" s="1094" t="s">
        <v>390</v>
      </c>
      <c r="B86" s="1376"/>
      <c r="C86" s="666">
        <v>0</v>
      </c>
      <c r="D86" s="666">
        <v>0</v>
      </c>
      <c r="E86" s="1095">
        <f t="shared" si="7"/>
        <v>0</v>
      </c>
      <c r="F86" s="666">
        <v>0</v>
      </c>
      <c r="G86" s="666">
        <v>0</v>
      </c>
      <c r="H86" s="1139">
        <v>0</v>
      </c>
      <c r="I86" s="1139">
        <v>0</v>
      </c>
      <c r="J86" s="1096">
        <f t="shared" si="8"/>
        <v>0</v>
      </c>
    </row>
    <row r="87" spans="1:10" x14ac:dyDescent="0.2">
      <c r="A87" s="1094" t="s">
        <v>320</v>
      </c>
      <c r="B87" s="1376"/>
      <c r="C87" s="666">
        <v>0</v>
      </c>
      <c r="D87" s="666">
        <v>0</v>
      </c>
      <c r="E87" s="1095">
        <f t="shared" si="7"/>
        <v>0</v>
      </c>
      <c r="F87" s="666">
        <v>0</v>
      </c>
      <c r="G87" s="666">
        <v>0</v>
      </c>
      <c r="H87" s="1139">
        <v>0</v>
      </c>
      <c r="I87" s="1139">
        <v>0</v>
      </c>
      <c r="J87" s="1096">
        <f t="shared" si="8"/>
        <v>0</v>
      </c>
    </row>
    <row r="88" spans="1:10" x14ac:dyDescent="0.2">
      <c r="A88" s="1094" t="s">
        <v>391</v>
      </c>
      <c r="B88" s="1376"/>
      <c r="C88" s="666">
        <v>0</v>
      </c>
      <c r="D88" s="666">
        <v>0</v>
      </c>
      <c r="E88" s="1095">
        <f t="shared" si="7"/>
        <v>0</v>
      </c>
      <c r="F88" s="666">
        <v>0</v>
      </c>
      <c r="G88" s="666">
        <v>0</v>
      </c>
      <c r="H88" s="1139">
        <v>0</v>
      </c>
      <c r="I88" s="1139">
        <v>0</v>
      </c>
      <c r="J88" s="1096">
        <f t="shared" si="8"/>
        <v>0</v>
      </c>
    </row>
    <row r="89" spans="1:10" x14ac:dyDescent="0.2">
      <c r="A89" s="1094" t="s">
        <v>392</v>
      </c>
      <c r="B89" s="1376"/>
      <c r="C89" s="666">
        <v>0</v>
      </c>
      <c r="D89" s="666">
        <v>0</v>
      </c>
      <c r="E89" s="1095">
        <f t="shared" si="7"/>
        <v>0</v>
      </c>
      <c r="F89" s="666">
        <v>0</v>
      </c>
      <c r="G89" s="666">
        <v>0</v>
      </c>
      <c r="H89" s="1139">
        <v>0</v>
      </c>
      <c r="I89" s="1139">
        <v>0</v>
      </c>
      <c r="J89" s="1096">
        <f t="shared" si="8"/>
        <v>0</v>
      </c>
    </row>
    <row r="90" spans="1:10" x14ac:dyDescent="0.2">
      <c r="A90" s="1094" t="s">
        <v>321</v>
      </c>
      <c r="B90" s="1376"/>
      <c r="C90" s="666">
        <v>0</v>
      </c>
      <c r="D90" s="666">
        <v>0</v>
      </c>
      <c r="E90" s="1095">
        <f t="shared" si="7"/>
        <v>0</v>
      </c>
      <c r="F90" s="666">
        <v>0</v>
      </c>
      <c r="G90" s="666">
        <v>0</v>
      </c>
      <c r="H90" s="1139">
        <v>0</v>
      </c>
      <c r="I90" s="1139">
        <v>0</v>
      </c>
      <c r="J90" s="1096">
        <f t="shared" si="8"/>
        <v>0</v>
      </c>
    </row>
    <row r="91" spans="1:10" x14ac:dyDescent="0.2">
      <c r="A91" s="1094" t="s">
        <v>393</v>
      </c>
      <c r="B91" s="1376"/>
      <c r="C91" s="666">
        <v>0</v>
      </c>
      <c r="D91" s="666">
        <v>0</v>
      </c>
      <c r="E91" s="1095">
        <f t="shared" si="7"/>
        <v>0</v>
      </c>
      <c r="F91" s="666">
        <v>0</v>
      </c>
      <c r="G91" s="666">
        <v>0</v>
      </c>
      <c r="H91" s="1139">
        <v>0</v>
      </c>
      <c r="I91" s="1139">
        <v>0</v>
      </c>
      <c r="J91" s="1096">
        <f t="shared" si="8"/>
        <v>0</v>
      </c>
    </row>
    <row r="92" spans="1:10" x14ac:dyDescent="0.2">
      <c r="A92" s="1094" t="s">
        <v>322</v>
      </c>
      <c r="B92" s="1376"/>
      <c r="C92" s="666">
        <v>0</v>
      </c>
      <c r="D92" s="666">
        <v>0</v>
      </c>
      <c r="E92" s="1095">
        <f>+C92+D92</f>
        <v>0</v>
      </c>
      <c r="F92" s="666">
        <v>0</v>
      </c>
      <c r="G92" s="666">
        <v>0</v>
      </c>
      <c r="H92" s="1139">
        <v>0</v>
      </c>
      <c r="I92" s="1139">
        <v>0</v>
      </c>
      <c r="J92" s="1096">
        <f t="shared" si="8"/>
        <v>0</v>
      </c>
    </row>
    <row r="93" spans="1:10" x14ac:dyDescent="0.2">
      <c r="A93" s="1094" t="s">
        <v>323</v>
      </c>
      <c r="B93" s="1376"/>
      <c r="C93" s="666">
        <v>0</v>
      </c>
      <c r="D93" s="666">
        <v>0</v>
      </c>
      <c r="E93" s="1095">
        <f t="shared" ref="E93:E117" si="9">+C93+D93</f>
        <v>0</v>
      </c>
      <c r="F93" s="666">
        <v>0</v>
      </c>
      <c r="G93" s="666">
        <v>0</v>
      </c>
      <c r="H93" s="1139">
        <v>0</v>
      </c>
      <c r="I93" s="1139">
        <v>0</v>
      </c>
      <c r="J93" s="1096">
        <f t="shared" si="8"/>
        <v>0</v>
      </c>
    </row>
    <row r="94" spans="1:10" x14ac:dyDescent="0.2">
      <c r="A94" s="1094" t="s">
        <v>394</v>
      </c>
      <c r="B94" s="1376"/>
      <c r="C94" s="666">
        <v>0</v>
      </c>
      <c r="D94" s="666">
        <v>0</v>
      </c>
      <c r="E94" s="1095">
        <f t="shared" si="9"/>
        <v>0</v>
      </c>
      <c r="F94" s="666">
        <v>0</v>
      </c>
      <c r="G94" s="666">
        <v>0</v>
      </c>
      <c r="H94" s="1139">
        <v>0</v>
      </c>
      <c r="I94" s="1139">
        <v>0</v>
      </c>
      <c r="J94" s="1096">
        <f t="shared" si="8"/>
        <v>0</v>
      </c>
    </row>
    <row r="95" spans="1:10" x14ac:dyDescent="0.2">
      <c r="A95" s="1094" t="s">
        <v>395</v>
      </c>
      <c r="B95" s="1376"/>
      <c r="C95" s="666">
        <v>0</v>
      </c>
      <c r="D95" s="666">
        <v>0</v>
      </c>
      <c r="E95" s="1095">
        <f t="shared" si="9"/>
        <v>0</v>
      </c>
      <c r="F95" s="666">
        <v>0</v>
      </c>
      <c r="G95" s="666">
        <v>0</v>
      </c>
      <c r="H95" s="1139">
        <v>0</v>
      </c>
      <c r="I95" s="1139">
        <v>0</v>
      </c>
      <c r="J95" s="1096">
        <f t="shared" si="8"/>
        <v>0</v>
      </c>
    </row>
    <row r="96" spans="1:10" x14ac:dyDescent="0.2">
      <c r="A96" s="1094" t="s">
        <v>324</v>
      </c>
      <c r="B96" s="1376"/>
      <c r="C96" s="666">
        <v>0</v>
      </c>
      <c r="D96" s="666">
        <v>0</v>
      </c>
      <c r="E96" s="1095">
        <f t="shared" si="9"/>
        <v>0</v>
      </c>
      <c r="F96" s="666">
        <v>0</v>
      </c>
      <c r="G96" s="666">
        <v>0</v>
      </c>
      <c r="H96" s="1139">
        <v>0</v>
      </c>
      <c r="I96" s="1139">
        <v>0</v>
      </c>
      <c r="J96" s="1096">
        <f t="shared" si="8"/>
        <v>0</v>
      </c>
    </row>
    <row r="97" spans="1:10" x14ac:dyDescent="0.2">
      <c r="A97" s="1094" t="s">
        <v>396</v>
      </c>
      <c r="B97" s="1376"/>
      <c r="C97" s="666">
        <v>0</v>
      </c>
      <c r="D97" s="666">
        <v>0</v>
      </c>
      <c r="E97" s="1095">
        <f t="shared" si="9"/>
        <v>0</v>
      </c>
      <c r="F97" s="666">
        <v>0</v>
      </c>
      <c r="G97" s="666">
        <v>0</v>
      </c>
      <c r="H97" s="1139">
        <v>0</v>
      </c>
      <c r="I97" s="1139">
        <v>0</v>
      </c>
      <c r="J97" s="1096">
        <f t="shared" si="8"/>
        <v>0</v>
      </c>
    </row>
    <row r="98" spans="1:10" x14ac:dyDescent="0.2">
      <c r="A98" s="1094" t="s">
        <v>325</v>
      </c>
      <c r="B98" s="1376"/>
      <c r="C98" s="666">
        <v>0</v>
      </c>
      <c r="D98" s="666">
        <v>0</v>
      </c>
      <c r="E98" s="1095">
        <f t="shared" si="9"/>
        <v>0</v>
      </c>
      <c r="F98" s="666">
        <v>0</v>
      </c>
      <c r="G98" s="666">
        <v>0</v>
      </c>
      <c r="H98" s="1139">
        <v>0</v>
      </c>
      <c r="I98" s="1139">
        <v>0</v>
      </c>
      <c r="J98" s="1096">
        <f t="shared" si="8"/>
        <v>0</v>
      </c>
    </row>
    <row r="99" spans="1:10" x14ac:dyDescent="0.2">
      <c r="A99" s="1094" t="s">
        <v>397</v>
      </c>
      <c r="B99" s="1376"/>
      <c r="C99" s="666">
        <v>0</v>
      </c>
      <c r="D99" s="666">
        <v>0</v>
      </c>
      <c r="E99" s="1095">
        <f t="shared" si="9"/>
        <v>0</v>
      </c>
      <c r="F99" s="666">
        <v>0</v>
      </c>
      <c r="G99" s="666">
        <v>0</v>
      </c>
      <c r="H99" s="1139">
        <v>0</v>
      </c>
      <c r="I99" s="1139">
        <v>0</v>
      </c>
      <c r="J99" s="1096">
        <f t="shared" si="8"/>
        <v>0</v>
      </c>
    </row>
    <row r="100" spans="1:10" x14ac:dyDescent="0.2">
      <c r="A100" s="1094" t="s">
        <v>398</v>
      </c>
      <c r="B100" s="1376"/>
      <c r="C100" s="666">
        <v>0</v>
      </c>
      <c r="D100" s="666">
        <v>0</v>
      </c>
      <c r="E100" s="1095">
        <f t="shared" si="9"/>
        <v>0</v>
      </c>
      <c r="F100" s="666">
        <v>0</v>
      </c>
      <c r="G100" s="666">
        <v>0</v>
      </c>
      <c r="H100" s="1139">
        <v>0</v>
      </c>
      <c r="I100" s="1139">
        <v>0</v>
      </c>
      <c r="J100" s="1096">
        <f t="shared" si="8"/>
        <v>0</v>
      </c>
    </row>
    <row r="101" spans="1:10" x14ac:dyDescent="0.2">
      <c r="A101" s="1094" t="s">
        <v>326</v>
      </c>
      <c r="B101" s="1376"/>
      <c r="C101" s="666">
        <v>0</v>
      </c>
      <c r="D101" s="666">
        <v>0</v>
      </c>
      <c r="E101" s="1095">
        <f t="shared" si="9"/>
        <v>0</v>
      </c>
      <c r="F101" s="666">
        <v>0</v>
      </c>
      <c r="G101" s="666">
        <v>0</v>
      </c>
      <c r="H101" s="1139">
        <v>0</v>
      </c>
      <c r="I101" s="1139">
        <v>0</v>
      </c>
      <c r="J101" s="1096">
        <f t="shared" si="8"/>
        <v>0</v>
      </c>
    </row>
    <row r="102" spans="1:10" x14ac:dyDescent="0.2">
      <c r="A102" s="1094" t="s">
        <v>399</v>
      </c>
      <c r="B102" s="1376"/>
      <c r="C102" s="666">
        <v>0</v>
      </c>
      <c r="D102" s="666">
        <v>0</v>
      </c>
      <c r="E102" s="1095">
        <f t="shared" si="9"/>
        <v>0</v>
      </c>
      <c r="F102" s="666">
        <v>0</v>
      </c>
      <c r="G102" s="666">
        <v>0</v>
      </c>
      <c r="H102" s="1139">
        <v>0</v>
      </c>
      <c r="I102" s="1139">
        <v>0</v>
      </c>
      <c r="J102" s="1096">
        <f t="shared" si="8"/>
        <v>0</v>
      </c>
    </row>
    <row r="103" spans="1:10" x14ac:dyDescent="0.2">
      <c r="A103" s="1094" t="s">
        <v>327</v>
      </c>
      <c r="B103" s="1376"/>
      <c r="C103" s="666">
        <v>0</v>
      </c>
      <c r="D103" s="666">
        <v>0</v>
      </c>
      <c r="E103" s="1095">
        <f t="shared" si="9"/>
        <v>0</v>
      </c>
      <c r="F103" s="666">
        <v>0</v>
      </c>
      <c r="G103" s="666">
        <v>0</v>
      </c>
      <c r="H103" s="1139">
        <v>0</v>
      </c>
      <c r="I103" s="1139">
        <v>0</v>
      </c>
      <c r="J103" s="1096">
        <f t="shared" si="8"/>
        <v>0</v>
      </c>
    </row>
    <row r="104" spans="1:10" x14ac:dyDescent="0.2">
      <c r="A104" s="1094" t="s">
        <v>328</v>
      </c>
      <c r="B104" s="1376"/>
      <c r="C104" s="666">
        <v>0</v>
      </c>
      <c r="D104" s="666">
        <v>0</v>
      </c>
      <c r="E104" s="1095">
        <f t="shared" si="9"/>
        <v>0</v>
      </c>
      <c r="F104" s="666">
        <v>0</v>
      </c>
      <c r="G104" s="666">
        <v>0</v>
      </c>
      <c r="H104" s="1139">
        <v>0</v>
      </c>
      <c r="I104" s="1139">
        <v>0</v>
      </c>
      <c r="J104" s="1096">
        <f t="shared" si="8"/>
        <v>0</v>
      </c>
    </row>
    <row r="105" spans="1:10" x14ac:dyDescent="0.2">
      <c r="A105" s="1094" t="s">
        <v>329</v>
      </c>
      <c r="B105" s="1376"/>
      <c r="C105" s="666">
        <v>0</v>
      </c>
      <c r="D105" s="666">
        <v>0</v>
      </c>
      <c r="E105" s="1095">
        <f t="shared" si="9"/>
        <v>0</v>
      </c>
      <c r="F105" s="666">
        <v>0</v>
      </c>
      <c r="G105" s="666">
        <v>0</v>
      </c>
      <c r="H105" s="1139">
        <v>0</v>
      </c>
      <c r="I105" s="1139">
        <v>0</v>
      </c>
      <c r="J105" s="1096">
        <f t="shared" si="8"/>
        <v>0</v>
      </c>
    </row>
    <row r="106" spans="1:10" x14ac:dyDescent="0.2">
      <c r="A106" s="1094" t="s">
        <v>330</v>
      </c>
      <c r="B106" s="1376"/>
      <c r="C106" s="666">
        <v>0</v>
      </c>
      <c r="D106" s="666">
        <v>0</v>
      </c>
      <c r="E106" s="1095">
        <f t="shared" si="9"/>
        <v>0</v>
      </c>
      <c r="F106" s="666">
        <v>0</v>
      </c>
      <c r="G106" s="666">
        <v>0</v>
      </c>
      <c r="H106" s="1139">
        <v>0</v>
      </c>
      <c r="I106" s="1139">
        <v>0</v>
      </c>
      <c r="J106" s="1096">
        <f t="shared" si="8"/>
        <v>0</v>
      </c>
    </row>
    <row r="107" spans="1:10" x14ac:dyDescent="0.2">
      <c r="A107" s="1094" t="s">
        <v>331</v>
      </c>
      <c r="B107" s="1376"/>
      <c r="C107" s="666">
        <v>0</v>
      </c>
      <c r="D107" s="666">
        <v>0</v>
      </c>
      <c r="E107" s="1095">
        <f t="shared" si="9"/>
        <v>0</v>
      </c>
      <c r="F107" s="666">
        <v>0</v>
      </c>
      <c r="G107" s="666">
        <v>0</v>
      </c>
      <c r="H107" s="1139">
        <v>0</v>
      </c>
      <c r="I107" s="1139">
        <v>0</v>
      </c>
      <c r="J107" s="1096">
        <f t="shared" si="8"/>
        <v>0</v>
      </c>
    </row>
    <row r="108" spans="1:10" x14ac:dyDescent="0.2">
      <c r="A108" s="1094" t="s">
        <v>332</v>
      </c>
      <c r="B108" s="1376"/>
      <c r="C108" s="666">
        <v>0</v>
      </c>
      <c r="D108" s="666">
        <v>0</v>
      </c>
      <c r="E108" s="1095">
        <f t="shared" si="9"/>
        <v>0</v>
      </c>
      <c r="F108" s="666">
        <v>0</v>
      </c>
      <c r="G108" s="666">
        <v>0</v>
      </c>
      <c r="H108" s="1139">
        <v>0</v>
      </c>
      <c r="I108" s="1139">
        <v>0</v>
      </c>
      <c r="J108" s="1096">
        <f t="shared" si="8"/>
        <v>0</v>
      </c>
    </row>
    <row r="109" spans="1:10" x14ac:dyDescent="0.2">
      <c r="A109" s="1094" t="s">
        <v>333</v>
      </c>
      <c r="B109" s="1376"/>
      <c r="C109" s="666">
        <v>0</v>
      </c>
      <c r="D109" s="666">
        <v>0</v>
      </c>
      <c r="E109" s="1095">
        <f t="shared" si="9"/>
        <v>0</v>
      </c>
      <c r="F109" s="666">
        <v>0</v>
      </c>
      <c r="G109" s="666">
        <v>0</v>
      </c>
      <c r="H109" s="1139">
        <v>0</v>
      </c>
      <c r="I109" s="1139">
        <v>0</v>
      </c>
      <c r="J109" s="1096">
        <f t="shared" si="8"/>
        <v>0</v>
      </c>
    </row>
    <row r="110" spans="1:10" x14ac:dyDescent="0.2">
      <c r="A110" s="1094" t="s">
        <v>344</v>
      </c>
      <c r="B110" s="1376"/>
      <c r="C110" s="666">
        <v>0</v>
      </c>
      <c r="D110" s="666">
        <v>0</v>
      </c>
      <c r="E110" s="1095">
        <f t="shared" si="9"/>
        <v>0</v>
      </c>
      <c r="F110" s="666">
        <v>0</v>
      </c>
      <c r="G110" s="666">
        <v>0</v>
      </c>
      <c r="H110" s="1139">
        <v>0</v>
      </c>
      <c r="I110" s="1139">
        <v>0</v>
      </c>
      <c r="J110" s="1096">
        <f t="shared" si="8"/>
        <v>0</v>
      </c>
    </row>
    <row r="111" spans="1:10" x14ac:dyDescent="0.2">
      <c r="A111" s="1094" t="s">
        <v>334</v>
      </c>
      <c r="B111" s="1376"/>
      <c r="C111" s="666">
        <v>0</v>
      </c>
      <c r="D111" s="666">
        <v>0</v>
      </c>
      <c r="E111" s="1095">
        <f t="shared" si="9"/>
        <v>0</v>
      </c>
      <c r="F111" s="666">
        <v>0</v>
      </c>
      <c r="G111" s="666">
        <v>0</v>
      </c>
      <c r="H111" s="1139">
        <v>0</v>
      </c>
      <c r="I111" s="1139">
        <v>0</v>
      </c>
      <c r="J111" s="1096">
        <f t="shared" si="8"/>
        <v>0</v>
      </c>
    </row>
    <row r="112" spans="1:10" x14ac:dyDescent="0.2">
      <c r="A112" s="1094" t="s">
        <v>335</v>
      </c>
      <c r="B112" s="1376"/>
      <c r="C112" s="666">
        <v>0</v>
      </c>
      <c r="D112" s="666">
        <v>0</v>
      </c>
      <c r="E112" s="1095">
        <f t="shared" si="9"/>
        <v>0</v>
      </c>
      <c r="F112" s="666">
        <v>0</v>
      </c>
      <c r="G112" s="666">
        <v>0</v>
      </c>
      <c r="H112" s="1139">
        <v>0</v>
      </c>
      <c r="I112" s="1139">
        <v>0</v>
      </c>
      <c r="J112" s="1096">
        <f t="shared" si="8"/>
        <v>0</v>
      </c>
    </row>
    <row r="113" spans="1:10" x14ac:dyDescent="0.2">
      <c r="A113" s="1094" t="s">
        <v>336</v>
      </c>
      <c r="B113" s="1376"/>
      <c r="C113" s="666">
        <v>0</v>
      </c>
      <c r="D113" s="666">
        <v>0</v>
      </c>
      <c r="E113" s="1095">
        <f t="shared" si="9"/>
        <v>0</v>
      </c>
      <c r="F113" s="666">
        <v>0</v>
      </c>
      <c r="G113" s="666">
        <v>0</v>
      </c>
      <c r="H113" s="1139">
        <v>0</v>
      </c>
      <c r="I113" s="1139">
        <v>0</v>
      </c>
      <c r="J113" s="1096">
        <f t="shared" si="8"/>
        <v>0</v>
      </c>
    </row>
    <row r="114" spans="1:10" x14ac:dyDescent="0.2">
      <c r="A114" s="1094" t="s">
        <v>337</v>
      </c>
      <c r="B114" s="1376"/>
      <c r="C114" s="666">
        <v>0</v>
      </c>
      <c r="D114" s="666">
        <v>0</v>
      </c>
      <c r="E114" s="1095">
        <f t="shared" si="9"/>
        <v>0</v>
      </c>
      <c r="F114" s="666">
        <v>0</v>
      </c>
      <c r="G114" s="666">
        <v>0</v>
      </c>
      <c r="H114" s="1139">
        <v>0</v>
      </c>
      <c r="I114" s="1139">
        <v>0</v>
      </c>
      <c r="J114" s="1096">
        <f t="shared" si="8"/>
        <v>0</v>
      </c>
    </row>
    <row r="115" spans="1:10" x14ac:dyDescent="0.2">
      <c r="A115" s="1094" t="s">
        <v>338</v>
      </c>
      <c r="B115" s="1376"/>
      <c r="C115" s="666">
        <v>0</v>
      </c>
      <c r="D115" s="666">
        <v>0</v>
      </c>
      <c r="E115" s="1095">
        <f t="shared" si="9"/>
        <v>0</v>
      </c>
      <c r="F115" s="666">
        <v>0</v>
      </c>
      <c r="G115" s="666">
        <v>0</v>
      </c>
      <c r="H115" s="1139">
        <v>0</v>
      </c>
      <c r="I115" s="1139">
        <v>0</v>
      </c>
      <c r="J115" s="1096">
        <f t="shared" si="8"/>
        <v>0</v>
      </c>
    </row>
    <row r="116" spans="1:10" x14ac:dyDescent="0.2">
      <c r="A116" s="1094" t="s">
        <v>339</v>
      </c>
      <c r="B116" s="1376"/>
      <c r="C116" s="667">
        <v>0</v>
      </c>
      <c r="D116" s="666">
        <v>0</v>
      </c>
      <c r="E116" s="1095">
        <f t="shared" si="9"/>
        <v>0</v>
      </c>
      <c r="F116" s="666">
        <v>0</v>
      </c>
      <c r="G116" s="666">
        <v>0</v>
      </c>
      <c r="H116" s="1139">
        <v>0</v>
      </c>
      <c r="I116" s="1139">
        <v>0</v>
      </c>
      <c r="J116" s="1096">
        <f t="shared" si="8"/>
        <v>0</v>
      </c>
    </row>
    <row r="117" spans="1:10" x14ac:dyDescent="0.2">
      <c r="A117" s="1094" t="s">
        <v>340</v>
      </c>
      <c r="B117" s="1376"/>
      <c r="C117" s="666">
        <v>0</v>
      </c>
      <c r="D117" s="666">
        <v>0</v>
      </c>
      <c r="E117" s="1095">
        <f t="shared" si="9"/>
        <v>0</v>
      </c>
      <c r="F117" s="666">
        <v>0</v>
      </c>
      <c r="G117" s="666">
        <v>0</v>
      </c>
      <c r="H117" s="1139">
        <v>0</v>
      </c>
      <c r="I117" s="1139">
        <v>0</v>
      </c>
      <c r="J117" s="1096">
        <f t="shared" si="8"/>
        <v>0</v>
      </c>
    </row>
    <row r="118" spans="1:10" ht="13.5" thickBot="1" x14ac:dyDescent="0.25">
      <c r="A118" s="1097" t="s">
        <v>341</v>
      </c>
      <c r="B118" s="1377"/>
      <c r="C118" s="668">
        <v>0</v>
      </c>
      <c r="D118" s="668">
        <v>0</v>
      </c>
      <c r="E118" s="1098">
        <f>+C118+D118</f>
        <v>0</v>
      </c>
      <c r="F118" s="668">
        <v>0</v>
      </c>
      <c r="G118" s="668">
        <v>0</v>
      </c>
      <c r="H118" s="1140">
        <v>0</v>
      </c>
      <c r="I118" s="1140">
        <v>0</v>
      </c>
      <c r="J118" s="1099">
        <f t="shared" si="8"/>
        <v>0</v>
      </c>
    </row>
    <row r="119" spans="1:10" x14ac:dyDescent="0.2">
      <c r="A119" s="1100"/>
      <c r="B119" s="1101"/>
      <c r="C119" s="1102"/>
      <c r="D119" s="1102"/>
      <c r="E119" s="1102"/>
      <c r="F119" s="1102"/>
      <c r="G119" s="1102"/>
      <c r="H119" s="1141"/>
      <c r="I119" s="1141"/>
      <c r="J119" s="1102"/>
    </row>
    <row r="120" spans="1:10" x14ac:dyDescent="0.2">
      <c r="A120" s="1100" t="s">
        <v>342</v>
      </c>
      <c r="B120" s="1101"/>
      <c r="C120" s="1103">
        <f t="shared" ref="C120:J120" si="10">SUM(C74:C118)</f>
        <v>0</v>
      </c>
      <c r="D120" s="1103">
        <f t="shared" si="10"/>
        <v>0</v>
      </c>
      <c r="E120" s="1103">
        <f t="shared" si="10"/>
        <v>0</v>
      </c>
      <c r="F120" s="1103">
        <f t="shared" ref="F120" si="11">SUM(F74:F118)</f>
        <v>0</v>
      </c>
      <c r="G120" s="1103">
        <f t="shared" si="10"/>
        <v>0</v>
      </c>
      <c r="H120" s="1142">
        <f t="shared" si="10"/>
        <v>0</v>
      </c>
      <c r="I120" s="1142">
        <f t="shared" ref="I120" si="12">SUM(I74:I118)</f>
        <v>0</v>
      </c>
      <c r="J120" s="1103">
        <f t="shared" si="10"/>
        <v>0</v>
      </c>
    </row>
    <row r="121" spans="1:10" ht="13.5" thickBot="1" x14ac:dyDescent="0.25">
      <c r="A121" s="1104"/>
      <c r="B121" s="1105"/>
      <c r="C121" s="1106"/>
      <c r="D121" s="1106"/>
      <c r="E121" s="1106"/>
      <c r="F121" s="1106"/>
      <c r="G121" s="1106"/>
      <c r="H121" s="1143"/>
      <c r="I121" s="1143"/>
      <c r="J121" s="1107"/>
    </row>
  </sheetData>
  <sheetProtection algorithmName="SHA-512" hashValue="NegWdHl/8mSpLU6b1O4E4xCk1mGYX0p9bo9SqdIt3oJGVK5IUIAHLeIcWESSPIVlBp8xEke4VrjuGQfRaCb4pA==" saltValue="Cu5CWvO7WnhfU4YKuNhXFA==" spinCount="100000" sheet="1" objects="1" scenarios="1"/>
  <mergeCells count="6">
    <mergeCell ref="B74:B118"/>
    <mergeCell ref="A17:J17"/>
    <mergeCell ref="A71:J71"/>
    <mergeCell ref="B20:B64"/>
    <mergeCell ref="A1:J1"/>
    <mergeCell ref="A14:C14"/>
  </mergeCells>
  <conditionalFormatting sqref="A1:XFD1048576">
    <cfRule type="expression" dxfId="20" priority="5">
      <formula>$L$1="gas"</formula>
    </cfRule>
  </conditionalFormatting>
  <dataValidations count="2">
    <dataValidation type="decimal" operator="greaterThanOrEqual" allowBlank="1" showInputMessage="1" showErrorMessage="1" errorTitle="Negatief bedrag" error="Gelieve een positieve waarde in te geven" sqref="WVN983061:WVN983104 C65557:C65600 JB65557:JB65600 SX65557:SX65600 ACT65557:ACT65600 AMP65557:AMP65600 AWL65557:AWL65600 BGH65557:BGH65600 BQD65557:BQD65600 BZZ65557:BZZ65600 CJV65557:CJV65600 CTR65557:CTR65600 DDN65557:DDN65600 DNJ65557:DNJ65600 DXF65557:DXF65600 EHB65557:EHB65600 EQX65557:EQX65600 FAT65557:FAT65600 FKP65557:FKP65600 FUL65557:FUL65600 GEH65557:GEH65600 GOD65557:GOD65600 GXZ65557:GXZ65600 HHV65557:HHV65600 HRR65557:HRR65600 IBN65557:IBN65600 ILJ65557:ILJ65600 IVF65557:IVF65600 JFB65557:JFB65600 JOX65557:JOX65600 JYT65557:JYT65600 KIP65557:KIP65600 KSL65557:KSL65600 LCH65557:LCH65600 LMD65557:LMD65600 LVZ65557:LVZ65600 MFV65557:MFV65600 MPR65557:MPR65600 MZN65557:MZN65600 NJJ65557:NJJ65600 NTF65557:NTF65600 ODB65557:ODB65600 OMX65557:OMX65600 OWT65557:OWT65600 PGP65557:PGP65600 PQL65557:PQL65600 QAH65557:QAH65600 QKD65557:QKD65600 QTZ65557:QTZ65600 RDV65557:RDV65600 RNR65557:RNR65600 RXN65557:RXN65600 SHJ65557:SHJ65600 SRF65557:SRF65600 TBB65557:TBB65600 TKX65557:TKX65600 TUT65557:TUT65600 UEP65557:UEP65600 UOL65557:UOL65600 UYH65557:UYH65600 VID65557:VID65600 VRZ65557:VRZ65600 WBV65557:WBV65600 WLR65557:WLR65600 WVN65557:WVN65600 C131093:C131136 JB131093:JB131136 SX131093:SX131136 ACT131093:ACT131136 AMP131093:AMP131136 AWL131093:AWL131136 BGH131093:BGH131136 BQD131093:BQD131136 BZZ131093:BZZ131136 CJV131093:CJV131136 CTR131093:CTR131136 DDN131093:DDN131136 DNJ131093:DNJ131136 DXF131093:DXF131136 EHB131093:EHB131136 EQX131093:EQX131136 FAT131093:FAT131136 FKP131093:FKP131136 FUL131093:FUL131136 GEH131093:GEH131136 GOD131093:GOD131136 GXZ131093:GXZ131136 HHV131093:HHV131136 HRR131093:HRR131136 IBN131093:IBN131136 ILJ131093:ILJ131136 IVF131093:IVF131136 JFB131093:JFB131136 JOX131093:JOX131136 JYT131093:JYT131136 KIP131093:KIP131136 KSL131093:KSL131136 LCH131093:LCH131136 LMD131093:LMD131136 LVZ131093:LVZ131136 MFV131093:MFV131136 MPR131093:MPR131136 MZN131093:MZN131136 NJJ131093:NJJ131136 NTF131093:NTF131136 ODB131093:ODB131136 OMX131093:OMX131136 OWT131093:OWT131136 PGP131093:PGP131136 PQL131093:PQL131136 QAH131093:QAH131136 QKD131093:QKD131136 QTZ131093:QTZ131136 RDV131093:RDV131136 RNR131093:RNR131136 RXN131093:RXN131136 SHJ131093:SHJ131136 SRF131093:SRF131136 TBB131093:TBB131136 TKX131093:TKX131136 TUT131093:TUT131136 UEP131093:UEP131136 UOL131093:UOL131136 UYH131093:UYH131136 VID131093:VID131136 VRZ131093:VRZ131136 WBV131093:WBV131136 WLR131093:WLR131136 WVN131093:WVN131136 C196629:C196672 JB196629:JB196672 SX196629:SX196672 ACT196629:ACT196672 AMP196629:AMP196672 AWL196629:AWL196672 BGH196629:BGH196672 BQD196629:BQD196672 BZZ196629:BZZ196672 CJV196629:CJV196672 CTR196629:CTR196672 DDN196629:DDN196672 DNJ196629:DNJ196672 DXF196629:DXF196672 EHB196629:EHB196672 EQX196629:EQX196672 FAT196629:FAT196672 FKP196629:FKP196672 FUL196629:FUL196672 GEH196629:GEH196672 GOD196629:GOD196672 GXZ196629:GXZ196672 HHV196629:HHV196672 HRR196629:HRR196672 IBN196629:IBN196672 ILJ196629:ILJ196672 IVF196629:IVF196672 JFB196629:JFB196672 JOX196629:JOX196672 JYT196629:JYT196672 KIP196629:KIP196672 KSL196629:KSL196672 LCH196629:LCH196672 LMD196629:LMD196672 LVZ196629:LVZ196672 MFV196629:MFV196672 MPR196629:MPR196672 MZN196629:MZN196672 NJJ196629:NJJ196672 NTF196629:NTF196672 ODB196629:ODB196672 OMX196629:OMX196672 OWT196629:OWT196672 PGP196629:PGP196672 PQL196629:PQL196672 QAH196629:QAH196672 QKD196629:QKD196672 QTZ196629:QTZ196672 RDV196629:RDV196672 RNR196629:RNR196672 RXN196629:RXN196672 SHJ196629:SHJ196672 SRF196629:SRF196672 TBB196629:TBB196672 TKX196629:TKX196672 TUT196629:TUT196672 UEP196629:UEP196672 UOL196629:UOL196672 UYH196629:UYH196672 VID196629:VID196672 VRZ196629:VRZ196672 WBV196629:WBV196672 WLR196629:WLR196672 WVN196629:WVN196672 C262165:C262208 JB262165:JB262208 SX262165:SX262208 ACT262165:ACT262208 AMP262165:AMP262208 AWL262165:AWL262208 BGH262165:BGH262208 BQD262165:BQD262208 BZZ262165:BZZ262208 CJV262165:CJV262208 CTR262165:CTR262208 DDN262165:DDN262208 DNJ262165:DNJ262208 DXF262165:DXF262208 EHB262165:EHB262208 EQX262165:EQX262208 FAT262165:FAT262208 FKP262165:FKP262208 FUL262165:FUL262208 GEH262165:GEH262208 GOD262165:GOD262208 GXZ262165:GXZ262208 HHV262165:HHV262208 HRR262165:HRR262208 IBN262165:IBN262208 ILJ262165:ILJ262208 IVF262165:IVF262208 JFB262165:JFB262208 JOX262165:JOX262208 JYT262165:JYT262208 KIP262165:KIP262208 KSL262165:KSL262208 LCH262165:LCH262208 LMD262165:LMD262208 LVZ262165:LVZ262208 MFV262165:MFV262208 MPR262165:MPR262208 MZN262165:MZN262208 NJJ262165:NJJ262208 NTF262165:NTF262208 ODB262165:ODB262208 OMX262165:OMX262208 OWT262165:OWT262208 PGP262165:PGP262208 PQL262165:PQL262208 QAH262165:QAH262208 QKD262165:QKD262208 QTZ262165:QTZ262208 RDV262165:RDV262208 RNR262165:RNR262208 RXN262165:RXN262208 SHJ262165:SHJ262208 SRF262165:SRF262208 TBB262165:TBB262208 TKX262165:TKX262208 TUT262165:TUT262208 UEP262165:UEP262208 UOL262165:UOL262208 UYH262165:UYH262208 VID262165:VID262208 VRZ262165:VRZ262208 WBV262165:WBV262208 WLR262165:WLR262208 WVN262165:WVN262208 C327701:C327744 JB327701:JB327744 SX327701:SX327744 ACT327701:ACT327744 AMP327701:AMP327744 AWL327701:AWL327744 BGH327701:BGH327744 BQD327701:BQD327744 BZZ327701:BZZ327744 CJV327701:CJV327744 CTR327701:CTR327744 DDN327701:DDN327744 DNJ327701:DNJ327744 DXF327701:DXF327744 EHB327701:EHB327744 EQX327701:EQX327744 FAT327701:FAT327744 FKP327701:FKP327744 FUL327701:FUL327744 GEH327701:GEH327744 GOD327701:GOD327744 GXZ327701:GXZ327744 HHV327701:HHV327744 HRR327701:HRR327744 IBN327701:IBN327744 ILJ327701:ILJ327744 IVF327701:IVF327744 JFB327701:JFB327744 JOX327701:JOX327744 JYT327701:JYT327744 KIP327701:KIP327744 KSL327701:KSL327744 LCH327701:LCH327744 LMD327701:LMD327744 LVZ327701:LVZ327744 MFV327701:MFV327744 MPR327701:MPR327744 MZN327701:MZN327744 NJJ327701:NJJ327744 NTF327701:NTF327744 ODB327701:ODB327744 OMX327701:OMX327744 OWT327701:OWT327744 PGP327701:PGP327744 PQL327701:PQL327744 QAH327701:QAH327744 QKD327701:QKD327744 QTZ327701:QTZ327744 RDV327701:RDV327744 RNR327701:RNR327744 RXN327701:RXN327744 SHJ327701:SHJ327744 SRF327701:SRF327744 TBB327701:TBB327744 TKX327701:TKX327744 TUT327701:TUT327744 UEP327701:UEP327744 UOL327701:UOL327744 UYH327701:UYH327744 VID327701:VID327744 VRZ327701:VRZ327744 WBV327701:WBV327744 WLR327701:WLR327744 WVN327701:WVN327744 C393237:C393280 JB393237:JB393280 SX393237:SX393280 ACT393237:ACT393280 AMP393237:AMP393280 AWL393237:AWL393280 BGH393237:BGH393280 BQD393237:BQD393280 BZZ393237:BZZ393280 CJV393237:CJV393280 CTR393237:CTR393280 DDN393237:DDN393280 DNJ393237:DNJ393280 DXF393237:DXF393280 EHB393237:EHB393280 EQX393237:EQX393280 FAT393237:FAT393280 FKP393237:FKP393280 FUL393237:FUL393280 GEH393237:GEH393280 GOD393237:GOD393280 GXZ393237:GXZ393280 HHV393237:HHV393280 HRR393237:HRR393280 IBN393237:IBN393280 ILJ393237:ILJ393280 IVF393237:IVF393280 JFB393237:JFB393280 JOX393237:JOX393280 JYT393237:JYT393280 KIP393237:KIP393280 KSL393237:KSL393280 LCH393237:LCH393280 LMD393237:LMD393280 LVZ393237:LVZ393280 MFV393237:MFV393280 MPR393237:MPR393280 MZN393237:MZN393280 NJJ393237:NJJ393280 NTF393237:NTF393280 ODB393237:ODB393280 OMX393237:OMX393280 OWT393237:OWT393280 PGP393237:PGP393280 PQL393237:PQL393280 QAH393237:QAH393280 QKD393237:QKD393280 QTZ393237:QTZ393280 RDV393237:RDV393280 RNR393237:RNR393280 RXN393237:RXN393280 SHJ393237:SHJ393280 SRF393237:SRF393280 TBB393237:TBB393280 TKX393237:TKX393280 TUT393237:TUT393280 UEP393237:UEP393280 UOL393237:UOL393280 UYH393237:UYH393280 VID393237:VID393280 VRZ393237:VRZ393280 WBV393237:WBV393280 WLR393237:WLR393280 WVN393237:WVN393280 C458773:C458816 JB458773:JB458816 SX458773:SX458816 ACT458773:ACT458816 AMP458773:AMP458816 AWL458773:AWL458816 BGH458773:BGH458816 BQD458773:BQD458816 BZZ458773:BZZ458816 CJV458773:CJV458816 CTR458773:CTR458816 DDN458773:DDN458816 DNJ458773:DNJ458816 DXF458773:DXF458816 EHB458773:EHB458816 EQX458773:EQX458816 FAT458773:FAT458816 FKP458773:FKP458816 FUL458773:FUL458816 GEH458773:GEH458816 GOD458773:GOD458816 GXZ458773:GXZ458816 HHV458773:HHV458816 HRR458773:HRR458816 IBN458773:IBN458816 ILJ458773:ILJ458816 IVF458773:IVF458816 JFB458773:JFB458816 JOX458773:JOX458816 JYT458773:JYT458816 KIP458773:KIP458816 KSL458773:KSL458816 LCH458773:LCH458816 LMD458773:LMD458816 LVZ458773:LVZ458816 MFV458773:MFV458816 MPR458773:MPR458816 MZN458773:MZN458816 NJJ458773:NJJ458816 NTF458773:NTF458816 ODB458773:ODB458816 OMX458773:OMX458816 OWT458773:OWT458816 PGP458773:PGP458816 PQL458773:PQL458816 QAH458773:QAH458816 QKD458773:QKD458816 QTZ458773:QTZ458816 RDV458773:RDV458816 RNR458773:RNR458816 RXN458773:RXN458816 SHJ458773:SHJ458816 SRF458773:SRF458816 TBB458773:TBB458816 TKX458773:TKX458816 TUT458773:TUT458816 UEP458773:UEP458816 UOL458773:UOL458816 UYH458773:UYH458816 VID458773:VID458816 VRZ458773:VRZ458816 WBV458773:WBV458816 WLR458773:WLR458816 WVN458773:WVN458816 C524309:C524352 JB524309:JB524352 SX524309:SX524352 ACT524309:ACT524352 AMP524309:AMP524352 AWL524309:AWL524352 BGH524309:BGH524352 BQD524309:BQD524352 BZZ524309:BZZ524352 CJV524309:CJV524352 CTR524309:CTR524352 DDN524309:DDN524352 DNJ524309:DNJ524352 DXF524309:DXF524352 EHB524309:EHB524352 EQX524309:EQX524352 FAT524309:FAT524352 FKP524309:FKP524352 FUL524309:FUL524352 GEH524309:GEH524352 GOD524309:GOD524352 GXZ524309:GXZ524352 HHV524309:HHV524352 HRR524309:HRR524352 IBN524309:IBN524352 ILJ524309:ILJ524352 IVF524309:IVF524352 JFB524309:JFB524352 JOX524309:JOX524352 JYT524309:JYT524352 KIP524309:KIP524352 KSL524309:KSL524352 LCH524309:LCH524352 LMD524309:LMD524352 LVZ524309:LVZ524352 MFV524309:MFV524352 MPR524309:MPR524352 MZN524309:MZN524352 NJJ524309:NJJ524352 NTF524309:NTF524352 ODB524309:ODB524352 OMX524309:OMX524352 OWT524309:OWT524352 PGP524309:PGP524352 PQL524309:PQL524352 QAH524309:QAH524352 QKD524309:QKD524352 QTZ524309:QTZ524352 RDV524309:RDV524352 RNR524309:RNR524352 RXN524309:RXN524352 SHJ524309:SHJ524352 SRF524309:SRF524352 TBB524309:TBB524352 TKX524309:TKX524352 TUT524309:TUT524352 UEP524309:UEP524352 UOL524309:UOL524352 UYH524309:UYH524352 VID524309:VID524352 VRZ524309:VRZ524352 WBV524309:WBV524352 WLR524309:WLR524352 WVN524309:WVN524352 C589845:C589888 JB589845:JB589888 SX589845:SX589888 ACT589845:ACT589888 AMP589845:AMP589888 AWL589845:AWL589888 BGH589845:BGH589888 BQD589845:BQD589888 BZZ589845:BZZ589888 CJV589845:CJV589888 CTR589845:CTR589888 DDN589845:DDN589888 DNJ589845:DNJ589888 DXF589845:DXF589888 EHB589845:EHB589888 EQX589845:EQX589888 FAT589845:FAT589888 FKP589845:FKP589888 FUL589845:FUL589888 GEH589845:GEH589888 GOD589845:GOD589888 GXZ589845:GXZ589888 HHV589845:HHV589888 HRR589845:HRR589888 IBN589845:IBN589888 ILJ589845:ILJ589888 IVF589845:IVF589888 JFB589845:JFB589888 JOX589845:JOX589888 JYT589845:JYT589888 KIP589845:KIP589888 KSL589845:KSL589888 LCH589845:LCH589888 LMD589845:LMD589888 LVZ589845:LVZ589888 MFV589845:MFV589888 MPR589845:MPR589888 MZN589845:MZN589888 NJJ589845:NJJ589888 NTF589845:NTF589888 ODB589845:ODB589888 OMX589845:OMX589888 OWT589845:OWT589888 PGP589845:PGP589888 PQL589845:PQL589888 QAH589845:QAH589888 QKD589845:QKD589888 QTZ589845:QTZ589888 RDV589845:RDV589888 RNR589845:RNR589888 RXN589845:RXN589888 SHJ589845:SHJ589888 SRF589845:SRF589888 TBB589845:TBB589888 TKX589845:TKX589888 TUT589845:TUT589888 UEP589845:UEP589888 UOL589845:UOL589888 UYH589845:UYH589888 VID589845:VID589888 VRZ589845:VRZ589888 WBV589845:WBV589888 WLR589845:WLR589888 WVN589845:WVN589888 C655381:C655424 JB655381:JB655424 SX655381:SX655424 ACT655381:ACT655424 AMP655381:AMP655424 AWL655381:AWL655424 BGH655381:BGH655424 BQD655381:BQD655424 BZZ655381:BZZ655424 CJV655381:CJV655424 CTR655381:CTR655424 DDN655381:DDN655424 DNJ655381:DNJ655424 DXF655381:DXF655424 EHB655381:EHB655424 EQX655381:EQX655424 FAT655381:FAT655424 FKP655381:FKP655424 FUL655381:FUL655424 GEH655381:GEH655424 GOD655381:GOD655424 GXZ655381:GXZ655424 HHV655381:HHV655424 HRR655381:HRR655424 IBN655381:IBN655424 ILJ655381:ILJ655424 IVF655381:IVF655424 JFB655381:JFB655424 JOX655381:JOX655424 JYT655381:JYT655424 KIP655381:KIP655424 KSL655381:KSL655424 LCH655381:LCH655424 LMD655381:LMD655424 LVZ655381:LVZ655424 MFV655381:MFV655424 MPR655381:MPR655424 MZN655381:MZN655424 NJJ655381:NJJ655424 NTF655381:NTF655424 ODB655381:ODB655424 OMX655381:OMX655424 OWT655381:OWT655424 PGP655381:PGP655424 PQL655381:PQL655424 QAH655381:QAH655424 QKD655381:QKD655424 QTZ655381:QTZ655424 RDV655381:RDV655424 RNR655381:RNR655424 RXN655381:RXN655424 SHJ655381:SHJ655424 SRF655381:SRF655424 TBB655381:TBB655424 TKX655381:TKX655424 TUT655381:TUT655424 UEP655381:UEP655424 UOL655381:UOL655424 UYH655381:UYH655424 VID655381:VID655424 VRZ655381:VRZ655424 WBV655381:WBV655424 WLR655381:WLR655424 WVN655381:WVN655424 C720917:C720960 JB720917:JB720960 SX720917:SX720960 ACT720917:ACT720960 AMP720917:AMP720960 AWL720917:AWL720960 BGH720917:BGH720960 BQD720917:BQD720960 BZZ720917:BZZ720960 CJV720917:CJV720960 CTR720917:CTR720960 DDN720917:DDN720960 DNJ720917:DNJ720960 DXF720917:DXF720960 EHB720917:EHB720960 EQX720917:EQX720960 FAT720917:FAT720960 FKP720917:FKP720960 FUL720917:FUL720960 GEH720917:GEH720960 GOD720917:GOD720960 GXZ720917:GXZ720960 HHV720917:HHV720960 HRR720917:HRR720960 IBN720917:IBN720960 ILJ720917:ILJ720960 IVF720917:IVF720960 JFB720917:JFB720960 JOX720917:JOX720960 JYT720917:JYT720960 KIP720917:KIP720960 KSL720917:KSL720960 LCH720917:LCH720960 LMD720917:LMD720960 LVZ720917:LVZ720960 MFV720917:MFV720960 MPR720917:MPR720960 MZN720917:MZN720960 NJJ720917:NJJ720960 NTF720917:NTF720960 ODB720917:ODB720960 OMX720917:OMX720960 OWT720917:OWT720960 PGP720917:PGP720960 PQL720917:PQL720960 QAH720917:QAH720960 QKD720917:QKD720960 QTZ720917:QTZ720960 RDV720917:RDV720960 RNR720917:RNR720960 RXN720917:RXN720960 SHJ720917:SHJ720960 SRF720917:SRF720960 TBB720917:TBB720960 TKX720917:TKX720960 TUT720917:TUT720960 UEP720917:UEP720960 UOL720917:UOL720960 UYH720917:UYH720960 VID720917:VID720960 VRZ720917:VRZ720960 WBV720917:WBV720960 WLR720917:WLR720960 WVN720917:WVN720960 C786453:C786496 JB786453:JB786496 SX786453:SX786496 ACT786453:ACT786496 AMP786453:AMP786496 AWL786453:AWL786496 BGH786453:BGH786496 BQD786453:BQD786496 BZZ786453:BZZ786496 CJV786453:CJV786496 CTR786453:CTR786496 DDN786453:DDN786496 DNJ786453:DNJ786496 DXF786453:DXF786496 EHB786453:EHB786496 EQX786453:EQX786496 FAT786453:FAT786496 FKP786453:FKP786496 FUL786453:FUL786496 GEH786453:GEH786496 GOD786453:GOD786496 GXZ786453:GXZ786496 HHV786453:HHV786496 HRR786453:HRR786496 IBN786453:IBN786496 ILJ786453:ILJ786496 IVF786453:IVF786496 JFB786453:JFB786496 JOX786453:JOX786496 JYT786453:JYT786496 KIP786453:KIP786496 KSL786453:KSL786496 LCH786453:LCH786496 LMD786453:LMD786496 LVZ786453:LVZ786496 MFV786453:MFV786496 MPR786453:MPR786496 MZN786453:MZN786496 NJJ786453:NJJ786496 NTF786453:NTF786496 ODB786453:ODB786496 OMX786453:OMX786496 OWT786453:OWT786496 PGP786453:PGP786496 PQL786453:PQL786496 QAH786453:QAH786496 QKD786453:QKD786496 QTZ786453:QTZ786496 RDV786453:RDV786496 RNR786453:RNR786496 RXN786453:RXN786496 SHJ786453:SHJ786496 SRF786453:SRF786496 TBB786453:TBB786496 TKX786453:TKX786496 TUT786453:TUT786496 UEP786453:UEP786496 UOL786453:UOL786496 UYH786453:UYH786496 VID786453:VID786496 VRZ786453:VRZ786496 WBV786453:WBV786496 WLR786453:WLR786496 WVN786453:WVN786496 C851989:C852032 JB851989:JB852032 SX851989:SX852032 ACT851989:ACT852032 AMP851989:AMP852032 AWL851989:AWL852032 BGH851989:BGH852032 BQD851989:BQD852032 BZZ851989:BZZ852032 CJV851989:CJV852032 CTR851989:CTR852032 DDN851989:DDN852032 DNJ851989:DNJ852032 DXF851989:DXF852032 EHB851989:EHB852032 EQX851989:EQX852032 FAT851989:FAT852032 FKP851989:FKP852032 FUL851989:FUL852032 GEH851989:GEH852032 GOD851989:GOD852032 GXZ851989:GXZ852032 HHV851989:HHV852032 HRR851989:HRR852032 IBN851989:IBN852032 ILJ851989:ILJ852032 IVF851989:IVF852032 JFB851989:JFB852032 JOX851989:JOX852032 JYT851989:JYT852032 KIP851989:KIP852032 KSL851989:KSL852032 LCH851989:LCH852032 LMD851989:LMD852032 LVZ851989:LVZ852032 MFV851989:MFV852032 MPR851989:MPR852032 MZN851989:MZN852032 NJJ851989:NJJ852032 NTF851989:NTF852032 ODB851989:ODB852032 OMX851989:OMX852032 OWT851989:OWT852032 PGP851989:PGP852032 PQL851989:PQL852032 QAH851989:QAH852032 QKD851989:QKD852032 QTZ851989:QTZ852032 RDV851989:RDV852032 RNR851989:RNR852032 RXN851989:RXN852032 SHJ851989:SHJ852032 SRF851989:SRF852032 TBB851989:TBB852032 TKX851989:TKX852032 TUT851989:TUT852032 UEP851989:UEP852032 UOL851989:UOL852032 UYH851989:UYH852032 VID851989:VID852032 VRZ851989:VRZ852032 WBV851989:WBV852032 WLR851989:WLR852032 WVN851989:WVN852032 C917525:C917568 JB917525:JB917568 SX917525:SX917568 ACT917525:ACT917568 AMP917525:AMP917568 AWL917525:AWL917568 BGH917525:BGH917568 BQD917525:BQD917568 BZZ917525:BZZ917568 CJV917525:CJV917568 CTR917525:CTR917568 DDN917525:DDN917568 DNJ917525:DNJ917568 DXF917525:DXF917568 EHB917525:EHB917568 EQX917525:EQX917568 FAT917525:FAT917568 FKP917525:FKP917568 FUL917525:FUL917568 GEH917525:GEH917568 GOD917525:GOD917568 GXZ917525:GXZ917568 HHV917525:HHV917568 HRR917525:HRR917568 IBN917525:IBN917568 ILJ917525:ILJ917568 IVF917525:IVF917568 JFB917525:JFB917568 JOX917525:JOX917568 JYT917525:JYT917568 KIP917525:KIP917568 KSL917525:KSL917568 LCH917525:LCH917568 LMD917525:LMD917568 LVZ917525:LVZ917568 MFV917525:MFV917568 MPR917525:MPR917568 MZN917525:MZN917568 NJJ917525:NJJ917568 NTF917525:NTF917568 ODB917525:ODB917568 OMX917525:OMX917568 OWT917525:OWT917568 PGP917525:PGP917568 PQL917525:PQL917568 QAH917525:QAH917568 QKD917525:QKD917568 QTZ917525:QTZ917568 RDV917525:RDV917568 RNR917525:RNR917568 RXN917525:RXN917568 SHJ917525:SHJ917568 SRF917525:SRF917568 TBB917525:TBB917568 TKX917525:TKX917568 TUT917525:TUT917568 UEP917525:UEP917568 UOL917525:UOL917568 UYH917525:UYH917568 VID917525:VID917568 VRZ917525:VRZ917568 WBV917525:WBV917568 WLR917525:WLR917568 WVN917525:WVN917568 C983061:C983104 JB983061:JB983104 SX983061:SX983104 ACT983061:ACT983104 AMP983061:AMP983104 AWL983061:AWL983104 BGH983061:BGH983104 BQD983061:BQD983104 BZZ983061:BZZ983104 CJV983061:CJV983104 CTR983061:CTR983104 DDN983061:DDN983104 DNJ983061:DNJ983104 DXF983061:DXF983104 EHB983061:EHB983104 EQX983061:EQX983104 FAT983061:FAT983104 FKP983061:FKP983104 FUL983061:FUL983104 GEH983061:GEH983104 GOD983061:GOD983104 GXZ983061:GXZ983104 HHV983061:HHV983104 HRR983061:HRR983104 IBN983061:IBN983104 ILJ983061:ILJ983104 IVF983061:IVF983104 JFB983061:JFB983104 JOX983061:JOX983104 JYT983061:JYT983104 KIP983061:KIP983104 KSL983061:KSL983104 LCH983061:LCH983104 LMD983061:LMD983104 LVZ983061:LVZ983104 MFV983061:MFV983104 MPR983061:MPR983104 MZN983061:MZN983104 NJJ983061:NJJ983104 NTF983061:NTF983104 ODB983061:ODB983104 OMX983061:OMX983104 OWT983061:OWT983104 PGP983061:PGP983104 PQL983061:PQL983104 QAH983061:QAH983104 QKD983061:QKD983104 QTZ983061:QTZ983104 RDV983061:RDV983104 RNR983061:RNR983104 RXN983061:RXN983104 SHJ983061:SHJ983104 SRF983061:SRF983104 TBB983061:TBB983104 TKX983061:TKX983104 TUT983061:TUT983104 UEP983061:UEP983104 UOL983061:UOL983104 UYH983061:UYH983104 VID983061:VID983104 VRZ983061:VRZ983104 WBV983061:WBV983104 WLR983061:WLR983104 WVN20:WVN64 WLR20:WLR64 WBV20:WBV64 VRZ20:VRZ64 VID20:VID64 UYH20:UYH64 UOL20:UOL64 UEP20:UEP64 TUT20:TUT64 TKX20:TKX64 TBB20:TBB64 SRF20:SRF64 SHJ20:SHJ64 RXN20:RXN64 RNR20:RNR64 RDV20:RDV64 QTZ20:QTZ64 QKD20:QKD64 QAH20:QAH64 PQL20:PQL64 PGP20:PGP64 OWT20:OWT64 OMX20:OMX64 ODB20:ODB64 NTF20:NTF64 NJJ20:NJJ64 MZN20:MZN64 MPR20:MPR64 MFV20:MFV64 LVZ20:LVZ64 LMD20:LMD64 LCH20:LCH64 KSL20:KSL64 KIP20:KIP64 JYT20:JYT64 JOX20:JOX64 JFB20:JFB64 IVF20:IVF64 ILJ20:ILJ64 IBN20:IBN64 HRR20:HRR64 HHV20:HHV64 GXZ20:GXZ64 GOD20:GOD64 GEH20:GEH64 FUL20:FUL64 FKP20:FKP64 FAT20:FAT64 EQX20:EQX64 EHB20:EHB64 DXF20:DXF64 DNJ20:DNJ64 DDN20:DDN64 CTR20:CTR64 CJV20:CJV64 BZZ20:BZZ64 BQD20:BQD64 BGH20:BGH64 AWL20:AWL64 AMP20:AMP64 ACT20:ACT64 SX20:SX64 JB20:JB64 C20:C64 WVN74:WVN118 WLR74:WLR118 WBV74:WBV118 VRZ74:VRZ118 VID74:VID118 UYH74:UYH118 UOL74:UOL118 UEP74:UEP118 TUT74:TUT118 TKX74:TKX118 TBB74:TBB118 SRF74:SRF118 SHJ74:SHJ118 RXN74:RXN118 RNR74:RNR118 RDV74:RDV118 QTZ74:QTZ118 QKD74:QKD118 QAH74:QAH118 PQL74:PQL118 PGP74:PGP118 OWT74:OWT118 OMX74:OMX118 ODB74:ODB118 NTF74:NTF118 NJJ74:NJJ118 MZN74:MZN118 MPR74:MPR118 MFV74:MFV118 LVZ74:LVZ118 LMD74:LMD118 LCH74:LCH118 KSL74:KSL118 KIP74:KIP118 JYT74:JYT118 JOX74:JOX118 JFB74:JFB118 IVF74:IVF118 ILJ74:ILJ118 IBN74:IBN118 HRR74:HRR118 HHV74:HHV118 GXZ74:GXZ118 GOD74:GOD118 GEH74:GEH118 FUL74:FUL118 FKP74:FKP118 FAT74:FAT118 EQX74:EQX118 EHB74:EHB118 DXF74:DXF118 DNJ74:DNJ118 DDN74:DDN118 CTR74:CTR118 CJV74:CJV118 BZZ74:BZZ118 BQD74:BQD118 BGH74:BGH118 AWL74:AWL118 AMP74:AMP118 ACT74:ACT118 SX74:SX118 JB74:JB118 C74:C118" xr:uid="{E6DCB3DE-878F-49AF-ABDC-69E6EC3203C6}">
      <formula1>0</formula1>
    </dataValidation>
    <dataValidation type="decimal" operator="lessThanOrEqual" allowBlank="1" showInputMessage="1" showErrorMessage="1" errorTitle="Positief bedrag" error="Gelieve een negatief bedrag in te geven" sqref="F131093:I131136 JE65557:JE65600 TA65557:TA65600 ACW65557:ACW65600 AMS65557:AMS65600 AWO65557:AWO65600 BGK65557:BGK65600 BQG65557:BQG65600 CAC65557:CAC65600 CJY65557:CJY65600 CTU65557:CTU65600 DDQ65557:DDQ65600 DNM65557:DNM65600 DXI65557:DXI65600 EHE65557:EHE65600 ERA65557:ERA65600 FAW65557:FAW65600 FKS65557:FKS65600 FUO65557:FUO65600 GEK65557:GEK65600 GOG65557:GOG65600 GYC65557:GYC65600 HHY65557:HHY65600 HRU65557:HRU65600 IBQ65557:IBQ65600 ILM65557:ILM65600 IVI65557:IVI65600 JFE65557:JFE65600 JPA65557:JPA65600 JYW65557:JYW65600 KIS65557:KIS65600 KSO65557:KSO65600 LCK65557:LCK65600 LMG65557:LMG65600 LWC65557:LWC65600 MFY65557:MFY65600 MPU65557:MPU65600 MZQ65557:MZQ65600 NJM65557:NJM65600 NTI65557:NTI65600 ODE65557:ODE65600 ONA65557:ONA65600 OWW65557:OWW65600 PGS65557:PGS65600 PQO65557:PQO65600 QAK65557:QAK65600 QKG65557:QKG65600 QUC65557:QUC65600 RDY65557:RDY65600 RNU65557:RNU65600 RXQ65557:RXQ65600 SHM65557:SHM65600 SRI65557:SRI65600 TBE65557:TBE65600 TLA65557:TLA65600 TUW65557:TUW65600 UES65557:UES65600 UOO65557:UOO65600 UYK65557:UYK65600 VIG65557:VIG65600 VSC65557:VSC65600 WBY65557:WBY65600 WLU65557:WLU65600 WVQ65557:WVQ65600 F196629:I196672 JE131093:JE131136 TA131093:TA131136 ACW131093:ACW131136 AMS131093:AMS131136 AWO131093:AWO131136 BGK131093:BGK131136 BQG131093:BQG131136 CAC131093:CAC131136 CJY131093:CJY131136 CTU131093:CTU131136 DDQ131093:DDQ131136 DNM131093:DNM131136 DXI131093:DXI131136 EHE131093:EHE131136 ERA131093:ERA131136 FAW131093:FAW131136 FKS131093:FKS131136 FUO131093:FUO131136 GEK131093:GEK131136 GOG131093:GOG131136 GYC131093:GYC131136 HHY131093:HHY131136 HRU131093:HRU131136 IBQ131093:IBQ131136 ILM131093:ILM131136 IVI131093:IVI131136 JFE131093:JFE131136 JPA131093:JPA131136 JYW131093:JYW131136 KIS131093:KIS131136 KSO131093:KSO131136 LCK131093:LCK131136 LMG131093:LMG131136 LWC131093:LWC131136 MFY131093:MFY131136 MPU131093:MPU131136 MZQ131093:MZQ131136 NJM131093:NJM131136 NTI131093:NTI131136 ODE131093:ODE131136 ONA131093:ONA131136 OWW131093:OWW131136 PGS131093:PGS131136 PQO131093:PQO131136 QAK131093:QAK131136 QKG131093:QKG131136 QUC131093:QUC131136 RDY131093:RDY131136 RNU131093:RNU131136 RXQ131093:RXQ131136 SHM131093:SHM131136 SRI131093:SRI131136 TBE131093:TBE131136 TLA131093:TLA131136 TUW131093:TUW131136 UES131093:UES131136 UOO131093:UOO131136 UYK131093:UYK131136 VIG131093:VIG131136 VSC131093:VSC131136 WBY131093:WBY131136 WLU131093:WLU131136 WVQ131093:WVQ131136 F262165:I262208 JE196629:JE196672 TA196629:TA196672 ACW196629:ACW196672 AMS196629:AMS196672 AWO196629:AWO196672 BGK196629:BGK196672 BQG196629:BQG196672 CAC196629:CAC196672 CJY196629:CJY196672 CTU196629:CTU196672 DDQ196629:DDQ196672 DNM196629:DNM196672 DXI196629:DXI196672 EHE196629:EHE196672 ERA196629:ERA196672 FAW196629:FAW196672 FKS196629:FKS196672 FUO196629:FUO196672 GEK196629:GEK196672 GOG196629:GOG196672 GYC196629:GYC196672 HHY196629:HHY196672 HRU196629:HRU196672 IBQ196629:IBQ196672 ILM196629:ILM196672 IVI196629:IVI196672 JFE196629:JFE196672 JPA196629:JPA196672 JYW196629:JYW196672 KIS196629:KIS196672 KSO196629:KSO196672 LCK196629:LCK196672 LMG196629:LMG196672 LWC196629:LWC196672 MFY196629:MFY196672 MPU196629:MPU196672 MZQ196629:MZQ196672 NJM196629:NJM196672 NTI196629:NTI196672 ODE196629:ODE196672 ONA196629:ONA196672 OWW196629:OWW196672 PGS196629:PGS196672 PQO196629:PQO196672 QAK196629:QAK196672 QKG196629:QKG196672 QUC196629:QUC196672 RDY196629:RDY196672 RNU196629:RNU196672 RXQ196629:RXQ196672 SHM196629:SHM196672 SRI196629:SRI196672 TBE196629:TBE196672 TLA196629:TLA196672 TUW196629:TUW196672 UES196629:UES196672 UOO196629:UOO196672 UYK196629:UYK196672 VIG196629:VIG196672 VSC196629:VSC196672 WBY196629:WBY196672 WLU196629:WLU196672 WVQ196629:WVQ196672 F327701:I327744 JE262165:JE262208 TA262165:TA262208 ACW262165:ACW262208 AMS262165:AMS262208 AWO262165:AWO262208 BGK262165:BGK262208 BQG262165:BQG262208 CAC262165:CAC262208 CJY262165:CJY262208 CTU262165:CTU262208 DDQ262165:DDQ262208 DNM262165:DNM262208 DXI262165:DXI262208 EHE262165:EHE262208 ERA262165:ERA262208 FAW262165:FAW262208 FKS262165:FKS262208 FUO262165:FUO262208 GEK262165:GEK262208 GOG262165:GOG262208 GYC262165:GYC262208 HHY262165:HHY262208 HRU262165:HRU262208 IBQ262165:IBQ262208 ILM262165:ILM262208 IVI262165:IVI262208 JFE262165:JFE262208 JPA262165:JPA262208 JYW262165:JYW262208 KIS262165:KIS262208 KSO262165:KSO262208 LCK262165:LCK262208 LMG262165:LMG262208 LWC262165:LWC262208 MFY262165:MFY262208 MPU262165:MPU262208 MZQ262165:MZQ262208 NJM262165:NJM262208 NTI262165:NTI262208 ODE262165:ODE262208 ONA262165:ONA262208 OWW262165:OWW262208 PGS262165:PGS262208 PQO262165:PQO262208 QAK262165:QAK262208 QKG262165:QKG262208 QUC262165:QUC262208 RDY262165:RDY262208 RNU262165:RNU262208 RXQ262165:RXQ262208 SHM262165:SHM262208 SRI262165:SRI262208 TBE262165:TBE262208 TLA262165:TLA262208 TUW262165:TUW262208 UES262165:UES262208 UOO262165:UOO262208 UYK262165:UYK262208 VIG262165:VIG262208 VSC262165:VSC262208 WBY262165:WBY262208 WLU262165:WLU262208 WVQ262165:WVQ262208 F393237:I393280 JE327701:JE327744 TA327701:TA327744 ACW327701:ACW327744 AMS327701:AMS327744 AWO327701:AWO327744 BGK327701:BGK327744 BQG327701:BQG327744 CAC327701:CAC327744 CJY327701:CJY327744 CTU327701:CTU327744 DDQ327701:DDQ327744 DNM327701:DNM327744 DXI327701:DXI327744 EHE327701:EHE327744 ERA327701:ERA327744 FAW327701:FAW327744 FKS327701:FKS327744 FUO327701:FUO327744 GEK327701:GEK327744 GOG327701:GOG327744 GYC327701:GYC327744 HHY327701:HHY327744 HRU327701:HRU327744 IBQ327701:IBQ327744 ILM327701:ILM327744 IVI327701:IVI327744 JFE327701:JFE327744 JPA327701:JPA327744 JYW327701:JYW327744 KIS327701:KIS327744 KSO327701:KSO327744 LCK327701:LCK327744 LMG327701:LMG327744 LWC327701:LWC327744 MFY327701:MFY327744 MPU327701:MPU327744 MZQ327701:MZQ327744 NJM327701:NJM327744 NTI327701:NTI327744 ODE327701:ODE327744 ONA327701:ONA327744 OWW327701:OWW327744 PGS327701:PGS327744 PQO327701:PQO327744 QAK327701:QAK327744 QKG327701:QKG327744 QUC327701:QUC327744 RDY327701:RDY327744 RNU327701:RNU327744 RXQ327701:RXQ327744 SHM327701:SHM327744 SRI327701:SRI327744 TBE327701:TBE327744 TLA327701:TLA327744 TUW327701:TUW327744 UES327701:UES327744 UOO327701:UOO327744 UYK327701:UYK327744 VIG327701:VIG327744 VSC327701:VSC327744 WBY327701:WBY327744 WLU327701:WLU327744 WVQ327701:WVQ327744 F458773:I458816 JE393237:JE393280 TA393237:TA393280 ACW393237:ACW393280 AMS393237:AMS393280 AWO393237:AWO393280 BGK393237:BGK393280 BQG393237:BQG393280 CAC393237:CAC393280 CJY393237:CJY393280 CTU393237:CTU393280 DDQ393237:DDQ393280 DNM393237:DNM393280 DXI393237:DXI393280 EHE393237:EHE393280 ERA393237:ERA393280 FAW393237:FAW393280 FKS393237:FKS393280 FUO393237:FUO393280 GEK393237:GEK393280 GOG393237:GOG393280 GYC393237:GYC393280 HHY393237:HHY393280 HRU393237:HRU393280 IBQ393237:IBQ393280 ILM393237:ILM393280 IVI393237:IVI393280 JFE393237:JFE393280 JPA393237:JPA393280 JYW393237:JYW393280 KIS393237:KIS393280 KSO393237:KSO393280 LCK393237:LCK393280 LMG393237:LMG393280 LWC393237:LWC393280 MFY393237:MFY393280 MPU393237:MPU393280 MZQ393237:MZQ393280 NJM393237:NJM393280 NTI393237:NTI393280 ODE393237:ODE393280 ONA393237:ONA393280 OWW393237:OWW393280 PGS393237:PGS393280 PQO393237:PQO393280 QAK393237:QAK393280 QKG393237:QKG393280 QUC393237:QUC393280 RDY393237:RDY393280 RNU393237:RNU393280 RXQ393237:RXQ393280 SHM393237:SHM393280 SRI393237:SRI393280 TBE393237:TBE393280 TLA393237:TLA393280 TUW393237:TUW393280 UES393237:UES393280 UOO393237:UOO393280 UYK393237:UYK393280 VIG393237:VIG393280 VSC393237:VSC393280 WBY393237:WBY393280 WLU393237:WLU393280 WVQ393237:WVQ393280 F524309:I524352 JE458773:JE458816 TA458773:TA458816 ACW458773:ACW458816 AMS458773:AMS458816 AWO458773:AWO458816 BGK458773:BGK458816 BQG458773:BQG458816 CAC458773:CAC458816 CJY458773:CJY458816 CTU458773:CTU458816 DDQ458773:DDQ458816 DNM458773:DNM458816 DXI458773:DXI458816 EHE458773:EHE458816 ERA458773:ERA458816 FAW458773:FAW458816 FKS458773:FKS458816 FUO458773:FUO458816 GEK458773:GEK458816 GOG458773:GOG458816 GYC458773:GYC458816 HHY458773:HHY458816 HRU458773:HRU458816 IBQ458773:IBQ458816 ILM458773:ILM458816 IVI458773:IVI458816 JFE458773:JFE458816 JPA458773:JPA458816 JYW458773:JYW458816 KIS458773:KIS458816 KSO458773:KSO458816 LCK458773:LCK458816 LMG458773:LMG458816 LWC458773:LWC458816 MFY458773:MFY458816 MPU458773:MPU458816 MZQ458773:MZQ458816 NJM458773:NJM458816 NTI458773:NTI458816 ODE458773:ODE458816 ONA458773:ONA458816 OWW458773:OWW458816 PGS458773:PGS458816 PQO458773:PQO458816 QAK458773:QAK458816 QKG458773:QKG458816 QUC458773:QUC458816 RDY458773:RDY458816 RNU458773:RNU458816 RXQ458773:RXQ458816 SHM458773:SHM458816 SRI458773:SRI458816 TBE458773:TBE458816 TLA458773:TLA458816 TUW458773:TUW458816 UES458773:UES458816 UOO458773:UOO458816 UYK458773:UYK458816 VIG458773:VIG458816 VSC458773:VSC458816 WBY458773:WBY458816 WLU458773:WLU458816 WVQ458773:WVQ458816 F589845:I589888 JE524309:JE524352 TA524309:TA524352 ACW524309:ACW524352 AMS524309:AMS524352 AWO524309:AWO524352 BGK524309:BGK524352 BQG524309:BQG524352 CAC524309:CAC524352 CJY524309:CJY524352 CTU524309:CTU524352 DDQ524309:DDQ524352 DNM524309:DNM524352 DXI524309:DXI524352 EHE524309:EHE524352 ERA524309:ERA524352 FAW524309:FAW524352 FKS524309:FKS524352 FUO524309:FUO524352 GEK524309:GEK524352 GOG524309:GOG524352 GYC524309:GYC524352 HHY524309:HHY524352 HRU524309:HRU524352 IBQ524309:IBQ524352 ILM524309:ILM524352 IVI524309:IVI524352 JFE524309:JFE524352 JPA524309:JPA524352 JYW524309:JYW524352 KIS524309:KIS524352 KSO524309:KSO524352 LCK524309:LCK524352 LMG524309:LMG524352 LWC524309:LWC524352 MFY524309:MFY524352 MPU524309:MPU524352 MZQ524309:MZQ524352 NJM524309:NJM524352 NTI524309:NTI524352 ODE524309:ODE524352 ONA524309:ONA524352 OWW524309:OWW524352 PGS524309:PGS524352 PQO524309:PQO524352 QAK524309:QAK524352 QKG524309:QKG524352 QUC524309:QUC524352 RDY524309:RDY524352 RNU524309:RNU524352 RXQ524309:RXQ524352 SHM524309:SHM524352 SRI524309:SRI524352 TBE524309:TBE524352 TLA524309:TLA524352 TUW524309:TUW524352 UES524309:UES524352 UOO524309:UOO524352 UYK524309:UYK524352 VIG524309:VIG524352 VSC524309:VSC524352 WBY524309:WBY524352 WLU524309:WLU524352 WVQ524309:WVQ524352 F655381:I655424 JE589845:JE589888 TA589845:TA589888 ACW589845:ACW589888 AMS589845:AMS589888 AWO589845:AWO589888 BGK589845:BGK589888 BQG589845:BQG589888 CAC589845:CAC589888 CJY589845:CJY589888 CTU589845:CTU589888 DDQ589845:DDQ589888 DNM589845:DNM589888 DXI589845:DXI589888 EHE589845:EHE589888 ERA589845:ERA589888 FAW589845:FAW589888 FKS589845:FKS589888 FUO589845:FUO589888 GEK589845:GEK589888 GOG589845:GOG589888 GYC589845:GYC589888 HHY589845:HHY589888 HRU589845:HRU589888 IBQ589845:IBQ589888 ILM589845:ILM589888 IVI589845:IVI589888 JFE589845:JFE589888 JPA589845:JPA589888 JYW589845:JYW589888 KIS589845:KIS589888 KSO589845:KSO589888 LCK589845:LCK589888 LMG589845:LMG589888 LWC589845:LWC589888 MFY589845:MFY589888 MPU589845:MPU589888 MZQ589845:MZQ589888 NJM589845:NJM589888 NTI589845:NTI589888 ODE589845:ODE589888 ONA589845:ONA589888 OWW589845:OWW589888 PGS589845:PGS589888 PQO589845:PQO589888 QAK589845:QAK589888 QKG589845:QKG589888 QUC589845:QUC589888 RDY589845:RDY589888 RNU589845:RNU589888 RXQ589845:RXQ589888 SHM589845:SHM589888 SRI589845:SRI589888 TBE589845:TBE589888 TLA589845:TLA589888 TUW589845:TUW589888 UES589845:UES589888 UOO589845:UOO589888 UYK589845:UYK589888 VIG589845:VIG589888 VSC589845:VSC589888 WBY589845:WBY589888 WLU589845:WLU589888 WVQ589845:WVQ589888 F720917:I720960 JE655381:JE655424 TA655381:TA655424 ACW655381:ACW655424 AMS655381:AMS655424 AWO655381:AWO655424 BGK655381:BGK655424 BQG655381:BQG655424 CAC655381:CAC655424 CJY655381:CJY655424 CTU655381:CTU655424 DDQ655381:DDQ655424 DNM655381:DNM655424 DXI655381:DXI655424 EHE655381:EHE655424 ERA655381:ERA655424 FAW655381:FAW655424 FKS655381:FKS655424 FUO655381:FUO655424 GEK655381:GEK655424 GOG655381:GOG655424 GYC655381:GYC655424 HHY655381:HHY655424 HRU655381:HRU655424 IBQ655381:IBQ655424 ILM655381:ILM655424 IVI655381:IVI655424 JFE655381:JFE655424 JPA655381:JPA655424 JYW655381:JYW655424 KIS655381:KIS655424 KSO655381:KSO655424 LCK655381:LCK655424 LMG655381:LMG655424 LWC655381:LWC655424 MFY655381:MFY655424 MPU655381:MPU655424 MZQ655381:MZQ655424 NJM655381:NJM655424 NTI655381:NTI655424 ODE655381:ODE655424 ONA655381:ONA655424 OWW655381:OWW655424 PGS655381:PGS655424 PQO655381:PQO655424 QAK655381:QAK655424 QKG655381:QKG655424 QUC655381:QUC655424 RDY655381:RDY655424 RNU655381:RNU655424 RXQ655381:RXQ655424 SHM655381:SHM655424 SRI655381:SRI655424 TBE655381:TBE655424 TLA655381:TLA655424 TUW655381:TUW655424 UES655381:UES655424 UOO655381:UOO655424 UYK655381:UYK655424 VIG655381:VIG655424 VSC655381:VSC655424 WBY655381:WBY655424 WLU655381:WLU655424 WVQ655381:WVQ655424 F786453:I786496 JE720917:JE720960 TA720917:TA720960 ACW720917:ACW720960 AMS720917:AMS720960 AWO720917:AWO720960 BGK720917:BGK720960 BQG720917:BQG720960 CAC720917:CAC720960 CJY720917:CJY720960 CTU720917:CTU720960 DDQ720917:DDQ720960 DNM720917:DNM720960 DXI720917:DXI720960 EHE720917:EHE720960 ERA720917:ERA720960 FAW720917:FAW720960 FKS720917:FKS720960 FUO720917:FUO720960 GEK720917:GEK720960 GOG720917:GOG720960 GYC720917:GYC720960 HHY720917:HHY720960 HRU720917:HRU720960 IBQ720917:IBQ720960 ILM720917:ILM720960 IVI720917:IVI720960 JFE720917:JFE720960 JPA720917:JPA720960 JYW720917:JYW720960 KIS720917:KIS720960 KSO720917:KSO720960 LCK720917:LCK720960 LMG720917:LMG720960 LWC720917:LWC720960 MFY720917:MFY720960 MPU720917:MPU720960 MZQ720917:MZQ720960 NJM720917:NJM720960 NTI720917:NTI720960 ODE720917:ODE720960 ONA720917:ONA720960 OWW720917:OWW720960 PGS720917:PGS720960 PQO720917:PQO720960 QAK720917:QAK720960 QKG720917:QKG720960 QUC720917:QUC720960 RDY720917:RDY720960 RNU720917:RNU720960 RXQ720917:RXQ720960 SHM720917:SHM720960 SRI720917:SRI720960 TBE720917:TBE720960 TLA720917:TLA720960 TUW720917:TUW720960 UES720917:UES720960 UOO720917:UOO720960 UYK720917:UYK720960 VIG720917:VIG720960 VSC720917:VSC720960 WBY720917:WBY720960 WLU720917:WLU720960 WVQ720917:WVQ720960 F851989:I852032 JE786453:JE786496 TA786453:TA786496 ACW786453:ACW786496 AMS786453:AMS786496 AWO786453:AWO786496 BGK786453:BGK786496 BQG786453:BQG786496 CAC786453:CAC786496 CJY786453:CJY786496 CTU786453:CTU786496 DDQ786453:DDQ786496 DNM786453:DNM786496 DXI786453:DXI786496 EHE786453:EHE786496 ERA786453:ERA786496 FAW786453:FAW786496 FKS786453:FKS786496 FUO786453:FUO786496 GEK786453:GEK786496 GOG786453:GOG786496 GYC786453:GYC786496 HHY786453:HHY786496 HRU786453:HRU786496 IBQ786453:IBQ786496 ILM786453:ILM786496 IVI786453:IVI786496 JFE786453:JFE786496 JPA786453:JPA786496 JYW786453:JYW786496 KIS786453:KIS786496 KSO786453:KSO786496 LCK786453:LCK786496 LMG786453:LMG786496 LWC786453:LWC786496 MFY786453:MFY786496 MPU786453:MPU786496 MZQ786453:MZQ786496 NJM786453:NJM786496 NTI786453:NTI786496 ODE786453:ODE786496 ONA786453:ONA786496 OWW786453:OWW786496 PGS786453:PGS786496 PQO786453:PQO786496 QAK786453:QAK786496 QKG786453:QKG786496 QUC786453:QUC786496 RDY786453:RDY786496 RNU786453:RNU786496 RXQ786453:RXQ786496 SHM786453:SHM786496 SRI786453:SRI786496 TBE786453:TBE786496 TLA786453:TLA786496 TUW786453:TUW786496 UES786453:UES786496 UOO786453:UOO786496 UYK786453:UYK786496 VIG786453:VIG786496 VSC786453:VSC786496 WBY786453:WBY786496 WLU786453:WLU786496 WVQ786453:WVQ786496 F917525:I917568 JE851989:JE852032 TA851989:TA852032 ACW851989:ACW852032 AMS851989:AMS852032 AWO851989:AWO852032 BGK851989:BGK852032 BQG851989:BQG852032 CAC851989:CAC852032 CJY851989:CJY852032 CTU851989:CTU852032 DDQ851989:DDQ852032 DNM851989:DNM852032 DXI851989:DXI852032 EHE851989:EHE852032 ERA851989:ERA852032 FAW851989:FAW852032 FKS851989:FKS852032 FUO851989:FUO852032 GEK851989:GEK852032 GOG851989:GOG852032 GYC851989:GYC852032 HHY851989:HHY852032 HRU851989:HRU852032 IBQ851989:IBQ852032 ILM851989:ILM852032 IVI851989:IVI852032 JFE851989:JFE852032 JPA851989:JPA852032 JYW851989:JYW852032 KIS851989:KIS852032 KSO851989:KSO852032 LCK851989:LCK852032 LMG851989:LMG852032 LWC851989:LWC852032 MFY851989:MFY852032 MPU851989:MPU852032 MZQ851989:MZQ852032 NJM851989:NJM852032 NTI851989:NTI852032 ODE851989:ODE852032 ONA851989:ONA852032 OWW851989:OWW852032 PGS851989:PGS852032 PQO851989:PQO852032 QAK851989:QAK852032 QKG851989:QKG852032 QUC851989:QUC852032 RDY851989:RDY852032 RNU851989:RNU852032 RXQ851989:RXQ852032 SHM851989:SHM852032 SRI851989:SRI852032 TBE851989:TBE852032 TLA851989:TLA852032 TUW851989:TUW852032 UES851989:UES852032 UOO851989:UOO852032 UYK851989:UYK852032 VIG851989:VIG852032 VSC851989:VSC852032 WBY851989:WBY852032 WLU851989:WLU852032 WVQ851989:WVQ852032 F983061:I983104 JE917525:JE917568 TA917525:TA917568 ACW917525:ACW917568 AMS917525:AMS917568 AWO917525:AWO917568 BGK917525:BGK917568 BQG917525:BQG917568 CAC917525:CAC917568 CJY917525:CJY917568 CTU917525:CTU917568 DDQ917525:DDQ917568 DNM917525:DNM917568 DXI917525:DXI917568 EHE917525:EHE917568 ERA917525:ERA917568 FAW917525:FAW917568 FKS917525:FKS917568 FUO917525:FUO917568 GEK917525:GEK917568 GOG917525:GOG917568 GYC917525:GYC917568 HHY917525:HHY917568 HRU917525:HRU917568 IBQ917525:IBQ917568 ILM917525:ILM917568 IVI917525:IVI917568 JFE917525:JFE917568 JPA917525:JPA917568 JYW917525:JYW917568 KIS917525:KIS917568 KSO917525:KSO917568 LCK917525:LCK917568 LMG917525:LMG917568 LWC917525:LWC917568 MFY917525:MFY917568 MPU917525:MPU917568 MZQ917525:MZQ917568 NJM917525:NJM917568 NTI917525:NTI917568 ODE917525:ODE917568 ONA917525:ONA917568 OWW917525:OWW917568 PGS917525:PGS917568 PQO917525:PQO917568 QAK917525:QAK917568 QKG917525:QKG917568 QUC917525:QUC917568 RDY917525:RDY917568 RNU917525:RNU917568 RXQ917525:RXQ917568 SHM917525:SHM917568 SRI917525:SRI917568 TBE917525:TBE917568 TLA917525:TLA917568 TUW917525:TUW917568 UES917525:UES917568 UOO917525:UOO917568 UYK917525:UYK917568 VIG917525:VIG917568 VSC917525:VSC917568 WBY917525:WBY917568 WLU917525:WLU917568 WVQ917525:WVQ917568 G74:I118 JE983061:JE983104 TA983061:TA983104 ACW983061:ACW983104 AMS983061:AMS983104 AWO983061:AWO983104 BGK983061:BGK983104 BQG983061:BQG983104 CAC983061:CAC983104 CJY983061:CJY983104 CTU983061:CTU983104 DDQ983061:DDQ983104 DNM983061:DNM983104 DXI983061:DXI983104 EHE983061:EHE983104 ERA983061:ERA983104 FAW983061:FAW983104 FKS983061:FKS983104 FUO983061:FUO983104 GEK983061:GEK983104 GOG983061:GOG983104 GYC983061:GYC983104 HHY983061:HHY983104 HRU983061:HRU983104 IBQ983061:IBQ983104 ILM983061:ILM983104 IVI983061:IVI983104 JFE983061:JFE983104 JPA983061:JPA983104 JYW983061:JYW983104 KIS983061:KIS983104 KSO983061:KSO983104 LCK983061:LCK983104 LMG983061:LMG983104 LWC983061:LWC983104 MFY983061:MFY983104 MPU983061:MPU983104 MZQ983061:MZQ983104 NJM983061:NJM983104 NTI983061:NTI983104 ODE983061:ODE983104 ONA983061:ONA983104 OWW983061:OWW983104 PGS983061:PGS983104 PQO983061:PQO983104 QAK983061:QAK983104 QKG983061:QKG983104 QUC983061:QUC983104 RDY983061:RDY983104 RNU983061:RNU983104 RXQ983061:RXQ983104 SHM983061:SHM983104 SRI983061:SRI983104 TBE983061:TBE983104 TLA983061:TLA983104 TUW983061:TUW983104 UES983061:UES983104 UOO983061:UOO983104 UYK983061:UYK983104 VIG983061:VIG983104 VSC983061:VSC983104 WBY983061:WBY983104 WLU983061:WLU983104 WVQ983061:WVQ983104 WVO983061:WVO983104 D65557:D65600 JC65557:JC65600 SY65557:SY65600 ACU65557:ACU65600 AMQ65557:AMQ65600 AWM65557:AWM65600 BGI65557:BGI65600 BQE65557:BQE65600 CAA65557:CAA65600 CJW65557:CJW65600 CTS65557:CTS65600 DDO65557:DDO65600 DNK65557:DNK65600 DXG65557:DXG65600 EHC65557:EHC65600 EQY65557:EQY65600 FAU65557:FAU65600 FKQ65557:FKQ65600 FUM65557:FUM65600 GEI65557:GEI65600 GOE65557:GOE65600 GYA65557:GYA65600 HHW65557:HHW65600 HRS65557:HRS65600 IBO65557:IBO65600 ILK65557:ILK65600 IVG65557:IVG65600 JFC65557:JFC65600 JOY65557:JOY65600 JYU65557:JYU65600 KIQ65557:KIQ65600 KSM65557:KSM65600 LCI65557:LCI65600 LME65557:LME65600 LWA65557:LWA65600 MFW65557:MFW65600 MPS65557:MPS65600 MZO65557:MZO65600 NJK65557:NJK65600 NTG65557:NTG65600 ODC65557:ODC65600 OMY65557:OMY65600 OWU65557:OWU65600 PGQ65557:PGQ65600 PQM65557:PQM65600 QAI65557:QAI65600 QKE65557:QKE65600 QUA65557:QUA65600 RDW65557:RDW65600 RNS65557:RNS65600 RXO65557:RXO65600 SHK65557:SHK65600 SRG65557:SRG65600 TBC65557:TBC65600 TKY65557:TKY65600 TUU65557:TUU65600 UEQ65557:UEQ65600 UOM65557:UOM65600 UYI65557:UYI65600 VIE65557:VIE65600 VSA65557:VSA65600 WBW65557:WBW65600 WLS65557:WLS65600 WVO65557:WVO65600 D131093:D131136 JC131093:JC131136 SY131093:SY131136 ACU131093:ACU131136 AMQ131093:AMQ131136 AWM131093:AWM131136 BGI131093:BGI131136 BQE131093:BQE131136 CAA131093:CAA131136 CJW131093:CJW131136 CTS131093:CTS131136 DDO131093:DDO131136 DNK131093:DNK131136 DXG131093:DXG131136 EHC131093:EHC131136 EQY131093:EQY131136 FAU131093:FAU131136 FKQ131093:FKQ131136 FUM131093:FUM131136 GEI131093:GEI131136 GOE131093:GOE131136 GYA131093:GYA131136 HHW131093:HHW131136 HRS131093:HRS131136 IBO131093:IBO131136 ILK131093:ILK131136 IVG131093:IVG131136 JFC131093:JFC131136 JOY131093:JOY131136 JYU131093:JYU131136 KIQ131093:KIQ131136 KSM131093:KSM131136 LCI131093:LCI131136 LME131093:LME131136 LWA131093:LWA131136 MFW131093:MFW131136 MPS131093:MPS131136 MZO131093:MZO131136 NJK131093:NJK131136 NTG131093:NTG131136 ODC131093:ODC131136 OMY131093:OMY131136 OWU131093:OWU131136 PGQ131093:PGQ131136 PQM131093:PQM131136 QAI131093:QAI131136 QKE131093:QKE131136 QUA131093:QUA131136 RDW131093:RDW131136 RNS131093:RNS131136 RXO131093:RXO131136 SHK131093:SHK131136 SRG131093:SRG131136 TBC131093:TBC131136 TKY131093:TKY131136 TUU131093:TUU131136 UEQ131093:UEQ131136 UOM131093:UOM131136 UYI131093:UYI131136 VIE131093:VIE131136 VSA131093:VSA131136 WBW131093:WBW131136 WLS131093:WLS131136 WVO131093:WVO131136 D196629:D196672 JC196629:JC196672 SY196629:SY196672 ACU196629:ACU196672 AMQ196629:AMQ196672 AWM196629:AWM196672 BGI196629:BGI196672 BQE196629:BQE196672 CAA196629:CAA196672 CJW196629:CJW196672 CTS196629:CTS196672 DDO196629:DDO196672 DNK196629:DNK196672 DXG196629:DXG196672 EHC196629:EHC196672 EQY196629:EQY196672 FAU196629:FAU196672 FKQ196629:FKQ196672 FUM196629:FUM196672 GEI196629:GEI196672 GOE196629:GOE196672 GYA196629:GYA196672 HHW196629:HHW196672 HRS196629:HRS196672 IBO196629:IBO196672 ILK196629:ILK196672 IVG196629:IVG196672 JFC196629:JFC196672 JOY196629:JOY196672 JYU196629:JYU196672 KIQ196629:KIQ196672 KSM196629:KSM196672 LCI196629:LCI196672 LME196629:LME196672 LWA196629:LWA196672 MFW196629:MFW196672 MPS196629:MPS196672 MZO196629:MZO196672 NJK196629:NJK196672 NTG196629:NTG196672 ODC196629:ODC196672 OMY196629:OMY196672 OWU196629:OWU196672 PGQ196629:PGQ196672 PQM196629:PQM196672 QAI196629:QAI196672 QKE196629:QKE196672 QUA196629:QUA196672 RDW196629:RDW196672 RNS196629:RNS196672 RXO196629:RXO196672 SHK196629:SHK196672 SRG196629:SRG196672 TBC196629:TBC196672 TKY196629:TKY196672 TUU196629:TUU196672 UEQ196629:UEQ196672 UOM196629:UOM196672 UYI196629:UYI196672 VIE196629:VIE196672 VSA196629:VSA196672 WBW196629:WBW196672 WLS196629:WLS196672 WVO196629:WVO196672 D262165:D262208 JC262165:JC262208 SY262165:SY262208 ACU262165:ACU262208 AMQ262165:AMQ262208 AWM262165:AWM262208 BGI262165:BGI262208 BQE262165:BQE262208 CAA262165:CAA262208 CJW262165:CJW262208 CTS262165:CTS262208 DDO262165:DDO262208 DNK262165:DNK262208 DXG262165:DXG262208 EHC262165:EHC262208 EQY262165:EQY262208 FAU262165:FAU262208 FKQ262165:FKQ262208 FUM262165:FUM262208 GEI262165:GEI262208 GOE262165:GOE262208 GYA262165:GYA262208 HHW262165:HHW262208 HRS262165:HRS262208 IBO262165:IBO262208 ILK262165:ILK262208 IVG262165:IVG262208 JFC262165:JFC262208 JOY262165:JOY262208 JYU262165:JYU262208 KIQ262165:KIQ262208 KSM262165:KSM262208 LCI262165:LCI262208 LME262165:LME262208 LWA262165:LWA262208 MFW262165:MFW262208 MPS262165:MPS262208 MZO262165:MZO262208 NJK262165:NJK262208 NTG262165:NTG262208 ODC262165:ODC262208 OMY262165:OMY262208 OWU262165:OWU262208 PGQ262165:PGQ262208 PQM262165:PQM262208 QAI262165:QAI262208 QKE262165:QKE262208 QUA262165:QUA262208 RDW262165:RDW262208 RNS262165:RNS262208 RXO262165:RXO262208 SHK262165:SHK262208 SRG262165:SRG262208 TBC262165:TBC262208 TKY262165:TKY262208 TUU262165:TUU262208 UEQ262165:UEQ262208 UOM262165:UOM262208 UYI262165:UYI262208 VIE262165:VIE262208 VSA262165:VSA262208 WBW262165:WBW262208 WLS262165:WLS262208 WVO262165:WVO262208 D327701:D327744 JC327701:JC327744 SY327701:SY327744 ACU327701:ACU327744 AMQ327701:AMQ327744 AWM327701:AWM327744 BGI327701:BGI327744 BQE327701:BQE327744 CAA327701:CAA327744 CJW327701:CJW327744 CTS327701:CTS327744 DDO327701:DDO327744 DNK327701:DNK327744 DXG327701:DXG327744 EHC327701:EHC327744 EQY327701:EQY327744 FAU327701:FAU327744 FKQ327701:FKQ327744 FUM327701:FUM327744 GEI327701:GEI327744 GOE327701:GOE327744 GYA327701:GYA327744 HHW327701:HHW327744 HRS327701:HRS327744 IBO327701:IBO327744 ILK327701:ILK327744 IVG327701:IVG327744 JFC327701:JFC327744 JOY327701:JOY327744 JYU327701:JYU327744 KIQ327701:KIQ327744 KSM327701:KSM327744 LCI327701:LCI327744 LME327701:LME327744 LWA327701:LWA327744 MFW327701:MFW327744 MPS327701:MPS327744 MZO327701:MZO327744 NJK327701:NJK327744 NTG327701:NTG327744 ODC327701:ODC327744 OMY327701:OMY327744 OWU327701:OWU327744 PGQ327701:PGQ327744 PQM327701:PQM327744 QAI327701:QAI327744 QKE327701:QKE327744 QUA327701:QUA327744 RDW327701:RDW327744 RNS327701:RNS327744 RXO327701:RXO327744 SHK327701:SHK327744 SRG327701:SRG327744 TBC327701:TBC327744 TKY327701:TKY327744 TUU327701:TUU327744 UEQ327701:UEQ327744 UOM327701:UOM327744 UYI327701:UYI327744 VIE327701:VIE327744 VSA327701:VSA327744 WBW327701:WBW327744 WLS327701:WLS327744 WVO327701:WVO327744 D393237:D393280 JC393237:JC393280 SY393237:SY393280 ACU393237:ACU393280 AMQ393237:AMQ393280 AWM393237:AWM393280 BGI393237:BGI393280 BQE393237:BQE393280 CAA393237:CAA393280 CJW393237:CJW393280 CTS393237:CTS393280 DDO393237:DDO393280 DNK393237:DNK393280 DXG393237:DXG393280 EHC393237:EHC393280 EQY393237:EQY393280 FAU393237:FAU393280 FKQ393237:FKQ393280 FUM393237:FUM393280 GEI393237:GEI393280 GOE393237:GOE393280 GYA393237:GYA393280 HHW393237:HHW393280 HRS393237:HRS393280 IBO393237:IBO393280 ILK393237:ILK393280 IVG393237:IVG393280 JFC393237:JFC393280 JOY393237:JOY393280 JYU393237:JYU393280 KIQ393237:KIQ393280 KSM393237:KSM393280 LCI393237:LCI393280 LME393237:LME393280 LWA393237:LWA393280 MFW393237:MFW393280 MPS393237:MPS393280 MZO393237:MZO393280 NJK393237:NJK393280 NTG393237:NTG393280 ODC393237:ODC393280 OMY393237:OMY393280 OWU393237:OWU393280 PGQ393237:PGQ393280 PQM393237:PQM393280 QAI393237:QAI393280 QKE393237:QKE393280 QUA393237:QUA393280 RDW393237:RDW393280 RNS393237:RNS393280 RXO393237:RXO393280 SHK393237:SHK393280 SRG393237:SRG393280 TBC393237:TBC393280 TKY393237:TKY393280 TUU393237:TUU393280 UEQ393237:UEQ393280 UOM393237:UOM393280 UYI393237:UYI393280 VIE393237:VIE393280 VSA393237:VSA393280 WBW393237:WBW393280 WLS393237:WLS393280 WVO393237:WVO393280 D458773:D458816 JC458773:JC458816 SY458773:SY458816 ACU458773:ACU458816 AMQ458773:AMQ458816 AWM458773:AWM458816 BGI458773:BGI458816 BQE458773:BQE458816 CAA458773:CAA458816 CJW458773:CJW458816 CTS458773:CTS458816 DDO458773:DDO458816 DNK458773:DNK458816 DXG458773:DXG458816 EHC458773:EHC458816 EQY458773:EQY458816 FAU458773:FAU458816 FKQ458773:FKQ458816 FUM458773:FUM458816 GEI458773:GEI458816 GOE458773:GOE458816 GYA458773:GYA458816 HHW458773:HHW458816 HRS458773:HRS458816 IBO458773:IBO458816 ILK458773:ILK458816 IVG458773:IVG458816 JFC458773:JFC458816 JOY458773:JOY458816 JYU458773:JYU458816 KIQ458773:KIQ458816 KSM458773:KSM458816 LCI458773:LCI458816 LME458773:LME458816 LWA458773:LWA458816 MFW458773:MFW458816 MPS458773:MPS458816 MZO458773:MZO458816 NJK458773:NJK458816 NTG458773:NTG458816 ODC458773:ODC458816 OMY458773:OMY458816 OWU458773:OWU458816 PGQ458773:PGQ458816 PQM458773:PQM458816 QAI458773:QAI458816 QKE458773:QKE458816 QUA458773:QUA458816 RDW458773:RDW458816 RNS458773:RNS458816 RXO458773:RXO458816 SHK458773:SHK458816 SRG458773:SRG458816 TBC458773:TBC458816 TKY458773:TKY458816 TUU458773:TUU458816 UEQ458773:UEQ458816 UOM458773:UOM458816 UYI458773:UYI458816 VIE458773:VIE458816 VSA458773:VSA458816 WBW458773:WBW458816 WLS458773:WLS458816 WVO458773:WVO458816 D524309:D524352 JC524309:JC524352 SY524309:SY524352 ACU524309:ACU524352 AMQ524309:AMQ524352 AWM524309:AWM524352 BGI524309:BGI524352 BQE524309:BQE524352 CAA524309:CAA524352 CJW524309:CJW524352 CTS524309:CTS524352 DDO524309:DDO524352 DNK524309:DNK524352 DXG524309:DXG524352 EHC524309:EHC524352 EQY524309:EQY524352 FAU524309:FAU524352 FKQ524309:FKQ524352 FUM524309:FUM524352 GEI524309:GEI524352 GOE524309:GOE524352 GYA524309:GYA524352 HHW524309:HHW524352 HRS524309:HRS524352 IBO524309:IBO524352 ILK524309:ILK524352 IVG524309:IVG524352 JFC524309:JFC524352 JOY524309:JOY524352 JYU524309:JYU524352 KIQ524309:KIQ524352 KSM524309:KSM524352 LCI524309:LCI524352 LME524309:LME524352 LWA524309:LWA524352 MFW524309:MFW524352 MPS524309:MPS524352 MZO524309:MZO524352 NJK524309:NJK524352 NTG524309:NTG524352 ODC524309:ODC524352 OMY524309:OMY524352 OWU524309:OWU524352 PGQ524309:PGQ524352 PQM524309:PQM524352 QAI524309:QAI524352 QKE524309:QKE524352 QUA524309:QUA524352 RDW524309:RDW524352 RNS524309:RNS524352 RXO524309:RXO524352 SHK524309:SHK524352 SRG524309:SRG524352 TBC524309:TBC524352 TKY524309:TKY524352 TUU524309:TUU524352 UEQ524309:UEQ524352 UOM524309:UOM524352 UYI524309:UYI524352 VIE524309:VIE524352 VSA524309:VSA524352 WBW524309:WBW524352 WLS524309:WLS524352 WVO524309:WVO524352 D589845:D589888 JC589845:JC589888 SY589845:SY589888 ACU589845:ACU589888 AMQ589845:AMQ589888 AWM589845:AWM589888 BGI589845:BGI589888 BQE589845:BQE589888 CAA589845:CAA589888 CJW589845:CJW589888 CTS589845:CTS589888 DDO589845:DDO589888 DNK589845:DNK589888 DXG589845:DXG589888 EHC589845:EHC589888 EQY589845:EQY589888 FAU589845:FAU589888 FKQ589845:FKQ589888 FUM589845:FUM589888 GEI589845:GEI589888 GOE589845:GOE589888 GYA589845:GYA589888 HHW589845:HHW589888 HRS589845:HRS589888 IBO589845:IBO589888 ILK589845:ILK589888 IVG589845:IVG589888 JFC589845:JFC589888 JOY589845:JOY589888 JYU589845:JYU589888 KIQ589845:KIQ589888 KSM589845:KSM589888 LCI589845:LCI589888 LME589845:LME589888 LWA589845:LWA589888 MFW589845:MFW589888 MPS589845:MPS589888 MZO589845:MZO589888 NJK589845:NJK589888 NTG589845:NTG589888 ODC589845:ODC589888 OMY589845:OMY589888 OWU589845:OWU589888 PGQ589845:PGQ589888 PQM589845:PQM589888 QAI589845:QAI589888 QKE589845:QKE589888 QUA589845:QUA589888 RDW589845:RDW589888 RNS589845:RNS589888 RXO589845:RXO589888 SHK589845:SHK589888 SRG589845:SRG589888 TBC589845:TBC589888 TKY589845:TKY589888 TUU589845:TUU589888 UEQ589845:UEQ589888 UOM589845:UOM589888 UYI589845:UYI589888 VIE589845:VIE589888 VSA589845:VSA589888 WBW589845:WBW589888 WLS589845:WLS589888 WVO589845:WVO589888 D655381:D655424 JC655381:JC655424 SY655381:SY655424 ACU655381:ACU655424 AMQ655381:AMQ655424 AWM655381:AWM655424 BGI655381:BGI655424 BQE655381:BQE655424 CAA655381:CAA655424 CJW655381:CJW655424 CTS655381:CTS655424 DDO655381:DDO655424 DNK655381:DNK655424 DXG655381:DXG655424 EHC655381:EHC655424 EQY655381:EQY655424 FAU655381:FAU655424 FKQ655381:FKQ655424 FUM655381:FUM655424 GEI655381:GEI655424 GOE655381:GOE655424 GYA655381:GYA655424 HHW655381:HHW655424 HRS655381:HRS655424 IBO655381:IBO655424 ILK655381:ILK655424 IVG655381:IVG655424 JFC655381:JFC655424 JOY655381:JOY655424 JYU655381:JYU655424 KIQ655381:KIQ655424 KSM655381:KSM655424 LCI655381:LCI655424 LME655381:LME655424 LWA655381:LWA655424 MFW655381:MFW655424 MPS655381:MPS655424 MZO655381:MZO655424 NJK655381:NJK655424 NTG655381:NTG655424 ODC655381:ODC655424 OMY655381:OMY655424 OWU655381:OWU655424 PGQ655381:PGQ655424 PQM655381:PQM655424 QAI655381:QAI655424 QKE655381:QKE655424 QUA655381:QUA655424 RDW655381:RDW655424 RNS655381:RNS655424 RXO655381:RXO655424 SHK655381:SHK655424 SRG655381:SRG655424 TBC655381:TBC655424 TKY655381:TKY655424 TUU655381:TUU655424 UEQ655381:UEQ655424 UOM655381:UOM655424 UYI655381:UYI655424 VIE655381:VIE655424 VSA655381:VSA655424 WBW655381:WBW655424 WLS655381:WLS655424 WVO655381:WVO655424 D720917:D720960 JC720917:JC720960 SY720917:SY720960 ACU720917:ACU720960 AMQ720917:AMQ720960 AWM720917:AWM720960 BGI720917:BGI720960 BQE720917:BQE720960 CAA720917:CAA720960 CJW720917:CJW720960 CTS720917:CTS720960 DDO720917:DDO720960 DNK720917:DNK720960 DXG720917:DXG720960 EHC720917:EHC720960 EQY720917:EQY720960 FAU720917:FAU720960 FKQ720917:FKQ720960 FUM720917:FUM720960 GEI720917:GEI720960 GOE720917:GOE720960 GYA720917:GYA720960 HHW720917:HHW720960 HRS720917:HRS720960 IBO720917:IBO720960 ILK720917:ILK720960 IVG720917:IVG720960 JFC720917:JFC720960 JOY720917:JOY720960 JYU720917:JYU720960 KIQ720917:KIQ720960 KSM720917:KSM720960 LCI720917:LCI720960 LME720917:LME720960 LWA720917:LWA720960 MFW720917:MFW720960 MPS720917:MPS720960 MZO720917:MZO720960 NJK720917:NJK720960 NTG720917:NTG720960 ODC720917:ODC720960 OMY720917:OMY720960 OWU720917:OWU720960 PGQ720917:PGQ720960 PQM720917:PQM720960 QAI720917:QAI720960 QKE720917:QKE720960 QUA720917:QUA720960 RDW720917:RDW720960 RNS720917:RNS720960 RXO720917:RXO720960 SHK720917:SHK720960 SRG720917:SRG720960 TBC720917:TBC720960 TKY720917:TKY720960 TUU720917:TUU720960 UEQ720917:UEQ720960 UOM720917:UOM720960 UYI720917:UYI720960 VIE720917:VIE720960 VSA720917:VSA720960 WBW720917:WBW720960 WLS720917:WLS720960 WVO720917:WVO720960 D786453:D786496 JC786453:JC786496 SY786453:SY786496 ACU786453:ACU786496 AMQ786453:AMQ786496 AWM786453:AWM786496 BGI786453:BGI786496 BQE786453:BQE786496 CAA786453:CAA786496 CJW786453:CJW786496 CTS786453:CTS786496 DDO786453:DDO786496 DNK786453:DNK786496 DXG786453:DXG786496 EHC786453:EHC786496 EQY786453:EQY786496 FAU786453:FAU786496 FKQ786453:FKQ786496 FUM786453:FUM786496 GEI786453:GEI786496 GOE786453:GOE786496 GYA786453:GYA786496 HHW786453:HHW786496 HRS786453:HRS786496 IBO786453:IBO786496 ILK786453:ILK786496 IVG786453:IVG786496 JFC786453:JFC786496 JOY786453:JOY786496 JYU786453:JYU786496 KIQ786453:KIQ786496 KSM786453:KSM786496 LCI786453:LCI786496 LME786453:LME786496 LWA786453:LWA786496 MFW786453:MFW786496 MPS786453:MPS786496 MZO786453:MZO786496 NJK786453:NJK786496 NTG786453:NTG786496 ODC786453:ODC786496 OMY786453:OMY786496 OWU786453:OWU786496 PGQ786453:PGQ786496 PQM786453:PQM786496 QAI786453:QAI786496 QKE786453:QKE786496 QUA786453:QUA786496 RDW786453:RDW786496 RNS786453:RNS786496 RXO786453:RXO786496 SHK786453:SHK786496 SRG786453:SRG786496 TBC786453:TBC786496 TKY786453:TKY786496 TUU786453:TUU786496 UEQ786453:UEQ786496 UOM786453:UOM786496 UYI786453:UYI786496 VIE786453:VIE786496 VSA786453:VSA786496 WBW786453:WBW786496 WLS786453:WLS786496 WVO786453:WVO786496 D851989:D852032 JC851989:JC852032 SY851989:SY852032 ACU851989:ACU852032 AMQ851989:AMQ852032 AWM851989:AWM852032 BGI851989:BGI852032 BQE851989:BQE852032 CAA851989:CAA852032 CJW851989:CJW852032 CTS851989:CTS852032 DDO851989:DDO852032 DNK851989:DNK852032 DXG851989:DXG852032 EHC851989:EHC852032 EQY851989:EQY852032 FAU851989:FAU852032 FKQ851989:FKQ852032 FUM851989:FUM852032 GEI851989:GEI852032 GOE851989:GOE852032 GYA851989:GYA852032 HHW851989:HHW852032 HRS851989:HRS852032 IBO851989:IBO852032 ILK851989:ILK852032 IVG851989:IVG852032 JFC851989:JFC852032 JOY851989:JOY852032 JYU851989:JYU852032 KIQ851989:KIQ852032 KSM851989:KSM852032 LCI851989:LCI852032 LME851989:LME852032 LWA851989:LWA852032 MFW851989:MFW852032 MPS851989:MPS852032 MZO851989:MZO852032 NJK851989:NJK852032 NTG851989:NTG852032 ODC851989:ODC852032 OMY851989:OMY852032 OWU851989:OWU852032 PGQ851989:PGQ852032 PQM851989:PQM852032 QAI851989:QAI852032 QKE851989:QKE852032 QUA851989:QUA852032 RDW851989:RDW852032 RNS851989:RNS852032 RXO851989:RXO852032 SHK851989:SHK852032 SRG851989:SRG852032 TBC851989:TBC852032 TKY851989:TKY852032 TUU851989:TUU852032 UEQ851989:UEQ852032 UOM851989:UOM852032 UYI851989:UYI852032 VIE851989:VIE852032 VSA851989:VSA852032 WBW851989:WBW852032 WLS851989:WLS852032 WVO851989:WVO852032 D917525:D917568 JC917525:JC917568 SY917525:SY917568 ACU917525:ACU917568 AMQ917525:AMQ917568 AWM917525:AWM917568 BGI917525:BGI917568 BQE917525:BQE917568 CAA917525:CAA917568 CJW917525:CJW917568 CTS917525:CTS917568 DDO917525:DDO917568 DNK917525:DNK917568 DXG917525:DXG917568 EHC917525:EHC917568 EQY917525:EQY917568 FAU917525:FAU917568 FKQ917525:FKQ917568 FUM917525:FUM917568 GEI917525:GEI917568 GOE917525:GOE917568 GYA917525:GYA917568 HHW917525:HHW917568 HRS917525:HRS917568 IBO917525:IBO917568 ILK917525:ILK917568 IVG917525:IVG917568 JFC917525:JFC917568 JOY917525:JOY917568 JYU917525:JYU917568 KIQ917525:KIQ917568 KSM917525:KSM917568 LCI917525:LCI917568 LME917525:LME917568 LWA917525:LWA917568 MFW917525:MFW917568 MPS917525:MPS917568 MZO917525:MZO917568 NJK917525:NJK917568 NTG917525:NTG917568 ODC917525:ODC917568 OMY917525:OMY917568 OWU917525:OWU917568 PGQ917525:PGQ917568 PQM917525:PQM917568 QAI917525:QAI917568 QKE917525:QKE917568 QUA917525:QUA917568 RDW917525:RDW917568 RNS917525:RNS917568 RXO917525:RXO917568 SHK917525:SHK917568 SRG917525:SRG917568 TBC917525:TBC917568 TKY917525:TKY917568 TUU917525:TUU917568 UEQ917525:UEQ917568 UOM917525:UOM917568 UYI917525:UYI917568 VIE917525:VIE917568 VSA917525:VSA917568 WBW917525:WBW917568 WLS917525:WLS917568 WVO917525:WVO917568 D983061:D983104 JC983061:JC983104 SY983061:SY983104 ACU983061:ACU983104 AMQ983061:AMQ983104 AWM983061:AWM983104 BGI983061:BGI983104 BQE983061:BQE983104 CAA983061:CAA983104 CJW983061:CJW983104 CTS983061:CTS983104 DDO983061:DDO983104 DNK983061:DNK983104 DXG983061:DXG983104 EHC983061:EHC983104 EQY983061:EQY983104 FAU983061:FAU983104 FKQ983061:FKQ983104 FUM983061:FUM983104 GEI983061:GEI983104 GOE983061:GOE983104 GYA983061:GYA983104 HHW983061:HHW983104 HRS983061:HRS983104 IBO983061:IBO983104 ILK983061:ILK983104 IVG983061:IVG983104 JFC983061:JFC983104 JOY983061:JOY983104 JYU983061:JYU983104 KIQ983061:KIQ983104 KSM983061:KSM983104 LCI983061:LCI983104 LME983061:LME983104 LWA983061:LWA983104 MFW983061:MFW983104 MPS983061:MPS983104 MZO983061:MZO983104 NJK983061:NJK983104 NTG983061:NTG983104 ODC983061:ODC983104 OMY983061:OMY983104 OWU983061:OWU983104 PGQ983061:PGQ983104 PQM983061:PQM983104 QAI983061:QAI983104 QKE983061:QKE983104 QUA983061:QUA983104 RDW983061:RDW983104 RNS983061:RNS983104 RXO983061:RXO983104 SHK983061:SHK983104 SRG983061:SRG983104 TBC983061:TBC983104 TKY983061:TKY983104 TUU983061:TUU983104 UEQ983061:UEQ983104 UOM983061:UOM983104 UYI983061:UYI983104 VIE983061:VIE983104 VSA983061:VSA983104 WBW983061:WBW983104 WLS983061:WLS983104 WVO20:WVO64 WLS20:WLS64 WBW20:WBW64 VSA20:VSA64 VIE20:VIE64 UYI20:UYI64 UOM20:UOM64 UEQ20:UEQ64 TUU20:TUU64 TKY20:TKY64 TBC20:TBC64 SRG20:SRG64 SHK20:SHK64 RXO20:RXO64 RNS20:RNS64 RDW20:RDW64 QUA20:QUA64 QKE20:QKE64 QAI20:QAI64 PQM20:PQM64 PGQ20:PGQ64 OWU20:OWU64 OMY20:OMY64 ODC20:ODC64 NTG20:NTG64 NJK20:NJK64 MZO20:MZO64 MPS20:MPS64 MFW20:MFW64 LWA20:LWA64 LME20:LME64 LCI20:LCI64 KSM20:KSM64 KIQ20:KIQ64 JYU20:JYU64 JOY20:JOY64 JFC20:JFC64 IVG20:IVG64 ILK20:ILK64 IBO20:IBO64 HRS20:HRS64 HHW20:HHW64 GYA20:GYA64 GOE20:GOE64 GEI20:GEI64 FUM20:FUM64 FKQ20:FKQ64 FAU20:FAU64 EQY20:EQY64 EHC20:EHC64 DXG20:DXG64 DNK20:DNK64 DDO20:DDO64 CTS20:CTS64 CJW20:CJW64 CAA20:CAA64 BQE20:BQE64 BGI20:BGI64 AWM20:AWM64 AMQ20:AMQ64 ACU20:ACU64 SY20:SY64 JC20:JC64 WVQ20:WVQ64 WLU20:WLU64 WBY20:WBY64 VSC20:VSC64 VIG20:VIG64 UYK20:UYK64 UOO20:UOO64 UES20:UES64 TUW20:TUW64 TLA20:TLA64 TBE20:TBE64 SRI20:SRI64 SHM20:SHM64 RXQ20:RXQ64 RNU20:RNU64 RDY20:RDY64 QUC20:QUC64 QKG20:QKG64 QAK20:QAK64 PQO20:PQO64 PGS20:PGS64 OWW20:OWW64 ONA20:ONA64 ODE20:ODE64 NTI20:NTI64 NJM20:NJM64 MZQ20:MZQ64 MPU20:MPU64 MFY20:MFY64 LWC20:LWC64 LMG20:LMG64 LCK20:LCK64 KSO20:KSO64 KIS20:KIS64 JYW20:JYW64 JPA20:JPA64 JFE20:JFE64 IVI20:IVI64 ILM20:ILM64 IBQ20:IBQ64 HRU20:HRU64 HHY20:HHY64 GYC20:GYC64 GOG20:GOG64 GEK20:GEK64 FUO20:FUO64 FKS20:FKS64 FAW20:FAW64 ERA20:ERA64 EHE20:EHE64 DXI20:DXI64 DNM20:DNM64 DDQ20:DDQ64 CTU20:CTU64 CJY20:CJY64 CAC20:CAC64 BQG20:BQG64 BGK20:BGK64 AWO20:AWO64 AMS20:AMS64 ACW20:ACW64 TA20:TA64 JE20:JE64 D20:D64 G20:I64 WVO74:WVO118 WLS74:WLS118 WBW74:WBW118 VSA74:VSA118 VIE74:VIE118 UYI74:UYI118 UOM74:UOM118 UEQ74:UEQ118 TUU74:TUU118 TKY74:TKY118 TBC74:TBC118 SRG74:SRG118 SHK74:SHK118 RXO74:RXO118 RNS74:RNS118 RDW74:RDW118 QUA74:QUA118 QKE74:QKE118 QAI74:QAI118 PQM74:PQM118 PGQ74:PGQ118 OWU74:OWU118 OMY74:OMY118 ODC74:ODC118 NTG74:NTG118 NJK74:NJK118 MZO74:MZO118 MPS74:MPS118 MFW74:MFW118 LWA74:LWA118 LME74:LME118 LCI74:LCI118 KSM74:KSM118 KIQ74:KIQ118 JYU74:JYU118 JOY74:JOY118 JFC74:JFC118 IVG74:IVG118 ILK74:ILK118 IBO74:IBO118 HRS74:HRS118 HHW74:HHW118 GYA74:GYA118 GOE74:GOE118 GEI74:GEI118 FUM74:FUM118 FKQ74:FKQ118 FAU74:FAU118 EQY74:EQY118 EHC74:EHC118 DXG74:DXG118 DNK74:DNK118 DDO74:DDO118 CTS74:CTS118 CJW74:CJW118 CAA74:CAA118 BQE74:BQE118 BGI74:BGI118 AWM74:AWM118 AMQ74:AMQ118 ACU74:ACU118 SY74:SY118 JC74:JC118 WVQ74:WVQ118 WLU74:WLU118 WBY74:WBY118 VSC74:VSC118 VIG74:VIG118 UYK74:UYK118 UOO74:UOO118 UES74:UES118 TUW74:TUW118 TLA74:TLA118 TBE74:TBE118 SRI74:SRI118 SHM74:SHM118 RXQ74:RXQ118 RNU74:RNU118 RDY74:RDY118 QUC74:QUC118 QKG74:QKG118 QAK74:QAK118 PQO74:PQO118 PGS74:PGS118 OWW74:OWW118 ONA74:ONA118 ODE74:ODE118 NTI74:NTI118 NJM74:NJM118 MZQ74:MZQ118 MPU74:MPU118 MFY74:MFY118 LWC74:LWC118 LMG74:LMG118 LCK74:LCK118 KSO74:KSO118 KIS74:KIS118 JYW74:JYW118 JPA74:JPA118 JFE74:JFE118 IVI74:IVI118 ILM74:ILM118 IBQ74:IBQ118 HRU74:HRU118 HHY74:HHY118 GYC74:GYC118 GOG74:GOG118 GEK74:GEK118 FUO74:FUO118 FKS74:FKS118 FAW74:FAW118 ERA74:ERA118 EHE74:EHE118 DXI74:DXI118 DNM74:DNM118 DDQ74:DDQ118 CTU74:CTU118 CJY74:CJY118 CAC74:CAC118 BQG74:BQG118 BGK74:BGK118 AWO74:AWO118 AMS74:AMS118 ACW74:ACW118 TA74:TA118 JE74:JE118 D74:D118 F65557:I65600" xr:uid="{BA5731D9-F709-419A-88FE-90C700FEBA4B}">
      <formula1>0</formula1>
    </dataValidation>
  </dataValidations>
  <pageMargins left="0.74803149606299213" right="0.74803149606299213" top="0.98425196850393704" bottom="0.98425196850393704" header="0.51181102362204722" footer="0.51181102362204722"/>
  <pageSetup paperSize="8" scale="75" fitToWidth="3" fitToHeight="3"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5ED2B17C-FC90-4F68-8C19-F89561C0D8A7}">
            <xm:f>TITELBLAD!$F$16="ex-ante"</xm:f>
            <x14:dxf>
              <fill>
                <patternFill patternType="lightUp"/>
              </fill>
            </x14:dxf>
          </x14:cfRule>
          <xm:sqref>A71:J121</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91137-24E3-4B51-953F-8829F46D74E4}">
  <dimension ref="A1:AC121"/>
  <sheetViews>
    <sheetView topLeftCell="B1" zoomScale="80" zoomScaleNormal="80" workbookViewId="0">
      <selection activeCell="H15" sqref="H15"/>
    </sheetView>
  </sheetViews>
  <sheetFormatPr defaultColWidth="9.140625" defaultRowHeight="12.75" x14ac:dyDescent="0.2"/>
  <cols>
    <col min="1" max="1" width="51.42578125" style="167" customWidth="1"/>
    <col min="2" max="2" width="26.5703125" style="167" customWidth="1"/>
    <col min="3" max="7" width="31" style="167" customWidth="1"/>
    <col min="8" max="9" width="31" style="1130" customWidth="1"/>
    <col min="10" max="10" width="31" style="167" customWidth="1"/>
    <col min="11" max="11" width="8.85546875" style="167" customWidth="1"/>
    <col min="12" max="53" width="9.140625" style="167" customWidth="1"/>
    <col min="54" max="259" width="9.140625" style="167"/>
    <col min="260" max="260" width="51.42578125" style="167" customWidth="1"/>
    <col min="261" max="261" width="26.5703125" style="167" customWidth="1"/>
    <col min="262" max="266" width="31" style="167" customWidth="1"/>
    <col min="267" max="267" width="8.85546875" style="167" customWidth="1"/>
    <col min="268" max="515" width="9.140625" style="167"/>
    <col min="516" max="516" width="51.42578125" style="167" customWidth="1"/>
    <col min="517" max="517" width="26.5703125" style="167" customWidth="1"/>
    <col min="518" max="522" width="31" style="167" customWidth="1"/>
    <col min="523" max="523" width="8.85546875" style="167" customWidth="1"/>
    <col min="524" max="771" width="9.140625" style="167"/>
    <col min="772" max="772" width="51.42578125" style="167" customWidth="1"/>
    <col min="773" max="773" width="26.5703125" style="167" customWidth="1"/>
    <col min="774" max="778" width="31" style="167" customWidth="1"/>
    <col min="779" max="779" width="8.85546875" style="167" customWidth="1"/>
    <col min="780" max="1027" width="9.140625" style="167"/>
    <col min="1028" max="1028" width="51.42578125" style="167" customWidth="1"/>
    <col min="1029" max="1029" width="26.5703125" style="167" customWidth="1"/>
    <col min="1030" max="1034" width="31" style="167" customWidth="1"/>
    <col min="1035" max="1035" width="8.85546875" style="167" customWidth="1"/>
    <col min="1036" max="1283" width="9.140625" style="167"/>
    <col min="1284" max="1284" width="51.42578125" style="167" customWidth="1"/>
    <col min="1285" max="1285" width="26.5703125" style="167" customWidth="1"/>
    <col min="1286" max="1290" width="31" style="167" customWidth="1"/>
    <col min="1291" max="1291" width="8.85546875" style="167" customWidth="1"/>
    <col min="1292" max="1539" width="9.140625" style="167"/>
    <col min="1540" max="1540" width="51.42578125" style="167" customWidth="1"/>
    <col min="1541" max="1541" width="26.5703125" style="167" customWidth="1"/>
    <col min="1542" max="1546" width="31" style="167" customWidth="1"/>
    <col min="1547" max="1547" width="8.85546875" style="167" customWidth="1"/>
    <col min="1548" max="1795" width="9.140625" style="167"/>
    <col min="1796" max="1796" width="51.42578125" style="167" customWidth="1"/>
    <col min="1797" max="1797" width="26.5703125" style="167" customWidth="1"/>
    <col min="1798" max="1802" width="31" style="167" customWidth="1"/>
    <col min="1803" max="1803" width="8.85546875" style="167" customWidth="1"/>
    <col min="1804" max="2051" width="9.140625" style="167"/>
    <col min="2052" max="2052" width="51.42578125" style="167" customWidth="1"/>
    <col min="2053" max="2053" width="26.5703125" style="167" customWidth="1"/>
    <col min="2054" max="2058" width="31" style="167" customWidth="1"/>
    <col min="2059" max="2059" width="8.85546875" style="167" customWidth="1"/>
    <col min="2060" max="2307" width="9.140625" style="167"/>
    <col min="2308" max="2308" width="51.42578125" style="167" customWidth="1"/>
    <col min="2309" max="2309" width="26.5703125" style="167" customWidth="1"/>
    <col min="2310" max="2314" width="31" style="167" customWidth="1"/>
    <col min="2315" max="2315" width="8.85546875" style="167" customWidth="1"/>
    <col min="2316" max="2563" width="9.140625" style="167"/>
    <col min="2564" max="2564" width="51.42578125" style="167" customWidth="1"/>
    <col min="2565" max="2565" width="26.5703125" style="167" customWidth="1"/>
    <col min="2566" max="2570" width="31" style="167" customWidth="1"/>
    <col min="2571" max="2571" width="8.85546875" style="167" customWidth="1"/>
    <col min="2572" max="2819" width="9.140625" style="167"/>
    <col min="2820" max="2820" width="51.42578125" style="167" customWidth="1"/>
    <col min="2821" max="2821" width="26.5703125" style="167" customWidth="1"/>
    <col min="2822" max="2826" width="31" style="167" customWidth="1"/>
    <col min="2827" max="2827" width="8.85546875" style="167" customWidth="1"/>
    <col min="2828" max="3075" width="9.140625" style="167"/>
    <col min="3076" max="3076" width="51.42578125" style="167" customWidth="1"/>
    <col min="3077" max="3077" width="26.5703125" style="167" customWidth="1"/>
    <col min="3078" max="3082" width="31" style="167" customWidth="1"/>
    <col min="3083" max="3083" width="8.85546875" style="167" customWidth="1"/>
    <col min="3084" max="3331" width="9.140625" style="167"/>
    <col min="3332" max="3332" width="51.42578125" style="167" customWidth="1"/>
    <col min="3333" max="3333" width="26.5703125" style="167" customWidth="1"/>
    <col min="3334" max="3338" width="31" style="167" customWidth="1"/>
    <col min="3339" max="3339" width="8.85546875" style="167" customWidth="1"/>
    <col min="3340" max="3587" width="9.140625" style="167"/>
    <col min="3588" max="3588" width="51.42578125" style="167" customWidth="1"/>
    <col min="3589" max="3589" width="26.5703125" style="167" customWidth="1"/>
    <col min="3590" max="3594" width="31" style="167" customWidth="1"/>
    <col min="3595" max="3595" width="8.85546875" style="167" customWidth="1"/>
    <col min="3596" max="3843" width="9.140625" style="167"/>
    <col min="3844" max="3844" width="51.42578125" style="167" customWidth="1"/>
    <col min="3845" max="3845" width="26.5703125" style="167" customWidth="1"/>
    <col min="3846" max="3850" width="31" style="167" customWidth="1"/>
    <col min="3851" max="3851" width="8.85546875" style="167" customWidth="1"/>
    <col min="3852" max="4099" width="9.140625" style="167"/>
    <col min="4100" max="4100" width="51.42578125" style="167" customWidth="1"/>
    <col min="4101" max="4101" width="26.5703125" style="167" customWidth="1"/>
    <col min="4102" max="4106" width="31" style="167" customWidth="1"/>
    <col min="4107" max="4107" width="8.85546875" style="167" customWidth="1"/>
    <col min="4108" max="4355" width="9.140625" style="167"/>
    <col min="4356" max="4356" width="51.42578125" style="167" customWidth="1"/>
    <col min="4357" max="4357" width="26.5703125" style="167" customWidth="1"/>
    <col min="4358" max="4362" width="31" style="167" customWidth="1"/>
    <col min="4363" max="4363" width="8.85546875" style="167" customWidth="1"/>
    <col min="4364" max="4611" width="9.140625" style="167"/>
    <col min="4612" max="4612" width="51.42578125" style="167" customWidth="1"/>
    <col min="4613" max="4613" width="26.5703125" style="167" customWidth="1"/>
    <col min="4614" max="4618" width="31" style="167" customWidth="1"/>
    <col min="4619" max="4619" width="8.85546875" style="167" customWidth="1"/>
    <col min="4620" max="4867" width="9.140625" style="167"/>
    <col min="4868" max="4868" width="51.42578125" style="167" customWidth="1"/>
    <col min="4869" max="4869" width="26.5703125" style="167" customWidth="1"/>
    <col min="4870" max="4874" width="31" style="167" customWidth="1"/>
    <col min="4875" max="4875" width="8.85546875" style="167" customWidth="1"/>
    <col min="4876" max="5123" width="9.140625" style="167"/>
    <col min="5124" max="5124" width="51.42578125" style="167" customWidth="1"/>
    <col min="5125" max="5125" width="26.5703125" style="167" customWidth="1"/>
    <col min="5126" max="5130" width="31" style="167" customWidth="1"/>
    <col min="5131" max="5131" width="8.85546875" style="167" customWidth="1"/>
    <col min="5132" max="5379" width="9.140625" style="167"/>
    <col min="5380" max="5380" width="51.42578125" style="167" customWidth="1"/>
    <col min="5381" max="5381" width="26.5703125" style="167" customWidth="1"/>
    <col min="5382" max="5386" width="31" style="167" customWidth="1"/>
    <col min="5387" max="5387" width="8.85546875" style="167" customWidth="1"/>
    <col min="5388" max="5635" width="9.140625" style="167"/>
    <col min="5636" max="5636" width="51.42578125" style="167" customWidth="1"/>
    <col min="5637" max="5637" width="26.5703125" style="167" customWidth="1"/>
    <col min="5638" max="5642" width="31" style="167" customWidth="1"/>
    <col min="5643" max="5643" width="8.85546875" style="167" customWidth="1"/>
    <col min="5644" max="5891" width="9.140625" style="167"/>
    <col min="5892" max="5892" width="51.42578125" style="167" customWidth="1"/>
    <col min="5893" max="5893" width="26.5703125" style="167" customWidth="1"/>
    <col min="5894" max="5898" width="31" style="167" customWidth="1"/>
    <col min="5899" max="5899" width="8.85546875" style="167" customWidth="1"/>
    <col min="5900" max="6147" width="9.140625" style="167"/>
    <col min="6148" max="6148" width="51.42578125" style="167" customWidth="1"/>
    <col min="6149" max="6149" width="26.5703125" style="167" customWidth="1"/>
    <col min="6150" max="6154" width="31" style="167" customWidth="1"/>
    <col min="6155" max="6155" width="8.85546875" style="167" customWidth="1"/>
    <col min="6156" max="6403" width="9.140625" style="167"/>
    <col min="6404" max="6404" width="51.42578125" style="167" customWidth="1"/>
    <col min="6405" max="6405" width="26.5703125" style="167" customWidth="1"/>
    <col min="6406" max="6410" width="31" style="167" customWidth="1"/>
    <col min="6411" max="6411" width="8.85546875" style="167" customWidth="1"/>
    <col min="6412" max="6659" width="9.140625" style="167"/>
    <col min="6660" max="6660" width="51.42578125" style="167" customWidth="1"/>
    <col min="6661" max="6661" width="26.5703125" style="167" customWidth="1"/>
    <col min="6662" max="6666" width="31" style="167" customWidth="1"/>
    <col min="6667" max="6667" width="8.85546875" style="167" customWidth="1"/>
    <col min="6668" max="6915" width="9.140625" style="167"/>
    <col min="6916" max="6916" width="51.42578125" style="167" customWidth="1"/>
    <col min="6917" max="6917" width="26.5703125" style="167" customWidth="1"/>
    <col min="6918" max="6922" width="31" style="167" customWidth="1"/>
    <col min="6923" max="6923" width="8.85546875" style="167" customWidth="1"/>
    <col min="6924" max="7171" width="9.140625" style="167"/>
    <col min="7172" max="7172" width="51.42578125" style="167" customWidth="1"/>
    <col min="7173" max="7173" width="26.5703125" style="167" customWidth="1"/>
    <col min="7174" max="7178" width="31" style="167" customWidth="1"/>
    <col min="7179" max="7179" width="8.85546875" style="167" customWidth="1"/>
    <col min="7180" max="7427" width="9.140625" style="167"/>
    <col min="7428" max="7428" width="51.42578125" style="167" customWidth="1"/>
    <col min="7429" max="7429" width="26.5703125" style="167" customWidth="1"/>
    <col min="7430" max="7434" width="31" style="167" customWidth="1"/>
    <col min="7435" max="7435" width="8.85546875" style="167" customWidth="1"/>
    <col min="7436" max="7683" width="9.140625" style="167"/>
    <col min="7684" max="7684" width="51.42578125" style="167" customWidth="1"/>
    <col min="7685" max="7685" width="26.5703125" style="167" customWidth="1"/>
    <col min="7686" max="7690" width="31" style="167" customWidth="1"/>
    <col min="7691" max="7691" width="8.85546875" style="167" customWidth="1"/>
    <col min="7692" max="7939" width="9.140625" style="167"/>
    <col min="7940" max="7940" width="51.42578125" style="167" customWidth="1"/>
    <col min="7941" max="7941" width="26.5703125" style="167" customWidth="1"/>
    <col min="7942" max="7946" width="31" style="167" customWidth="1"/>
    <col min="7947" max="7947" width="8.85546875" style="167" customWidth="1"/>
    <col min="7948" max="8195" width="9.140625" style="167"/>
    <col min="8196" max="8196" width="51.42578125" style="167" customWidth="1"/>
    <col min="8197" max="8197" width="26.5703125" style="167" customWidth="1"/>
    <col min="8198" max="8202" width="31" style="167" customWidth="1"/>
    <col min="8203" max="8203" width="8.85546875" style="167" customWidth="1"/>
    <col min="8204" max="8451" width="9.140625" style="167"/>
    <col min="8452" max="8452" width="51.42578125" style="167" customWidth="1"/>
    <col min="8453" max="8453" width="26.5703125" style="167" customWidth="1"/>
    <col min="8454" max="8458" width="31" style="167" customWidth="1"/>
    <col min="8459" max="8459" width="8.85546875" style="167" customWidth="1"/>
    <col min="8460" max="8707" width="9.140625" style="167"/>
    <col min="8708" max="8708" width="51.42578125" style="167" customWidth="1"/>
    <col min="8709" max="8709" width="26.5703125" style="167" customWidth="1"/>
    <col min="8710" max="8714" width="31" style="167" customWidth="1"/>
    <col min="8715" max="8715" width="8.85546875" style="167" customWidth="1"/>
    <col min="8716" max="8963" width="9.140625" style="167"/>
    <col min="8964" max="8964" width="51.42578125" style="167" customWidth="1"/>
    <col min="8965" max="8965" width="26.5703125" style="167" customWidth="1"/>
    <col min="8966" max="8970" width="31" style="167" customWidth="1"/>
    <col min="8971" max="8971" width="8.85546875" style="167" customWidth="1"/>
    <col min="8972" max="9219" width="9.140625" style="167"/>
    <col min="9220" max="9220" width="51.42578125" style="167" customWidth="1"/>
    <col min="9221" max="9221" width="26.5703125" style="167" customWidth="1"/>
    <col min="9222" max="9226" width="31" style="167" customWidth="1"/>
    <col min="9227" max="9227" width="8.85546875" style="167" customWidth="1"/>
    <col min="9228" max="9475" width="9.140625" style="167"/>
    <col min="9476" max="9476" width="51.42578125" style="167" customWidth="1"/>
    <col min="9477" max="9477" width="26.5703125" style="167" customWidth="1"/>
    <col min="9478" max="9482" width="31" style="167" customWidth="1"/>
    <col min="9483" max="9483" width="8.85546875" style="167" customWidth="1"/>
    <col min="9484" max="9731" width="9.140625" style="167"/>
    <col min="9732" max="9732" width="51.42578125" style="167" customWidth="1"/>
    <col min="9733" max="9733" width="26.5703125" style="167" customWidth="1"/>
    <col min="9734" max="9738" width="31" style="167" customWidth="1"/>
    <col min="9739" max="9739" width="8.85546875" style="167" customWidth="1"/>
    <col min="9740" max="9987" width="9.140625" style="167"/>
    <col min="9988" max="9988" width="51.42578125" style="167" customWidth="1"/>
    <col min="9989" max="9989" width="26.5703125" style="167" customWidth="1"/>
    <col min="9990" max="9994" width="31" style="167" customWidth="1"/>
    <col min="9995" max="9995" width="8.85546875" style="167" customWidth="1"/>
    <col min="9996" max="10243" width="9.140625" style="167"/>
    <col min="10244" max="10244" width="51.42578125" style="167" customWidth="1"/>
    <col min="10245" max="10245" width="26.5703125" style="167" customWidth="1"/>
    <col min="10246" max="10250" width="31" style="167" customWidth="1"/>
    <col min="10251" max="10251" width="8.85546875" style="167" customWidth="1"/>
    <col min="10252" max="10499" width="9.140625" style="167"/>
    <col min="10500" max="10500" width="51.42578125" style="167" customWidth="1"/>
    <col min="10501" max="10501" width="26.5703125" style="167" customWidth="1"/>
    <col min="10502" max="10506" width="31" style="167" customWidth="1"/>
    <col min="10507" max="10507" width="8.85546875" style="167" customWidth="1"/>
    <col min="10508" max="10755" width="9.140625" style="167"/>
    <col min="10756" max="10756" width="51.42578125" style="167" customWidth="1"/>
    <col min="10757" max="10757" width="26.5703125" style="167" customWidth="1"/>
    <col min="10758" max="10762" width="31" style="167" customWidth="1"/>
    <col min="10763" max="10763" width="8.85546875" style="167" customWidth="1"/>
    <col min="10764" max="11011" width="9.140625" style="167"/>
    <col min="11012" max="11012" width="51.42578125" style="167" customWidth="1"/>
    <col min="11013" max="11013" width="26.5703125" style="167" customWidth="1"/>
    <col min="11014" max="11018" width="31" style="167" customWidth="1"/>
    <col min="11019" max="11019" width="8.85546875" style="167" customWidth="1"/>
    <col min="11020" max="11267" width="9.140625" style="167"/>
    <col min="11268" max="11268" width="51.42578125" style="167" customWidth="1"/>
    <col min="11269" max="11269" width="26.5703125" style="167" customWidth="1"/>
    <col min="11270" max="11274" width="31" style="167" customWidth="1"/>
    <col min="11275" max="11275" width="8.85546875" style="167" customWidth="1"/>
    <col min="11276" max="11523" width="9.140625" style="167"/>
    <col min="11524" max="11524" width="51.42578125" style="167" customWidth="1"/>
    <col min="11525" max="11525" width="26.5703125" style="167" customWidth="1"/>
    <col min="11526" max="11530" width="31" style="167" customWidth="1"/>
    <col min="11531" max="11531" width="8.85546875" style="167" customWidth="1"/>
    <col min="11532" max="11779" width="9.140625" style="167"/>
    <col min="11780" max="11780" width="51.42578125" style="167" customWidth="1"/>
    <col min="11781" max="11781" width="26.5703125" style="167" customWidth="1"/>
    <col min="11782" max="11786" width="31" style="167" customWidth="1"/>
    <col min="11787" max="11787" width="8.85546875" style="167" customWidth="1"/>
    <col min="11788" max="12035" width="9.140625" style="167"/>
    <col min="12036" max="12036" width="51.42578125" style="167" customWidth="1"/>
    <col min="12037" max="12037" width="26.5703125" style="167" customWidth="1"/>
    <col min="12038" max="12042" width="31" style="167" customWidth="1"/>
    <col min="12043" max="12043" width="8.85546875" style="167" customWidth="1"/>
    <col min="12044" max="12291" width="9.140625" style="167"/>
    <col min="12292" max="12292" width="51.42578125" style="167" customWidth="1"/>
    <col min="12293" max="12293" width="26.5703125" style="167" customWidth="1"/>
    <col min="12294" max="12298" width="31" style="167" customWidth="1"/>
    <col min="12299" max="12299" width="8.85546875" style="167" customWidth="1"/>
    <col min="12300" max="12547" width="9.140625" style="167"/>
    <col min="12548" max="12548" width="51.42578125" style="167" customWidth="1"/>
    <col min="12549" max="12549" width="26.5703125" style="167" customWidth="1"/>
    <col min="12550" max="12554" width="31" style="167" customWidth="1"/>
    <col min="12555" max="12555" width="8.85546875" style="167" customWidth="1"/>
    <col min="12556" max="12803" width="9.140625" style="167"/>
    <col min="12804" max="12804" width="51.42578125" style="167" customWidth="1"/>
    <col min="12805" max="12805" width="26.5703125" style="167" customWidth="1"/>
    <col min="12806" max="12810" width="31" style="167" customWidth="1"/>
    <col min="12811" max="12811" width="8.85546875" style="167" customWidth="1"/>
    <col min="12812" max="13059" width="9.140625" style="167"/>
    <col min="13060" max="13060" width="51.42578125" style="167" customWidth="1"/>
    <col min="13061" max="13061" width="26.5703125" style="167" customWidth="1"/>
    <col min="13062" max="13066" width="31" style="167" customWidth="1"/>
    <col min="13067" max="13067" width="8.85546875" style="167" customWidth="1"/>
    <col min="13068" max="13315" width="9.140625" style="167"/>
    <col min="13316" max="13316" width="51.42578125" style="167" customWidth="1"/>
    <col min="13317" max="13317" width="26.5703125" style="167" customWidth="1"/>
    <col min="13318" max="13322" width="31" style="167" customWidth="1"/>
    <col min="13323" max="13323" width="8.85546875" style="167" customWidth="1"/>
    <col min="13324" max="13571" width="9.140625" style="167"/>
    <col min="13572" max="13572" width="51.42578125" style="167" customWidth="1"/>
    <col min="13573" max="13573" width="26.5703125" style="167" customWidth="1"/>
    <col min="13574" max="13578" width="31" style="167" customWidth="1"/>
    <col min="13579" max="13579" width="8.85546875" style="167" customWidth="1"/>
    <col min="13580" max="13827" width="9.140625" style="167"/>
    <col min="13828" max="13828" width="51.42578125" style="167" customWidth="1"/>
    <col min="13829" max="13829" width="26.5703125" style="167" customWidth="1"/>
    <col min="13830" max="13834" width="31" style="167" customWidth="1"/>
    <col min="13835" max="13835" width="8.85546875" style="167" customWidth="1"/>
    <col min="13836" max="14083" width="9.140625" style="167"/>
    <col min="14084" max="14084" width="51.42578125" style="167" customWidth="1"/>
    <col min="14085" max="14085" width="26.5703125" style="167" customWidth="1"/>
    <col min="14086" max="14090" width="31" style="167" customWidth="1"/>
    <col min="14091" max="14091" width="8.85546875" style="167" customWidth="1"/>
    <col min="14092" max="14339" width="9.140625" style="167"/>
    <col min="14340" max="14340" width="51.42578125" style="167" customWidth="1"/>
    <col min="14341" max="14341" width="26.5703125" style="167" customWidth="1"/>
    <col min="14342" max="14346" width="31" style="167" customWidth="1"/>
    <col min="14347" max="14347" width="8.85546875" style="167" customWidth="1"/>
    <col min="14348" max="14595" width="9.140625" style="167"/>
    <col min="14596" max="14596" width="51.42578125" style="167" customWidth="1"/>
    <col min="14597" max="14597" width="26.5703125" style="167" customWidth="1"/>
    <col min="14598" max="14602" width="31" style="167" customWidth="1"/>
    <col min="14603" max="14603" width="8.85546875" style="167" customWidth="1"/>
    <col min="14604" max="14851" width="9.140625" style="167"/>
    <col min="14852" max="14852" width="51.42578125" style="167" customWidth="1"/>
    <col min="14853" max="14853" width="26.5703125" style="167" customWidth="1"/>
    <col min="14854" max="14858" width="31" style="167" customWidth="1"/>
    <col min="14859" max="14859" width="8.85546875" style="167" customWidth="1"/>
    <col min="14860" max="15107" width="9.140625" style="167"/>
    <col min="15108" max="15108" width="51.42578125" style="167" customWidth="1"/>
    <col min="15109" max="15109" width="26.5703125" style="167" customWidth="1"/>
    <col min="15110" max="15114" width="31" style="167" customWidth="1"/>
    <col min="15115" max="15115" width="8.85546875" style="167" customWidth="1"/>
    <col min="15116" max="15363" width="9.140625" style="167"/>
    <col min="15364" max="15364" width="51.42578125" style="167" customWidth="1"/>
    <col min="15365" max="15365" width="26.5703125" style="167" customWidth="1"/>
    <col min="15366" max="15370" width="31" style="167" customWidth="1"/>
    <col min="15371" max="15371" width="8.85546875" style="167" customWidth="1"/>
    <col min="15372" max="15619" width="9.140625" style="167"/>
    <col min="15620" max="15620" width="51.42578125" style="167" customWidth="1"/>
    <col min="15621" max="15621" width="26.5703125" style="167" customWidth="1"/>
    <col min="15622" max="15626" width="31" style="167" customWidth="1"/>
    <col min="15627" max="15627" width="8.85546875" style="167" customWidth="1"/>
    <col min="15628" max="15875" width="9.140625" style="167"/>
    <col min="15876" max="15876" width="51.42578125" style="167" customWidth="1"/>
    <col min="15877" max="15877" width="26.5703125" style="167" customWidth="1"/>
    <col min="15878" max="15882" width="31" style="167" customWidth="1"/>
    <col min="15883" max="15883" width="8.85546875" style="167" customWidth="1"/>
    <col min="15884" max="16131" width="9.140625" style="167"/>
    <col min="16132" max="16132" width="51.42578125" style="167" customWidth="1"/>
    <col min="16133" max="16133" width="26.5703125" style="167" customWidth="1"/>
    <col min="16134" max="16138" width="31" style="167" customWidth="1"/>
    <col min="16139" max="16139" width="8.85546875" style="167" customWidth="1"/>
    <col min="16140" max="16384" width="9.140625" style="167"/>
  </cols>
  <sheetData>
    <row r="1" spans="1:29" ht="26.45" customHeight="1" thickBot="1" x14ac:dyDescent="0.25">
      <c r="A1" s="1371" t="s">
        <v>434</v>
      </c>
      <c r="B1" s="1372"/>
      <c r="C1" s="1372"/>
      <c r="D1" s="1372"/>
      <c r="E1" s="1372"/>
      <c r="F1" s="1372"/>
      <c r="G1" s="1372"/>
      <c r="H1" s="1372"/>
      <c r="I1" s="1372"/>
      <c r="J1" s="1373"/>
      <c r="K1" s="296"/>
      <c r="L1" s="209" t="str">
        <f>+TITELBLAD!C10</f>
        <v>gas</v>
      </c>
      <c r="M1" s="296"/>
      <c r="N1" s="296"/>
      <c r="O1" s="296"/>
      <c r="P1" s="296"/>
      <c r="Q1" s="296"/>
      <c r="R1" s="296"/>
      <c r="S1" s="296"/>
      <c r="T1" s="296"/>
      <c r="U1" s="296"/>
      <c r="V1" s="296"/>
      <c r="W1" s="296"/>
      <c r="X1" s="296"/>
      <c r="Y1" s="296"/>
      <c r="Z1" s="296"/>
      <c r="AA1" s="296"/>
      <c r="AB1" s="296"/>
      <c r="AC1" s="296"/>
    </row>
    <row r="2" spans="1:29" x14ac:dyDescent="0.2">
      <c r="A2" s="296"/>
      <c r="B2" s="296"/>
      <c r="C2" s="296"/>
      <c r="D2" s="296"/>
      <c r="E2" s="296"/>
      <c r="F2" s="296"/>
      <c r="G2" s="296"/>
      <c r="J2" s="296"/>
      <c r="K2" s="296"/>
      <c r="L2" s="296"/>
      <c r="M2" s="296"/>
      <c r="N2" s="296"/>
      <c r="O2" s="296"/>
      <c r="P2" s="296"/>
      <c r="Q2" s="296"/>
      <c r="R2" s="296"/>
      <c r="S2" s="296"/>
      <c r="T2" s="296"/>
      <c r="U2" s="296"/>
      <c r="V2" s="296"/>
      <c r="W2" s="296"/>
      <c r="X2" s="296"/>
      <c r="Y2" s="296"/>
      <c r="Z2" s="296"/>
      <c r="AA2" s="296"/>
      <c r="AB2" s="296"/>
      <c r="AC2" s="296"/>
    </row>
    <row r="3" spans="1:29" x14ac:dyDescent="0.2">
      <c r="A3" s="296"/>
      <c r="B3" s="296"/>
      <c r="C3" s="1063" t="s">
        <v>346</v>
      </c>
      <c r="D3" s="1063" t="s">
        <v>347</v>
      </c>
      <c r="E3" s="296"/>
      <c r="F3" s="296"/>
      <c r="G3" s="296"/>
      <c r="J3" s="296"/>
      <c r="K3" s="296"/>
      <c r="L3" s="296"/>
      <c r="M3" s="296"/>
      <c r="N3" s="296"/>
      <c r="O3" s="296"/>
      <c r="P3" s="296"/>
      <c r="Q3" s="296"/>
      <c r="R3" s="296"/>
      <c r="S3" s="296"/>
      <c r="T3" s="296"/>
      <c r="U3" s="296"/>
      <c r="V3" s="296"/>
      <c r="W3" s="296"/>
      <c r="X3" s="296"/>
      <c r="Y3" s="296"/>
      <c r="Z3" s="296"/>
      <c r="AA3" s="296"/>
      <c r="AB3" s="296"/>
      <c r="AC3" s="296"/>
    </row>
    <row r="4" spans="1:29" x14ac:dyDescent="0.2">
      <c r="A4" s="358" t="s">
        <v>440</v>
      </c>
      <c r="B4" s="1080">
        <f>+TITELBLAD!E16</f>
        <v>2021</v>
      </c>
      <c r="C4" s="1081">
        <f>-G66</f>
        <v>0</v>
      </c>
      <c r="D4" s="1081">
        <f>-G120</f>
        <v>0</v>
      </c>
      <c r="E4" s="1082"/>
      <c r="J4" s="296"/>
      <c r="K4" s="296"/>
      <c r="L4" s="296"/>
      <c r="M4" s="296"/>
      <c r="N4" s="296"/>
      <c r="O4" s="296"/>
      <c r="P4" s="296"/>
      <c r="Q4" s="296"/>
      <c r="R4" s="296"/>
      <c r="S4" s="296"/>
      <c r="T4" s="296"/>
      <c r="U4" s="296"/>
      <c r="V4" s="296"/>
      <c r="W4" s="296"/>
      <c r="X4" s="296"/>
      <c r="Y4" s="296"/>
      <c r="Z4" s="296"/>
      <c r="AA4" s="296"/>
      <c r="AB4" s="296"/>
      <c r="AC4" s="296"/>
    </row>
    <row r="5" spans="1:29" x14ac:dyDescent="0.2">
      <c r="D5" s="1082"/>
      <c r="E5" s="1082"/>
      <c r="J5" s="296"/>
      <c r="K5" s="296"/>
      <c r="L5" s="296"/>
      <c r="M5" s="296"/>
      <c r="N5" s="296"/>
      <c r="O5" s="296"/>
      <c r="P5" s="296"/>
      <c r="Q5" s="296"/>
      <c r="R5" s="296"/>
      <c r="S5" s="296"/>
      <c r="T5" s="296"/>
      <c r="U5" s="296"/>
      <c r="V5" s="296"/>
      <c r="W5" s="296"/>
      <c r="X5" s="296"/>
      <c r="Y5" s="296"/>
      <c r="Z5" s="296"/>
      <c r="AA5" s="296"/>
      <c r="AB5" s="296"/>
      <c r="AC5" s="296"/>
    </row>
    <row r="6" spans="1:29" x14ac:dyDescent="0.2">
      <c r="J6" s="296"/>
      <c r="K6" s="296"/>
      <c r="L6" s="296"/>
      <c r="M6" s="296"/>
      <c r="N6" s="296"/>
      <c r="O6" s="296"/>
      <c r="P6" s="296"/>
      <c r="Q6" s="296"/>
      <c r="R6" s="296"/>
      <c r="S6" s="296"/>
      <c r="T6" s="296"/>
      <c r="U6" s="296"/>
      <c r="V6" s="296"/>
      <c r="W6" s="296"/>
      <c r="X6" s="296"/>
      <c r="Y6" s="296"/>
      <c r="Z6" s="296"/>
      <c r="AA6" s="296"/>
      <c r="AB6" s="296"/>
      <c r="AC6" s="296"/>
    </row>
    <row r="7" spans="1:29" x14ac:dyDescent="0.2">
      <c r="J7" s="296"/>
      <c r="K7" s="296"/>
      <c r="L7" s="296"/>
      <c r="M7" s="296"/>
      <c r="N7" s="296"/>
      <c r="O7" s="296"/>
      <c r="P7" s="296"/>
      <c r="Q7" s="296"/>
      <c r="R7" s="296"/>
      <c r="S7" s="296"/>
      <c r="T7" s="296"/>
      <c r="U7" s="296"/>
      <c r="V7" s="296"/>
      <c r="W7" s="296"/>
      <c r="X7" s="296"/>
      <c r="Y7" s="296"/>
      <c r="Z7" s="296"/>
      <c r="AA7" s="296"/>
      <c r="AB7" s="296"/>
      <c r="AC7" s="296"/>
    </row>
    <row r="8" spans="1:29" x14ac:dyDescent="0.2">
      <c r="A8" s="358" t="s">
        <v>345</v>
      </c>
      <c r="J8" s="296"/>
      <c r="K8" s="296"/>
      <c r="L8" s="296"/>
      <c r="M8" s="296"/>
      <c r="N8" s="296"/>
      <c r="O8" s="296"/>
      <c r="P8" s="296"/>
      <c r="Q8" s="296"/>
      <c r="R8" s="296"/>
      <c r="S8" s="296"/>
      <c r="T8" s="296"/>
      <c r="U8" s="296"/>
      <c r="V8" s="296"/>
      <c r="W8" s="296"/>
      <c r="X8" s="296"/>
      <c r="Y8" s="296"/>
      <c r="Z8" s="296"/>
      <c r="AA8" s="296"/>
      <c r="AB8" s="296"/>
      <c r="AC8" s="296"/>
    </row>
    <row r="9" spans="1:29" x14ac:dyDescent="0.2">
      <c r="A9" s="224" t="s">
        <v>309</v>
      </c>
      <c r="J9" s="296"/>
      <c r="K9" s="296"/>
      <c r="L9" s="296"/>
      <c r="M9" s="296"/>
      <c r="N9" s="296"/>
      <c r="O9" s="296"/>
      <c r="P9" s="296"/>
      <c r="Q9" s="296"/>
      <c r="R9" s="296"/>
      <c r="S9" s="296"/>
      <c r="T9" s="296"/>
      <c r="U9" s="296"/>
      <c r="V9" s="296"/>
      <c r="W9" s="296"/>
      <c r="X9" s="296"/>
      <c r="Y9" s="296"/>
      <c r="Z9" s="296"/>
      <c r="AA9" s="296"/>
      <c r="AB9" s="296"/>
      <c r="AC9" s="296"/>
    </row>
    <row r="10" spans="1:29" x14ac:dyDescent="0.2">
      <c r="A10" s="1083" t="s">
        <v>310</v>
      </c>
      <c r="J10" s="296"/>
      <c r="K10" s="296"/>
      <c r="L10" s="296"/>
      <c r="M10" s="296"/>
      <c r="N10" s="296"/>
      <c r="O10" s="296"/>
      <c r="P10" s="296"/>
      <c r="Q10" s="296"/>
      <c r="R10" s="296"/>
      <c r="S10" s="296"/>
      <c r="T10" s="296"/>
      <c r="U10" s="296"/>
      <c r="V10" s="296"/>
      <c r="W10" s="296"/>
      <c r="X10" s="296"/>
      <c r="Y10" s="296"/>
      <c r="Z10" s="296"/>
      <c r="AA10" s="296"/>
      <c r="AB10" s="296"/>
      <c r="AC10" s="296"/>
    </row>
    <row r="11" spans="1:29" x14ac:dyDescent="0.2">
      <c r="A11" s="1083" t="s">
        <v>311</v>
      </c>
      <c r="J11" s="296"/>
      <c r="K11" s="296"/>
      <c r="L11" s="296"/>
      <c r="M11" s="296"/>
      <c r="N11" s="296"/>
      <c r="O11" s="296"/>
      <c r="P11" s="296"/>
      <c r="Q11" s="296"/>
      <c r="R11" s="296"/>
      <c r="S11" s="296"/>
      <c r="T11" s="296"/>
      <c r="U11" s="296"/>
      <c r="V11" s="296"/>
      <c r="W11" s="296"/>
      <c r="X11" s="296"/>
      <c r="Y11" s="296"/>
      <c r="Z11" s="296"/>
      <c r="AA11" s="296"/>
      <c r="AB11" s="296"/>
      <c r="AC11" s="296"/>
    </row>
    <row r="13" spans="1:29" x14ac:dyDescent="0.2">
      <c r="A13" s="358" t="s">
        <v>427</v>
      </c>
    </row>
    <row r="14" spans="1:29" ht="31.5" customHeight="1" x14ac:dyDescent="0.2">
      <c r="A14" s="1381" t="s">
        <v>428</v>
      </c>
      <c r="B14" s="1381"/>
      <c r="C14" s="1381"/>
      <c r="H14" s="1135" t="s">
        <v>458</v>
      </c>
    </row>
    <row r="15" spans="1:29" x14ac:dyDescent="0.2">
      <c r="J15" s="296"/>
      <c r="K15" s="296"/>
      <c r="L15" s="296"/>
      <c r="M15" s="296"/>
      <c r="N15" s="296"/>
      <c r="O15" s="296"/>
      <c r="P15" s="296"/>
      <c r="Q15" s="296"/>
      <c r="R15" s="296"/>
      <c r="S15" s="296"/>
      <c r="T15" s="296"/>
      <c r="U15" s="296"/>
      <c r="V15" s="296"/>
      <c r="W15" s="296"/>
      <c r="X15" s="296"/>
      <c r="Y15" s="296"/>
      <c r="Z15" s="296"/>
      <c r="AA15" s="296"/>
      <c r="AB15" s="296"/>
      <c r="AC15" s="296"/>
    </row>
    <row r="16" spans="1:29" ht="13.5" thickBot="1" x14ac:dyDescent="0.25"/>
    <row r="17" spans="1:10" ht="20.100000000000001" customHeight="1" thickBot="1" x14ac:dyDescent="0.25">
      <c r="A17" s="1378" t="str">
        <f>"BUDGET "&amp;B4</f>
        <v>BUDGET 2021</v>
      </c>
      <c r="B17" s="1379"/>
      <c r="C17" s="1379"/>
      <c r="D17" s="1379"/>
      <c r="E17" s="1379"/>
      <c r="F17" s="1379"/>
      <c r="G17" s="1379"/>
      <c r="H17" s="1379"/>
      <c r="I17" s="1379"/>
      <c r="J17" s="1380"/>
    </row>
    <row r="18" spans="1:10" ht="47.45" customHeight="1" x14ac:dyDescent="0.2">
      <c r="A18" s="1110" t="s">
        <v>312</v>
      </c>
      <c r="B18" s="1111" t="s">
        <v>343</v>
      </c>
      <c r="C18" s="1112" t="str">
        <f>"Oorspronkelijke meerwaarde op basis van iRAB voor activa einde boekjaar "&amp;B4-1</f>
        <v>Oorspronkelijke meerwaarde op basis van iRAB voor activa einde boekjaar 2020</v>
      </c>
      <c r="D18" s="1112" t="str">
        <f>"Gecumuleerde afschrijvingen activa einde boekjaar "&amp; B4-1</f>
        <v>Gecumuleerde afschrijvingen activa einde boekjaar 2020</v>
      </c>
      <c r="E18" s="1112" t="str">
        <f>"Nettoboekwaarde meerwaarde op basis van iRAB einde boekjaar "&amp; B4-1</f>
        <v>Nettoboekwaarde meerwaarde op basis van iRAB einde boekjaar 2020</v>
      </c>
      <c r="F18" s="1112" t="str">
        <f>"Transfers boekjaar "&amp;B4</f>
        <v>Transfers boekjaar 2021</v>
      </c>
      <c r="G18" s="1112" t="str">
        <f>"Afschrijvingen boekjaar "&amp;B4</f>
        <v>Afschrijvingen boekjaar 2021</v>
      </c>
      <c r="H18" s="1147" t="str">
        <f>"Desinvesteringen boekjaar "&amp;B4&amp;" n.a.v. verkoop"</f>
        <v>Desinvesteringen boekjaar 2021 n.a.v. verkoop</v>
      </c>
      <c r="I18" s="1147" t="str">
        <f>"Desinvesteringen boekjaar "&amp;B4&amp;" n.a.v. structuurwijziging"</f>
        <v>Desinvesteringen boekjaar 2021 n.a.v. structuurwijziging</v>
      </c>
      <c r="J18" s="1112" t="str">
        <f>"Nettoboekwaarde meerwaarde op basis van iRAB einde boekjaar "&amp;B4</f>
        <v>Nettoboekwaarde meerwaarde op basis van iRAB einde boekjaar 2021</v>
      </c>
    </row>
    <row r="19" spans="1:10" ht="13.5" thickBot="1" x14ac:dyDescent="0.25">
      <c r="A19" s="1087"/>
      <c r="B19" s="1088"/>
      <c r="C19" s="1089" t="s">
        <v>4</v>
      </c>
      <c r="D19" s="1089" t="s">
        <v>8</v>
      </c>
      <c r="E19" s="1089"/>
      <c r="F19" s="1089" t="s">
        <v>4</v>
      </c>
      <c r="G19" s="1089" t="s">
        <v>8</v>
      </c>
      <c r="H19" s="1137" t="s">
        <v>8</v>
      </c>
      <c r="I19" s="1137" t="s">
        <v>8</v>
      </c>
      <c r="J19" s="1090"/>
    </row>
    <row r="20" spans="1:10" x14ac:dyDescent="0.2">
      <c r="A20" s="1091" t="s">
        <v>313</v>
      </c>
      <c r="B20" s="1375">
        <v>0.02</v>
      </c>
      <c r="C20" s="665">
        <v>0</v>
      </c>
      <c r="D20" s="665">
        <v>0</v>
      </c>
      <c r="E20" s="1092">
        <f t="shared" ref="E20:E63" si="0">+C20+D20</f>
        <v>0</v>
      </c>
      <c r="F20" s="665">
        <v>0</v>
      </c>
      <c r="G20" s="665">
        <v>0</v>
      </c>
      <c r="H20" s="1138">
        <v>0</v>
      </c>
      <c r="I20" s="1138">
        <v>0</v>
      </c>
      <c r="J20" s="1093">
        <f>+SUM(E20:I20)</f>
        <v>0</v>
      </c>
    </row>
    <row r="21" spans="1:10" x14ac:dyDescent="0.2">
      <c r="A21" s="1094" t="s">
        <v>314</v>
      </c>
      <c r="B21" s="1376"/>
      <c r="C21" s="666">
        <v>0</v>
      </c>
      <c r="D21" s="666">
        <v>0</v>
      </c>
      <c r="E21" s="1095">
        <f t="shared" si="0"/>
        <v>0</v>
      </c>
      <c r="F21" s="666">
        <v>0</v>
      </c>
      <c r="G21" s="666">
        <v>0</v>
      </c>
      <c r="H21" s="1139">
        <v>0</v>
      </c>
      <c r="I21" s="1139">
        <v>0</v>
      </c>
      <c r="J21" s="1096">
        <f t="shared" ref="J21:J64" si="1">+SUM(E21:I21)</f>
        <v>0</v>
      </c>
    </row>
    <row r="22" spans="1:10" x14ac:dyDescent="0.2">
      <c r="A22" s="1094" t="s">
        <v>315</v>
      </c>
      <c r="B22" s="1376"/>
      <c r="C22" s="666">
        <v>0</v>
      </c>
      <c r="D22" s="666">
        <v>0</v>
      </c>
      <c r="E22" s="1095">
        <f t="shared" si="0"/>
        <v>0</v>
      </c>
      <c r="F22" s="666">
        <v>0</v>
      </c>
      <c r="G22" s="666">
        <v>0</v>
      </c>
      <c r="H22" s="1139">
        <v>0</v>
      </c>
      <c r="I22" s="1139">
        <v>0</v>
      </c>
      <c r="J22" s="1096">
        <f t="shared" si="1"/>
        <v>0</v>
      </c>
    </row>
    <row r="23" spans="1:10" x14ac:dyDescent="0.2">
      <c r="A23" s="1094" t="s">
        <v>316</v>
      </c>
      <c r="B23" s="1376"/>
      <c r="C23" s="666">
        <v>0</v>
      </c>
      <c r="D23" s="666">
        <v>0</v>
      </c>
      <c r="E23" s="1095">
        <f t="shared" si="0"/>
        <v>0</v>
      </c>
      <c r="F23" s="666">
        <v>0</v>
      </c>
      <c r="G23" s="666">
        <v>0</v>
      </c>
      <c r="H23" s="1139">
        <v>0</v>
      </c>
      <c r="I23" s="1139">
        <v>0</v>
      </c>
      <c r="J23" s="1096">
        <f t="shared" si="1"/>
        <v>0</v>
      </c>
    </row>
    <row r="24" spans="1:10" x14ac:dyDescent="0.2">
      <c r="A24" s="1094" t="s">
        <v>385</v>
      </c>
      <c r="B24" s="1376"/>
      <c r="C24" s="666">
        <v>0</v>
      </c>
      <c r="D24" s="666">
        <v>0</v>
      </c>
      <c r="E24" s="1095">
        <f t="shared" si="0"/>
        <v>0</v>
      </c>
      <c r="F24" s="666">
        <v>0</v>
      </c>
      <c r="G24" s="666">
        <v>0</v>
      </c>
      <c r="H24" s="1139">
        <v>0</v>
      </c>
      <c r="I24" s="1139">
        <v>0</v>
      </c>
      <c r="J24" s="1096">
        <f t="shared" si="1"/>
        <v>0</v>
      </c>
    </row>
    <row r="25" spans="1:10" x14ac:dyDescent="0.2">
      <c r="A25" s="1094" t="s">
        <v>386</v>
      </c>
      <c r="B25" s="1376"/>
      <c r="C25" s="666">
        <v>0</v>
      </c>
      <c r="D25" s="666">
        <v>0</v>
      </c>
      <c r="E25" s="1095">
        <f t="shared" si="0"/>
        <v>0</v>
      </c>
      <c r="F25" s="666">
        <v>0</v>
      </c>
      <c r="G25" s="666">
        <v>0</v>
      </c>
      <c r="H25" s="1139">
        <v>0</v>
      </c>
      <c r="I25" s="1139">
        <v>0</v>
      </c>
      <c r="J25" s="1096">
        <f t="shared" si="1"/>
        <v>0</v>
      </c>
    </row>
    <row r="26" spans="1:10" x14ac:dyDescent="0.2">
      <c r="A26" s="1094" t="s">
        <v>317</v>
      </c>
      <c r="B26" s="1376"/>
      <c r="C26" s="666">
        <v>0</v>
      </c>
      <c r="D26" s="666">
        <v>0</v>
      </c>
      <c r="E26" s="1095">
        <f t="shared" si="0"/>
        <v>0</v>
      </c>
      <c r="F26" s="666">
        <v>0</v>
      </c>
      <c r="G26" s="666">
        <v>0</v>
      </c>
      <c r="H26" s="1139">
        <v>0</v>
      </c>
      <c r="I26" s="1139">
        <v>0</v>
      </c>
      <c r="J26" s="1096">
        <f t="shared" si="1"/>
        <v>0</v>
      </c>
    </row>
    <row r="27" spans="1:10" x14ac:dyDescent="0.2">
      <c r="A27" s="1094" t="s">
        <v>387</v>
      </c>
      <c r="B27" s="1376"/>
      <c r="C27" s="666">
        <v>0</v>
      </c>
      <c r="D27" s="666">
        <v>0</v>
      </c>
      <c r="E27" s="1095">
        <f t="shared" si="0"/>
        <v>0</v>
      </c>
      <c r="F27" s="666">
        <v>0</v>
      </c>
      <c r="G27" s="666">
        <v>0</v>
      </c>
      <c r="H27" s="1139">
        <v>0</v>
      </c>
      <c r="I27" s="1139">
        <v>0</v>
      </c>
      <c r="J27" s="1096">
        <f t="shared" si="1"/>
        <v>0</v>
      </c>
    </row>
    <row r="28" spans="1:10" x14ac:dyDescent="0.2">
      <c r="A28" s="1094" t="s">
        <v>318</v>
      </c>
      <c r="B28" s="1376"/>
      <c r="C28" s="666">
        <v>0</v>
      </c>
      <c r="D28" s="666">
        <v>0</v>
      </c>
      <c r="E28" s="1095">
        <f t="shared" si="0"/>
        <v>0</v>
      </c>
      <c r="F28" s="666">
        <v>0</v>
      </c>
      <c r="G28" s="666">
        <v>0</v>
      </c>
      <c r="H28" s="1139">
        <v>0</v>
      </c>
      <c r="I28" s="1139">
        <v>0</v>
      </c>
      <c r="J28" s="1096">
        <f t="shared" si="1"/>
        <v>0</v>
      </c>
    </row>
    <row r="29" spans="1:10" x14ac:dyDescent="0.2">
      <c r="A29" s="1094" t="s">
        <v>388</v>
      </c>
      <c r="B29" s="1376"/>
      <c r="C29" s="666">
        <v>0</v>
      </c>
      <c r="D29" s="666">
        <v>0</v>
      </c>
      <c r="E29" s="1095">
        <f t="shared" si="0"/>
        <v>0</v>
      </c>
      <c r="F29" s="666">
        <v>0</v>
      </c>
      <c r="G29" s="666">
        <v>0</v>
      </c>
      <c r="H29" s="1139">
        <v>0</v>
      </c>
      <c r="I29" s="1139">
        <v>0</v>
      </c>
      <c r="J29" s="1096">
        <f t="shared" si="1"/>
        <v>0</v>
      </c>
    </row>
    <row r="30" spans="1:10" x14ac:dyDescent="0.2">
      <c r="A30" s="1094" t="s">
        <v>389</v>
      </c>
      <c r="B30" s="1376"/>
      <c r="C30" s="666">
        <v>0</v>
      </c>
      <c r="D30" s="666">
        <v>0</v>
      </c>
      <c r="E30" s="1095">
        <f t="shared" si="0"/>
        <v>0</v>
      </c>
      <c r="F30" s="666">
        <v>0</v>
      </c>
      <c r="G30" s="666">
        <v>0</v>
      </c>
      <c r="H30" s="1139">
        <v>0</v>
      </c>
      <c r="I30" s="1139">
        <v>0</v>
      </c>
      <c r="J30" s="1096">
        <f t="shared" si="1"/>
        <v>0</v>
      </c>
    </row>
    <row r="31" spans="1:10" x14ac:dyDescent="0.2">
      <c r="A31" s="1094" t="s">
        <v>319</v>
      </c>
      <c r="B31" s="1376"/>
      <c r="C31" s="666">
        <v>0</v>
      </c>
      <c r="D31" s="666">
        <v>0</v>
      </c>
      <c r="E31" s="1095">
        <f t="shared" si="0"/>
        <v>0</v>
      </c>
      <c r="F31" s="666">
        <v>0</v>
      </c>
      <c r="G31" s="666">
        <v>0</v>
      </c>
      <c r="H31" s="1139">
        <v>0</v>
      </c>
      <c r="I31" s="1139">
        <v>0</v>
      </c>
      <c r="J31" s="1096">
        <f t="shared" si="1"/>
        <v>0</v>
      </c>
    </row>
    <row r="32" spans="1:10" x14ac:dyDescent="0.2">
      <c r="A32" s="1094" t="s">
        <v>390</v>
      </c>
      <c r="B32" s="1376"/>
      <c r="C32" s="666">
        <v>0</v>
      </c>
      <c r="D32" s="666">
        <v>0</v>
      </c>
      <c r="E32" s="1095">
        <f t="shared" si="0"/>
        <v>0</v>
      </c>
      <c r="F32" s="666">
        <v>0</v>
      </c>
      <c r="G32" s="666">
        <v>0</v>
      </c>
      <c r="H32" s="1139">
        <v>0</v>
      </c>
      <c r="I32" s="1139">
        <v>0</v>
      </c>
      <c r="J32" s="1096">
        <f t="shared" si="1"/>
        <v>0</v>
      </c>
    </row>
    <row r="33" spans="1:10" x14ac:dyDescent="0.2">
      <c r="A33" s="1094" t="s">
        <v>320</v>
      </c>
      <c r="B33" s="1376"/>
      <c r="C33" s="666">
        <v>0</v>
      </c>
      <c r="D33" s="666">
        <v>0</v>
      </c>
      <c r="E33" s="1095">
        <f t="shared" si="0"/>
        <v>0</v>
      </c>
      <c r="F33" s="666">
        <v>0</v>
      </c>
      <c r="G33" s="666">
        <v>0</v>
      </c>
      <c r="H33" s="1139">
        <v>0</v>
      </c>
      <c r="I33" s="1139">
        <v>0</v>
      </c>
      <c r="J33" s="1096">
        <f t="shared" si="1"/>
        <v>0</v>
      </c>
    </row>
    <row r="34" spans="1:10" x14ac:dyDescent="0.2">
      <c r="A34" s="1094" t="s">
        <v>391</v>
      </c>
      <c r="B34" s="1376"/>
      <c r="C34" s="666">
        <v>0</v>
      </c>
      <c r="D34" s="666">
        <v>0</v>
      </c>
      <c r="E34" s="1095">
        <f t="shared" si="0"/>
        <v>0</v>
      </c>
      <c r="F34" s="666">
        <v>0</v>
      </c>
      <c r="G34" s="666">
        <v>0</v>
      </c>
      <c r="H34" s="1139">
        <v>0</v>
      </c>
      <c r="I34" s="1139">
        <v>0</v>
      </c>
      <c r="J34" s="1096">
        <f t="shared" si="1"/>
        <v>0</v>
      </c>
    </row>
    <row r="35" spans="1:10" x14ac:dyDescent="0.2">
      <c r="A35" s="1094" t="s">
        <v>392</v>
      </c>
      <c r="B35" s="1376"/>
      <c r="C35" s="666">
        <v>0</v>
      </c>
      <c r="D35" s="666">
        <v>0</v>
      </c>
      <c r="E35" s="1095">
        <f t="shared" si="0"/>
        <v>0</v>
      </c>
      <c r="F35" s="666">
        <v>0</v>
      </c>
      <c r="G35" s="666">
        <v>0</v>
      </c>
      <c r="H35" s="1139">
        <v>0</v>
      </c>
      <c r="I35" s="1139">
        <v>0</v>
      </c>
      <c r="J35" s="1096">
        <f t="shared" si="1"/>
        <v>0</v>
      </c>
    </row>
    <row r="36" spans="1:10" x14ac:dyDescent="0.2">
      <c r="A36" s="1094" t="s">
        <v>321</v>
      </c>
      <c r="B36" s="1376"/>
      <c r="C36" s="666">
        <v>0</v>
      </c>
      <c r="D36" s="666">
        <v>0</v>
      </c>
      <c r="E36" s="1095">
        <f t="shared" si="0"/>
        <v>0</v>
      </c>
      <c r="F36" s="666">
        <v>0</v>
      </c>
      <c r="G36" s="666">
        <v>0</v>
      </c>
      <c r="H36" s="1139">
        <v>0</v>
      </c>
      <c r="I36" s="1139">
        <v>0</v>
      </c>
      <c r="J36" s="1096">
        <f t="shared" si="1"/>
        <v>0</v>
      </c>
    </row>
    <row r="37" spans="1:10" x14ac:dyDescent="0.2">
      <c r="A37" s="1094" t="s">
        <v>393</v>
      </c>
      <c r="B37" s="1376"/>
      <c r="C37" s="666">
        <v>0</v>
      </c>
      <c r="D37" s="666">
        <v>0</v>
      </c>
      <c r="E37" s="1095">
        <f t="shared" si="0"/>
        <v>0</v>
      </c>
      <c r="F37" s="666">
        <v>0</v>
      </c>
      <c r="G37" s="666">
        <v>0</v>
      </c>
      <c r="H37" s="1139">
        <v>0</v>
      </c>
      <c r="I37" s="1139">
        <v>0</v>
      </c>
      <c r="J37" s="1096">
        <f t="shared" si="1"/>
        <v>0</v>
      </c>
    </row>
    <row r="38" spans="1:10" x14ac:dyDescent="0.2">
      <c r="A38" s="1094" t="s">
        <v>322</v>
      </c>
      <c r="B38" s="1376"/>
      <c r="C38" s="666">
        <v>0</v>
      </c>
      <c r="D38" s="666">
        <v>0</v>
      </c>
      <c r="E38" s="1095">
        <f>+C38+D38</f>
        <v>0</v>
      </c>
      <c r="F38" s="666">
        <v>0</v>
      </c>
      <c r="G38" s="666">
        <v>0</v>
      </c>
      <c r="H38" s="1139">
        <v>0</v>
      </c>
      <c r="I38" s="1139">
        <v>0</v>
      </c>
      <c r="J38" s="1096">
        <f t="shared" si="1"/>
        <v>0</v>
      </c>
    </row>
    <row r="39" spans="1:10" x14ac:dyDescent="0.2">
      <c r="A39" s="1094" t="s">
        <v>323</v>
      </c>
      <c r="B39" s="1376"/>
      <c r="C39" s="666">
        <v>0</v>
      </c>
      <c r="D39" s="666">
        <v>0</v>
      </c>
      <c r="E39" s="1095">
        <f t="shared" si="0"/>
        <v>0</v>
      </c>
      <c r="F39" s="666">
        <v>0</v>
      </c>
      <c r="G39" s="666">
        <v>0</v>
      </c>
      <c r="H39" s="1139">
        <v>0</v>
      </c>
      <c r="I39" s="1139">
        <v>0</v>
      </c>
      <c r="J39" s="1096">
        <f t="shared" si="1"/>
        <v>0</v>
      </c>
    </row>
    <row r="40" spans="1:10" x14ac:dyDescent="0.2">
      <c r="A40" s="1094" t="s">
        <v>394</v>
      </c>
      <c r="B40" s="1376"/>
      <c r="C40" s="666">
        <v>0</v>
      </c>
      <c r="D40" s="666">
        <v>0</v>
      </c>
      <c r="E40" s="1095">
        <f t="shared" si="0"/>
        <v>0</v>
      </c>
      <c r="F40" s="666">
        <v>0</v>
      </c>
      <c r="G40" s="666">
        <v>0</v>
      </c>
      <c r="H40" s="1139">
        <v>0</v>
      </c>
      <c r="I40" s="1139">
        <v>0</v>
      </c>
      <c r="J40" s="1096">
        <f t="shared" si="1"/>
        <v>0</v>
      </c>
    </row>
    <row r="41" spans="1:10" x14ac:dyDescent="0.2">
      <c r="A41" s="1094" t="s">
        <v>395</v>
      </c>
      <c r="B41" s="1376"/>
      <c r="C41" s="666">
        <v>0</v>
      </c>
      <c r="D41" s="666">
        <v>0</v>
      </c>
      <c r="E41" s="1095">
        <f t="shared" si="0"/>
        <v>0</v>
      </c>
      <c r="F41" s="666">
        <v>0</v>
      </c>
      <c r="G41" s="666">
        <v>0</v>
      </c>
      <c r="H41" s="1139">
        <v>0</v>
      </c>
      <c r="I41" s="1139">
        <v>0</v>
      </c>
      <c r="J41" s="1096">
        <f t="shared" si="1"/>
        <v>0</v>
      </c>
    </row>
    <row r="42" spans="1:10" x14ac:dyDescent="0.2">
      <c r="A42" s="1094" t="s">
        <v>324</v>
      </c>
      <c r="B42" s="1376"/>
      <c r="C42" s="666">
        <v>0</v>
      </c>
      <c r="D42" s="666">
        <v>0</v>
      </c>
      <c r="E42" s="1095">
        <f t="shared" si="0"/>
        <v>0</v>
      </c>
      <c r="F42" s="666">
        <v>0</v>
      </c>
      <c r="G42" s="666">
        <v>0</v>
      </c>
      <c r="H42" s="1139">
        <v>0</v>
      </c>
      <c r="I42" s="1139">
        <v>0</v>
      </c>
      <c r="J42" s="1096">
        <f t="shared" si="1"/>
        <v>0</v>
      </c>
    </row>
    <row r="43" spans="1:10" x14ac:dyDescent="0.2">
      <c r="A43" s="1094" t="s">
        <v>396</v>
      </c>
      <c r="B43" s="1376"/>
      <c r="C43" s="666">
        <v>0</v>
      </c>
      <c r="D43" s="666">
        <v>0</v>
      </c>
      <c r="E43" s="1095">
        <f t="shared" si="0"/>
        <v>0</v>
      </c>
      <c r="F43" s="666">
        <v>0</v>
      </c>
      <c r="G43" s="666">
        <v>0</v>
      </c>
      <c r="H43" s="1139">
        <v>0</v>
      </c>
      <c r="I43" s="1139">
        <v>0</v>
      </c>
      <c r="J43" s="1096">
        <f t="shared" si="1"/>
        <v>0</v>
      </c>
    </row>
    <row r="44" spans="1:10" x14ac:dyDescent="0.2">
      <c r="A44" s="1094" t="s">
        <v>325</v>
      </c>
      <c r="B44" s="1376"/>
      <c r="C44" s="666">
        <v>0</v>
      </c>
      <c r="D44" s="666">
        <v>0</v>
      </c>
      <c r="E44" s="1095">
        <f t="shared" si="0"/>
        <v>0</v>
      </c>
      <c r="F44" s="666">
        <v>0</v>
      </c>
      <c r="G44" s="666">
        <v>0</v>
      </c>
      <c r="H44" s="1139">
        <v>0</v>
      </c>
      <c r="I44" s="1139">
        <v>0</v>
      </c>
      <c r="J44" s="1096">
        <f t="shared" si="1"/>
        <v>0</v>
      </c>
    </row>
    <row r="45" spans="1:10" x14ac:dyDescent="0.2">
      <c r="A45" s="1094" t="s">
        <v>397</v>
      </c>
      <c r="B45" s="1376"/>
      <c r="C45" s="666">
        <v>0</v>
      </c>
      <c r="D45" s="666">
        <v>0</v>
      </c>
      <c r="E45" s="1095">
        <f t="shared" si="0"/>
        <v>0</v>
      </c>
      <c r="F45" s="666">
        <v>0</v>
      </c>
      <c r="G45" s="666">
        <v>0</v>
      </c>
      <c r="H45" s="1139">
        <v>0</v>
      </c>
      <c r="I45" s="1139">
        <v>0</v>
      </c>
      <c r="J45" s="1096">
        <f t="shared" si="1"/>
        <v>0</v>
      </c>
    </row>
    <row r="46" spans="1:10" x14ac:dyDescent="0.2">
      <c r="A46" s="1094" t="s">
        <v>398</v>
      </c>
      <c r="B46" s="1376"/>
      <c r="C46" s="666">
        <v>0</v>
      </c>
      <c r="D46" s="666">
        <v>0</v>
      </c>
      <c r="E46" s="1095">
        <f t="shared" si="0"/>
        <v>0</v>
      </c>
      <c r="F46" s="666">
        <v>0</v>
      </c>
      <c r="G46" s="666">
        <v>0</v>
      </c>
      <c r="H46" s="1139">
        <v>0</v>
      </c>
      <c r="I46" s="1139">
        <v>0</v>
      </c>
      <c r="J46" s="1096">
        <f t="shared" si="1"/>
        <v>0</v>
      </c>
    </row>
    <row r="47" spans="1:10" x14ac:dyDescent="0.2">
      <c r="A47" s="1094" t="s">
        <v>326</v>
      </c>
      <c r="B47" s="1376"/>
      <c r="C47" s="666">
        <v>0</v>
      </c>
      <c r="D47" s="666">
        <v>0</v>
      </c>
      <c r="E47" s="1095">
        <f t="shared" si="0"/>
        <v>0</v>
      </c>
      <c r="F47" s="666">
        <v>0</v>
      </c>
      <c r="G47" s="666">
        <v>0</v>
      </c>
      <c r="H47" s="1139">
        <v>0</v>
      </c>
      <c r="I47" s="1139">
        <v>0</v>
      </c>
      <c r="J47" s="1096">
        <f t="shared" si="1"/>
        <v>0</v>
      </c>
    </row>
    <row r="48" spans="1:10" x14ac:dyDescent="0.2">
      <c r="A48" s="1094" t="s">
        <v>399</v>
      </c>
      <c r="B48" s="1376"/>
      <c r="C48" s="666">
        <v>0</v>
      </c>
      <c r="D48" s="666">
        <v>0</v>
      </c>
      <c r="E48" s="1095">
        <f t="shared" si="0"/>
        <v>0</v>
      </c>
      <c r="F48" s="666">
        <v>0</v>
      </c>
      <c r="G48" s="666">
        <v>0</v>
      </c>
      <c r="H48" s="1139">
        <v>0</v>
      </c>
      <c r="I48" s="1139">
        <v>0</v>
      </c>
      <c r="J48" s="1096">
        <f t="shared" si="1"/>
        <v>0</v>
      </c>
    </row>
    <row r="49" spans="1:10" x14ac:dyDescent="0.2">
      <c r="A49" s="1094" t="s">
        <v>327</v>
      </c>
      <c r="B49" s="1376"/>
      <c r="C49" s="666">
        <v>0</v>
      </c>
      <c r="D49" s="666">
        <v>0</v>
      </c>
      <c r="E49" s="1095">
        <f t="shared" si="0"/>
        <v>0</v>
      </c>
      <c r="F49" s="666">
        <v>0</v>
      </c>
      <c r="G49" s="666">
        <v>0</v>
      </c>
      <c r="H49" s="1139">
        <v>0</v>
      </c>
      <c r="I49" s="1139">
        <v>0</v>
      </c>
      <c r="J49" s="1096">
        <f t="shared" si="1"/>
        <v>0</v>
      </c>
    </row>
    <row r="50" spans="1:10" x14ac:dyDescent="0.2">
      <c r="A50" s="1094" t="s">
        <v>328</v>
      </c>
      <c r="B50" s="1376"/>
      <c r="C50" s="666">
        <v>0</v>
      </c>
      <c r="D50" s="666">
        <v>0</v>
      </c>
      <c r="E50" s="1095">
        <f t="shared" si="0"/>
        <v>0</v>
      </c>
      <c r="F50" s="666">
        <v>0</v>
      </c>
      <c r="G50" s="666">
        <v>0</v>
      </c>
      <c r="H50" s="1139">
        <v>0</v>
      </c>
      <c r="I50" s="1139">
        <v>0</v>
      </c>
      <c r="J50" s="1096">
        <f t="shared" si="1"/>
        <v>0</v>
      </c>
    </row>
    <row r="51" spans="1:10" x14ac:dyDescent="0.2">
      <c r="A51" s="1094" t="s">
        <v>329</v>
      </c>
      <c r="B51" s="1376"/>
      <c r="C51" s="666">
        <v>0</v>
      </c>
      <c r="D51" s="666">
        <v>0</v>
      </c>
      <c r="E51" s="1095">
        <f t="shared" si="0"/>
        <v>0</v>
      </c>
      <c r="F51" s="666">
        <v>0</v>
      </c>
      <c r="G51" s="666">
        <v>0</v>
      </c>
      <c r="H51" s="1139">
        <v>0</v>
      </c>
      <c r="I51" s="1139">
        <v>0</v>
      </c>
      <c r="J51" s="1096">
        <f t="shared" si="1"/>
        <v>0</v>
      </c>
    </row>
    <row r="52" spans="1:10" x14ac:dyDescent="0.2">
      <c r="A52" s="1094" t="s">
        <v>330</v>
      </c>
      <c r="B52" s="1376"/>
      <c r="C52" s="666">
        <v>0</v>
      </c>
      <c r="D52" s="666">
        <v>0</v>
      </c>
      <c r="E52" s="1095">
        <f t="shared" si="0"/>
        <v>0</v>
      </c>
      <c r="F52" s="666">
        <v>0</v>
      </c>
      <c r="G52" s="666">
        <v>0</v>
      </c>
      <c r="H52" s="1139">
        <v>0</v>
      </c>
      <c r="I52" s="1139">
        <v>0</v>
      </c>
      <c r="J52" s="1096">
        <f t="shared" si="1"/>
        <v>0</v>
      </c>
    </row>
    <row r="53" spans="1:10" x14ac:dyDescent="0.2">
      <c r="A53" s="1094" t="s">
        <v>331</v>
      </c>
      <c r="B53" s="1376"/>
      <c r="C53" s="666">
        <v>0</v>
      </c>
      <c r="D53" s="666">
        <v>0</v>
      </c>
      <c r="E53" s="1095">
        <f t="shared" si="0"/>
        <v>0</v>
      </c>
      <c r="F53" s="666">
        <v>0</v>
      </c>
      <c r="G53" s="666">
        <v>0</v>
      </c>
      <c r="H53" s="1139">
        <v>0</v>
      </c>
      <c r="I53" s="1139">
        <v>0</v>
      </c>
      <c r="J53" s="1096">
        <f t="shared" si="1"/>
        <v>0</v>
      </c>
    </row>
    <row r="54" spans="1:10" x14ac:dyDescent="0.2">
      <c r="A54" s="1094" t="s">
        <v>332</v>
      </c>
      <c r="B54" s="1376"/>
      <c r="C54" s="666">
        <v>0</v>
      </c>
      <c r="D54" s="666">
        <v>0</v>
      </c>
      <c r="E54" s="1095">
        <f t="shared" si="0"/>
        <v>0</v>
      </c>
      <c r="F54" s="666">
        <v>0</v>
      </c>
      <c r="G54" s="666">
        <v>0</v>
      </c>
      <c r="H54" s="1139">
        <v>0</v>
      </c>
      <c r="I54" s="1139">
        <v>0</v>
      </c>
      <c r="J54" s="1096">
        <f t="shared" si="1"/>
        <v>0</v>
      </c>
    </row>
    <row r="55" spans="1:10" x14ac:dyDescent="0.2">
      <c r="A55" s="1094" t="s">
        <v>333</v>
      </c>
      <c r="B55" s="1376"/>
      <c r="C55" s="666">
        <v>0</v>
      </c>
      <c r="D55" s="666">
        <v>0</v>
      </c>
      <c r="E55" s="1095">
        <f t="shared" si="0"/>
        <v>0</v>
      </c>
      <c r="F55" s="666">
        <v>0</v>
      </c>
      <c r="G55" s="666">
        <v>0</v>
      </c>
      <c r="H55" s="1139">
        <v>0</v>
      </c>
      <c r="I55" s="1139">
        <v>0</v>
      </c>
      <c r="J55" s="1096">
        <f t="shared" si="1"/>
        <v>0</v>
      </c>
    </row>
    <row r="56" spans="1:10" x14ac:dyDescent="0.2">
      <c r="A56" s="1094" t="s">
        <v>344</v>
      </c>
      <c r="B56" s="1376"/>
      <c r="C56" s="666">
        <v>0</v>
      </c>
      <c r="D56" s="666">
        <v>0</v>
      </c>
      <c r="E56" s="1095">
        <f t="shared" si="0"/>
        <v>0</v>
      </c>
      <c r="F56" s="666">
        <v>0</v>
      </c>
      <c r="G56" s="666">
        <v>0</v>
      </c>
      <c r="H56" s="1139">
        <v>0</v>
      </c>
      <c r="I56" s="1139">
        <v>0</v>
      </c>
      <c r="J56" s="1096">
        <f t="shared" si="1"/>
        <v>0</v>
      </c>
    </row>
    <row r="57" spans="1:10" x14ac:dyDescent="0.2">
      <c r="A57" s="1094" t="s">
        <v>334</v>
      </c>
      <c r="B57" s="1376"/>
      <c r="C57" s="666">
        <v>0</v>
      </c>
      <c r="D57" s="666">
        <v>0</v>
      </c>
      <c r="E57" s="1095">
        <f t="shared" si="0"/>
        <v>0</v>
      </c>
      <c r="F57" s="666">
        <v>0</v>
      </c>
      <c r="G57" s="666">
        <v>0</v>
      </c>
      <c r="H57" s="1139">
        <v>0</v>
      </c>
      <c r="I57" s="1139">
        <v>0</v>
      </c>
      <c r="J57" s="1096">
        <f t="shared" si="1"/>
        <v>0</v>
      </c>
    </row>
    <row r="58" spans="1:10" x14ac:dyDescent="0.2">
      <c r="A58" s="1094" t="s">
        <v>335</v>
      </c>
      <c r="B58" s="1376"/>
      <c r="C58" s="666">
        <v>0</v>
      </c>
      <c r="D58" s="666">
        <v>0</v>
      </c>
      <c r="E58" s="1095">
        <f t="shared" si="0"/>
        <v>0</v>
      </c>
      <c r="F58" s="666">
        <v>0</v>
      </c>
      <c r="G58" s="666">
        <v>0</v>
      </c>
      <c r="H58" s="1139">
        <v>0</v>
      </c>
      <c r="I58" s="1139">
        <v>0</v>
      </c>
      <c r="J58" s="1096">
        <f t="shared" si="1"/>
        <v>0</v>
      </c>
    </row>
    <row r="59" spans="1:10" x14ac:dyDescent="0.2">
      <c r="A59" s="1094" t="s">
        <v>336</v>
      </c>
      <c r="B59" s="1376"/>
      <c r="C59" s="666">
        <v>0</v>
      </c>
      <c r="D59" s="666">
        <v>0</v>
      </c>
      <c r="E59" s="1095">
        <f t="shared" si="0"/>
        <v>0</v>
      </c>
      <c r="F59" s="666">
        <v>0</v>
      </c>
      <c r="G59" s="666">
        <v>0</v>
      </c>
      <c r="H59" s="1139">
        <v>0</v>
      </c>
      <c r="I59" s="1139">
        <v>0</v>
      </c>
      <c r="J59" s="1096">
        <f t="shared" si="1"/>
        <v>0</v>
      </c>
    </row>
    <row r="60" spans="1:10" x14ac:dyDescent="0.2">
      <c r="A60" s="1094" t="s">
        <v>337</v>
      </c>
      <c r="B60" s="1376"/>
      <c r="C60" s="666">
        <v>0</v>
      </c>
      <c r="D60" s="666">
        <v>0</v>
      </c>
      <c r="E60" s="1095">
        <f t="shared" si="0"/>
        <v>0</v>
      </c>
      <c r="F60" s="666">
        <v>0</v>
      </c>
      <c r="G60" s="666">
        <v>0</v>
      </c>
      <c r="H60" s="1139">
        <v>0</v>
      </c>
      <c r="I60" s="1139">
        <v>0</v>
      </c>
      <c r="J60" s="1096">
        <f t="shared" si="1"/>
        <v>0</v>
      </c>
    </row>
    <row r="61" spans="1:10" x14ac:dyDescent="0.2">
      <c r="A61" s="1094" t="s">
        <v>338</v>
      </c>
      <c r="B61" s="1376"/>
      <c r="C61" s="666">
        <v>0</v>
      </c>
      <c r="D61" s="666">
        <v>0</v>
      </c>
      <c r="E61" s="1095">
        <f t="shared" si="0"/>
        <v>0</v>
      </c>
      <c r="F61" s="666">
        <v>0</v>
      </c>
      <c r="G61" s="666">
        <v>0</v>
      </c>
      <c r="H61" s="1139">
        <v>0</v>
      </c>
      <c r="I61" s="1139">
        <v>0</v>
      </c>
      <c r="J61" s="1096">
        <f t="shared" si="1"/>
        <v>0</v>
      </c>
    </row>
    <row r="62" spans="1:10" x14ac:dyDescent="0.2">
      <c r="A62" s="1094" t="s">
        <v>339</v>
      </c>
      <c r="B62" s="1376"/>
      <c r="C62" s="667">
        <v>0</v>
      </c>
      <c r="D62" s="666">
        <v>0</v>
      </c>
      <c r="E62" s="1095">
        <f t="shared" si="0"/>
        <v>0</v>
      </c>
      <c r="F62" s="666">
        <v>0</v>
      </c>
      <c r="G62" s="666">
        <v>0</v>
      </c>
      <c r="H62" s="1139">
        <v>0</v>
      </c>
      <c r="I62" s="1139">
        <v>0</v>
      </c>
      <c r="J62" s="1096">
        <f t="shared" si="1"/>
        <v>0</v>
      </c>
    </row>
    <row r="63" spans="1:10" x14ac:dyDescent="0.2">
      <c r="A63" s="1094" t="s">
        <v>340</v>
      </c>
      <c r="B63" s="1376"/>
      <c r="C63" s="666">
        <v>0</v>
      </c>
      <c r="D63" s="666">
        <v>0</v>
      </c>
      <c r="E63" s="1095">
        <f t="shared" si="0"/>
        <v>0</v>
      </c>
      <c r="F63" s="666">
        <v>0</v>
      </c>
      <c r="G63" s="666">
        <v>0</v>
      </c>
      <c r="H63" s="1139">
        <v>0</v>
      </c>
      <c r="I63" s="1139">
        <v>0</v>
      </c>
      <c r="J63" s="1096">
        <f t="shared" si="1"/>
        <v>0</v>
      </c>
    </row>
    <row r="64" spans="1:10" ht="13.5" thickBot="1" x14ac:dyDescent="0.25">
      <c r="A64" s="1097" t="s">
        <v>341</v>
      </c>
      <c r="B64" s="1377"/>
      <c r="C64" s="668">
        <v>0</v>
      </c>
      <c r="D64" s="668">
        <v>0</v>
      </c>
      <c r="E64" s="1098">
        <f>+C64+D64</f>
        <v>0</v>
      </c>
      <c r="F64" s="668">
        <v>0</v>
      </c>
      <c r="G64" s="668">
        <v>0</v>
      </c>
      <c r="H64" s="1140">
        <v>0</v>
      </c>
      <c r="I64" s="1140">
        <v>0</v>
      </c>
      <c r="J64" s="1099">
        <f t="shared" si="1"/>
        <v>0</v>
      </c>
    </row>
    <row r="65" spans="1:10" x14ac:dyDescent="0.2">
      <c r="A65" s="1100"/>
      <c r="B65" s="1101"/>
      <c r="C65" s="1102"/>
      <c r="D65" s="1102"/>
      <c r="E65" s="1102"/>
      <c r="F65" s="1102"/>
      <c r="G65" s="1102"/>
      <c r="H65" s="1141"/>
      <c r="I65" s="1141"/>
      <c r="J65" s="1102"/>
    </row>
    <row r="66" spans="1:10" x14ac:dyDescent="0.2">
      <c r="A66" s="1100" t="s">
        <v>342</v>
      </c>
      <c r="B66" s="1101"/>
      <c r="C66" s="1103">
        <f t="shared" ref="C66:H66" si="2">SUM(C20:C64)</f>
        <v>0</v>
      </c>
      <c r="D66" s="1103">
        <f t="shared" si="2"/>
        <v>0</v>
      </c>
      <c r="E66" s="1103">
        <f t="shared" si="2"/>
        <v>0</v>
      </c>
      <c r="F66" s="1103">
        <f t="shared" ref="F66" si="3">SUM(F20:F64)</f>
        <v>0</v>
      </c>
      <c r="G66" s="1103">
        <f t="shared" si="2"/>
        <v>0</v>
      </c>
      <c r="H66" s="1142">
        <f t="shared" si="2"/>
        <v>0</v>
      </c>
      <c r="I66" s="1142">
        <f t="shared" ref="I66" si="4">SUM(I20:I64)</f>
        <v>0</v>
      </c>
      <c r="J66" s="1103">
        <f>SUM(J20:J64)</f>
        <v>0</v>
      </c>
    </row>
    <row r="67" spans="1:10" ht="13.5" thickBot="1" x14ac:dyDescent="0.25">
      <c r="A67" s="1104"/>
      <c r="B67" s="1105"/>
      <c r="C67" s="1106"/>
      <c r="D67" s="1106"/>
      <c r="E67" s="1106"/>
      <c r="F67" s="1106"/>
      <c r="G67" s="1106"/>
      <c r="H67" s="1143"/>
      <c r="I67" s="1143"/>
      <c r="J67" s="1107"/>
    </row>
    <row r="68" spans="1:10" s="1109" customFormat="1" ht="12" x14ac:dyDescent="0.2">
      <c r="A68" s="1108"/>
      <c r="B68" s="1108"/>
      <c r="H68" s="1144"/>
      <c r="I68" s="1144"/>
    </row>
    <row r="69" spans="1:10" s="1109" customFormat="1" ht="12" x14ac:dyDescent="0.2">
      <c r="H69" s="1144"/>
      <c r="I69" s="1144"/>
    </row>
    <row r="70" spans="1:10" ht="13.5" thickBot="1" x14ac:dyDescent="0.25"/>
    <row r="71" spans="1:10" ht="20.100000000000001" customHeight="1" thickBot="1" x14ac:dyDescent="0.25">
      <c r="A71" s="1378" t="str">
        <f>"REALITEIT "&amp;B4</f>
        <v>REALITEIT 2021</v>
      </c>
      <c r="B71" s="1379"/>
      <c r="C71" s="1379"/>
      <c r="D71" s="1379"/>
      <c r="E71" s="1379"/>
      <c r="F71" s="1379"/>
      <c r="G71" s="1379"/>
      <c r="H71" s="1379"/>
      <c r="I71" s="1379"/>
      <c r="J71" s="1380"/>
    </row>
    <row r="72" spans="1:10" ht="47.45" customHeight="1" x14ac:dyDescent="0.2">
      <c r="A72" s="1110" t="s">
        <v>312</v>
      </c>
      <c r="B72" s="1111" t="s">
        <v>343</v>
      </c>
      <c r="C72" s="1112" t="str">
        <f>"Oorspronkelijke meerwaarde op basis van iRAB voor activa einde boekjaar "&amp;B4-1</f>
        <v>Oorspronkelijke meerwaarde op basis van iRAB voor activa einde boekjaar 2020</v>
      </c>
      <c r="D72" s="1112" t="str">
        <f>"Gecumuleerde afschrijvingen activa einde boekjaar "&amp; B4-1</f>
        <v>Gecumuleerde afschrijvingen activa einde boekjaar 2020</v>
      </c>
      <c r="E72" s="1112" t="str">
        <f>"Nettoboekwaarde meerwaarde op basis van iRAB einde boekjaar "&amp; B4-1</f>
        <v>Nettoboekwaarde meerwaarde op basis van iRAB einde boekjaar 2020</v>
      </c>
      <c r="F72" s="1112" t="str">
        <f>"Transfers boekjaar "&amp;B4</f>
        <v>Transfers boekjaar 2021</v>
      </c>
      <c r="G72" s="1112" t="str">
        <f>"Afschrijvingen boekjaar "&amp;B4</f>
        <v>Afschrijvingen boekjaar 2021</v>
      </c>
      <c r="H72" s="1147" t="str">
        <f>"Desinvesteringen boekjaar "&amp;B4&amp;" n.a.v. verkoop"</f>
        <v>Desinvesteringen boekjaar 2021 n.a.v. verkoop</v>
      </c>
      <c r="I72" s="1147" t="str">
        <f>"Desinvesteringen boekjaar "&amp;B4&amp;" n.a.v. structuurwijziging"</f>
        <v>Desinvesteringen boekjaar 2021 n.a.v. structuurwijziging</v>
      </c>
      <c r="J72" s="1112" t="str">
        <f>"Nettoboekwaarde meerwaarde op basis van iRAB einde boekjaar "&amp;B4</f>
        <v>Nettoboekwaarde meerwaarde op basis van iRAB einde boekjaar 2021</v>
      </c>
    </row>
    <row r="73" spans="1:10" ht="13.5" thickBot="1" x14ac:dyDescent="0.25">
      <c r="A73" s="1087"/>
      <c r="B73" s="1088"/>
      <c r="C73" s="1089" t="s">
        <v>4</v>
      </c>
      <c r="D73" s="1089" t="s">
        <v>8</v>
      </c>
      <c r="E73" s="1089"/>
      <c r="F73" s="1089" t="s">
        <v>4</v>
      </c>
      <c r="G73" s="1089" t="s">
        <v>8</v>
      </c>
      <c r="H73" s="1137" t="s">
        <v>8</v>
      </c>
      <c r="I73" s="1137" t="s">
        <v>8</v>
      </c>
      <c r="J73" s="1090"/>
    </row>
    <row r="74" spans="1:10" x14ac:dyDescent="0.2">
      <c r="A74" s="1091" t="s">
        <v>313</v>
      </c>
      <c r="B74" s="1375">
        <v>0.02</v>
      </c>
      <c r="C74" s="665">
        <v>0</v>
      </c>
      <c r="D74" s="665">
        <v>0</v>
      </c>
      <c r="E74" s="1092">
        <f t="shared" ref="E74:E91" si="5">+C74+D74</f>
        <v>0</v>
      </c>
      <c r="F74" s="665">
        <v>0</v>
      </c>
      <c r="G74" s="665">
        <v>0</v>
      </c>
      <c r="H74" s="1138">
        <v>0</v>
      </c>
      <c r="I74" s="1138">
        <v>0</v>
      </c>
      <c r="J74" s="1093">
        <f>+SUM(E74:I74)</f>
        <v>0</v>
      </c>
    </row>
    <row r="75" spans="1:10" x14ac:dyDescent="0.2">
      <c r="A75" s="1094" t="s">
        <v>314</v>
      </c>
      <c r="B75" s="1376"/>
      <c r="C75" s="666">
        <v>0</v>
      </c>
      <c r="D75" s="666">
        <v>0</v>
      </c>
      <c r="E75" s="1095">
        <f t="shared" si="5"/>
        <v>0</v>
      </c>
      <c r="F75" s="666">
        <v>0</v>
      </c>
      <c r="G75" s="666">
        <v>0</v>
      </c>
      <c r="H75" s="1139">
        <v>0</v>
      </c>
      <c r="I75" s="1139">
        <v>0</v>
      </c>
      <c r="J75" s="1096">
        <f t="shared" ref="J75:J118" si="6">+SUM(E75:I75)</f>
        <v>0</v>
      </c>
    </row>
    <row r="76" spans="1:10" x14ac:dyDescent="0.2">
      <c r="A76" s="1094" t="s">
        <v>315</v>
      </c>
      <c r="B76" s="1376"/>
      <c r="C76" s="666">
        <v>0</v>
      </c>
      <c r="D76" s="666">
        <v>0</v>
      </c>
      <c r="E76" s="1095">
        <f t="shared" si="5"/>
        <v>0</v>
      </c>
      <c r="F76" s="666">
        <v>0</v>
      </c>
      <c r="G76" s="666">
        <v>0</v>
      </c>
      <c r="H76" s="1139">
        <v>0</v>
      </c>
      <c r="I76" s="1139">
        <v>0</v>
      </c>
      <c r="J76" s="1096">
        <f t="shared" si="6"/>
        <v>0</v>
      </c>
    </row>
    <row r="77" spans="1:10" x14ac:dyDescent="0.2">
      <c r="A77" s="1094" t="s">
        <v>316</v>
      </c>
      <c r="B77" s="1376"/>
      <c r="C77" s="666">
        <v>0</v>
      </c>
      <c r="D77" s="666">
        <v>0</v>
      </c>
      <c r="E77" s="1095">
        <f t="shared" si="5"/>
        <v>0</v>
      </c>
      <c r="F77" s="666">
        <v>0</v>
      </c>
      <c r="G77" s="666">
        <v>0</v>
      </c>
      <c r="H77" s="1139">
        <v>0</v>
      </c>
      <c r="I77" s="1139">
        <v>0</v>
      </c>
      <c r="J77" s="1096">
        <f t="shared" si="6"/>
        <v>0</v>
      </c>
    </row>
    <row r="78" spans="1:10" x14ac:dyDescent="0.2">
      <c r="A78" s="1094" t="s">
        <v>385</v>
      </c>
      <c r="B78" s="1376"/>
      <c r="C78" s="666">
        <v>0</v>
      </c>
      <c r="D78" s="666">
        <v>0</v>
      </c>
      <c r="E78" s="1095">
        <f t="shared" si="5"/>
        <v>0</v>
      </c>
      <c r="F78" s="666">
        <v>0</v>
      </c>
      <c r="G78" s="666">
        <v>0</v>
      </c>
      <c r="H78" s="1139">
        <v>0</v>
      </c>
      <c r="I78" s="1139">
        <v>0</v>
      </c>
      <c r="J78" s="1096">
        <f t="shared" si="6"/>
        <v>0</v>
      </c>
    </row>
    <row r="79" spans="1:10" x14ac:dyDescent="0.2">
      <c r="A79" s="1094" t="s">
        <v>386</v>
      </c>
      <c r="B79" s="1376"/>
      <c r="C79" s="666">
        <v>0</v>
      </c>
      <c r="D79" s="666">
        <v>0</v>
      </c>
      <c r="E79" s="1095">
        <f t="shared" si="5"/>
        <v>0</v>
      </c>
      <c r="F79" s="666">
        <v>0</v>
      </c>
      <c r="G79" s="666">
        <v>0</v>
      </c>
      <c r="H79" s="1139">
        <v>0</v>
      </c>
      <c r="I79" s="1139">
        <v>0</v>
      </c>
      <c r="J79" s="1096">
        <f t="shared" si="6"/>
        <v>0</v>
      </c>
    </row>
    <row r="80" spans="1:10" x14ac:dyDescent="0.2">
      <c r="A80" s="1094" t="s">
        <v>317</v>
      </c>
      <c r="B80" s="1376"/>
      <c r="C80" s="666">
        <v>0</v>
      </c>
      <c r="D80" s="666">
        <v>0</v>
      </c>
      <c r="E80" s="1095">
        <f t="shared" si="5"/>
        <v>0</v>
      </c>
      <c r="F80" s="666">
        <v>0</v>
      </c>
      <c r="G80" s="666">
        <v>0</v>
      </c>
      <c r="H80" s="1139">
        <v>0</v>
      </c>
      <c r="I80" s="1139">
        <v>0</v>
      </c>
      <c r="J80" s="1096">
        <f t="shared" si="6"/>
        <v>0</v>
      </c>
    </row>
    <row r="81" spans="1:10" x14ac:dyDescent="0.2">
      <c r="A81" s="1094" t="s">
        <v>387</v>
      </c>
      <c r="B81" s="1376"/>
      <c r="C81" s="666">
        <v>0</v>
      </c>
      <c r="D81" s="666">
        <v>0</v>
      </c>
      <c r="E81" s="1095">
        <f t="shared" si="5"/>
        <v>0</v>
      </c>
      <c r="F81" s="666">
        <v>0</v>
      </c>
      <c r="G81" s="666">
        <v>0</v>
      </c>
      <c r="H81" s="1139">
        <v>0</v>
      </c>
      <c r="I81" s="1139">
        <v>0</v>
      </c>
      <c r="J81" s="1096">
        <f t="shared" si="6"/>
        <v>0</v>
      </c>
    </row>
    <row r="82" spans="1:10" x14ac:dyDescent="0.2">
      <c r="A82" s="1094" t="s">
        <v>318</v>
      </c>
      <c r="B82" s="1376"/>
      <c r="C82" s="666">
        <v>0</v>
      </c>
      <c r="D82" s="666">
        <v>0</v>
      </c>
      <c r="E82" s="1095">
        <f t="shared" si="5"/>
        <v>0</v>
      </c>
      <c r="F82" s="666">
        <v>0</v>
      </c>
      <c r="G82" s="666">
        <v>0</v>
      </c>
      <c r="H82" s="1139">
        <v>0</v>
      </c>
      <c r="I82" s="1139">
        <v>0</v>
      </c>
      <c r="J82" s="1096">
        <f t="shared" si="6"/>
        <v>0</v>
      </c>
    </row>
    <row r="83" spans="1:10" x14ac:dyDescent="0.2">
      <c r="A83" s="1094" t="s">
        <v>388</v>
      </c>
      <c r="B83" s="1376"/>
      <c r="C83" s="666">
        <v>0</v>
      </c>
      <c r="D83" s="666">
        <v>0</v>
      </c>
      <c r="E83" s="1095">
        <f t="shared" si="5"/>
        <v>0</v>
      </c>
      <c r="F83" s="666">
        <v>0</v>
      </c>
      <c r="G83" s="666">
        <v>0</v>
      </c>
      <c r="H83" s="1139">
        <v>0</v>
      </c>
      <c r="I83" s="1139">
        <v>0</v>
      </c>
      <c r="J83" s="1096">
        <f t="shared" si="6"/>
        <v>0</v>
      </c>
    </row>
    <row r="84" spans="1:10" x14ac:dyDescent="0.2">
      <c r="A84" s="1094" t="s">
        <v>389</v>
      </c>
      <c r="B84" s="1376"/>
      <c r="C84" s="666">
        <v>0</v>
      </c>
      <c r="D84" s="666">
        <v>0</v>
      </c>
      <c r="E84" s="1095">
        <f t="shared" si="5"/>
        <v>0</v>
      </c>
      <c r="F84" s="666">
        <v>0</v>
      </c>
      <c r="G84" s="666">
        <v>0</v>
      </c>
      <c r="H84" s="1139">
        <v>0</v>
      </c>
      <c r="I84" s="1139">
        <v>0</v>
      </c>
      <c r="J84" s="1096">
        <f t="shared" si="6"/>
        <v>0</v>
      </c>
    </row>
    <row r="85" spans="1:10" x14ac:dyDescent="0.2">
      <c r="A85" s="1094" t="s">
        <v>319</v>
      </c>
      <c r="B85" s="1376"/>
      <c r="C85" s="666">
        <v>0</v>
      </c>
      <c r="D85" s="666">
        <v>0</v>
      </c>
      <c r="E85" s="1095">
        <f t="shared" si="5"/>
        <v>0</v>
      </c>
      <c r="F85" s="666">
        <v>0</v>
      </c>
      <c r="G85" s="666">
        <v>0</v>
      </c>
      <c r="H85" s="1139">
        <v>0</v>
      </c>
      <c r="I85" s="1139">
        <v>0</v>
      </c>
      <c r="J85" s="1096">
        <f t="shared" si="6"/>
        <v>0</v>
      </c>
    </row>
    <row r="86" spans="1:10" x14ac:dyDescent="0.2">
      <c r="A86" s="1094" t="s">
        <v>390</v>
      </c>
      <c r="B86" s="1376"/>
      <c r="C86" s="666">
        <v>0</v>
      </c>
      <c r="D86" s="666">
        <v>0</v>
      </c>
      <c r="E86" s="1095">
        <f t="shared" si="5"/>
        <v>0</v>
      </c>
      <c r="F86" s="666">
        <v>0</v>
      </c>
      <c r="G86" s="666">
        <v>0</v>
      </c>
      <c r="H86" s="1139">
        <v>0</v>
      </c>
      <c r="I86" s="1139">
        <v>0</v>
      </c>
      <c r="J86" s="1096">
        <f t="shared" si="6"/>
        <v>0</v>
      </c>
    </row>
    <row r="87" spans="1:10" x14ac:dyDescent="0.2">
      <c r="A87" s="1094" t="s">
        <v>320</v>
      </c>
      <c r="B87" s="1376"/>
      <c r="C87" s="666">
        <v>0</v>
      </c>
      <c r="D87" s="666">
        <v>0</v>
      </c>
      <c r="E87" s="1095">
        <f t="shared" si="5"/>
        <v>0</v>
      </c>
      <c r="F87" s="666">
        <v>0</v>
      </c>
      <c r="G87" s="666">
        <v>0</v>
      </c>
      <c r="H87" s="1139">
        <v>0</v>
      </c>
      <c r="I87" s="1139">
        <v>0</v>
      </c>
      <c r="J87" s="1096">
        <f t="shared" si="6"/>
        <v>0</v>
      </c>
    </row>
    <row r="88" spans="1:10" x14ac:dyDescent="0.2">
      <c r="A88" s="1094" t="s">
        <v>391</v>
      </c>
      <c r="B88" s="1376"/>
      <c r="C88" s="666">
        <v>0</v>
      </c>
      <c r="D88" s="666">
        <v>0</v>
      </c>
      <c r="E88" s="1095">
        <f t="shared" si="5"/>
        <v>0</v>
      </c>
      <c r="F88" s="666">
        <v>0</v>
      </c>
      <c r="G88" s="666">
        <v>0</v>
      </c>
      <c r="H88" s="1139">
        <v>0</v>
      </c>
      <c r="I88" s="1139">
        <v>0</v>
      </c>
      <c r="J88" s="1096">
        <f t="shared" si="6"/>
        <v>0</v>
      </c>
    </row>
    <row r="89" spans="1:10" x14ac:dyDescent="0.2">
      <c r="A89" s="1094" t="s">
        <v>392</v>
      </c>
      <c r="B89" s="1376"/>
      <c r="C89" s="666">
        <v>0</v>
      </c>
      <c r="D89" s="666">
        <v>0</v>
      </c>
      <c r="E89" s="1095">
        <f t="shared" si="5"/>
        <v>0</v>
      </c>
      <c r="F89" s="666">
        <v>0</v>
      </c>
      <c r="G89" s="666">
        <v>0</v>
      </c>
      <c r="H89" s="1139">
        <v>0</v>
      </c>
      <c r="I89" s="1139">
        <v>0</v>
      </c>
      <c r="J89" s="1096">
        <f t="shared" si="6"/>
        <v>0</v>
      </c>
    </row>
    <row r="90" spans="1:10" x14ac:dyDescent="0.2">
      <c r="A90" s="1094" t="s">
        <v>321</v>
      </c>
      <c r="B90" s="1376"/>
      <c r="C90" s="666">
        <v>0</v>
      </c>
      <c r="D90" s="666">
        <v>0</v>
      </c>
      <c r="E90" s="1095">
        <f t="shared" si="5"/>
        <v>0</v>
      </c>
      <c r="F90" s="666">
        <v>0</v>
      </c>
      <c r="G90" s="666">
        <v>0</v>
      </c>
      <c r="H90" s="1139">
        <v>0</v>
      </c>
      <c r="I90" s="1139">
        <v>0</v>
      </c>
      <c r="J90" s="1096">
        <f t="shared" si="6"/>
        <v>0</v>
      </c>
    </row>
    <row r="91" spans="1:10" x14ac:dyDescent="0.2">
      <c r="A91" s="1094" t="s">
        <v>393</v>
      </c>
      <c r="B91" s="1376"/>
      <c r="C91" s="666">
        <v>0</v>
      </c>
      <c r="D91" s="666">
        <v>0</v>
      </c>
      <c r="E91" s="1095">
        <f t="shared" si="5"/>
        <v>0</v>
      </c>
      <c r="F91" s="666">
        <v>0</v>
      </c>
      <c r="G91" s="666">
        <v>0</v>
      </c>
      <c r="H91" s="1139">
        <v>0</v>
      </c>
      <c r="I91" s="1139">
        <v>0</v>
      </c>
      <c r="J91" s="1096">
        <f t="shared" si="6"/>
        <v>0</v>
      </c>
    </row>
    <row r="92" spans="1:10" x14ac:dyDescent="0.2">
      <c r="A92" s="1094" t="s">
        <v>322</v>
      </c>
      <c r="B92" s="1376"/>
      <c r="C92" s="666">
        <v>0</v>
      </c>
      <c r="D92" s="666">
        <v>0</v>
      </c>
      <c r="E92" s="1095">
        <f>+C92+D92</f>
        <v>0</v>
      </c>
      <c r="F92" s="666">
        <v>0</v>
      </c>
      <c r="G92" s="666">
        <v>0</v>
      </c>
      <c r="H92" s="1139">
        <v>0</v>
      </c>
      <c r="I92" s="1139">
        <v>0</v>
      </c>
      <c r="J92" s="1096">
        <f t="shared" si="6"/>
        <v>0</v>
      </c>
    </row>
    <row r="93" spans="1:10" x14ac:dyDescent="0.2">
      <c r="A93" s="1094" t="s">
        <v>323</v>
      </c>
      <c r="B93" s="1376"/>
      <c r="C93" s="666">
        <v>0</v>
      </c>
      <c r="D93" s="666">
        <v>0</v>
      </c>
      <c r="E93" s="1095">
        <f t="shared" ref="E93:E117" si="7">+C93+D93</f>
        <v>0</v>
      </c>
      <c r="F93" s="666">
        <v>0</v>
      </c>
      <c r="G93" s="666">
        <v>0</v>
      </c>
      <c r="H93" s="1139">
        <v>0</v>
      </c>
      <c r="I93" s="1139">
        <v>0</v>
      </c>
      <c r="J93" s="1096">
        <f t="shared" si="6"/>
        <v>0</v>
      </c>
    </row>
    <row r="94" spans="1:10" x14ac:dyDescent="0.2">
      <c r="A94" s="1094" t="s">
        <v>394</v>
      </c>
      <c r="B94" s="1376"/>
      <c r="C94" s="666">
        <v>0</v>
      </c>
      <c r="D94" s="666">
        <v>0</v>
      </c>
      <c r="E94" s="1095">
        <f t="shared" si="7"/>
        <v>0</v>
      </c>
      <c r="F94" s="666">
        <v>0</v>
      </c>
      <c r="G94" s="666">
        <v>0</v>
      </c>
      <c r="H94" s="1139">
        <v>0</v>
      </c>
      <c r="I94" s="1139">
        <v>0</v>
      </c>
      <c r="J94" s="1096">
        <f t="shared" si="6"/>
        <v>0</v>
      </c>
    </row>
    <row r="95" spans="1:10" x14ac:dyDescent="0.2">
      <c r="A95" s="1094" t="s">
        <v>395</v>
      </c>
      <c r="B95" s="1376"/>
      <c r="C95" s="666">
        <v>0</v>
      </c>
      <c r="D95" s="666">
        <v>0</v>
      </c>
      <c r="E95" s="1095">
        <f t="shared" si="7"/>
        <v>0</v>
      </c>
      <c r="F95" s="666">
        <v>0</v>
      </c>
      <c r="G95" s="666">
        <v>0</v>
      </c>
      <c r="H95" s="1139">
        <v>0</v>
      </c>
      <c r="I95" s="1139">
        <v>0</v>
      </c>
      <c r="J95" s="1096">
        <f t="shared" si="6"/>
        <v>0</v>
      </c>
    </row>
    <row r="96" spans="1:10" x14ac:dyDescent="0.2">
      <c r="A96" s="1094" t="s">
        <v>324</v>
      </c>
      <c r="B96" s="1376"/>
      <c r="C96" s="666">
        <v>0</v>
      </c>
      <c r="D96" s="666">
        <v>0</v>
      </c>
      <c r="E96" s="1095">
        <f t="shared" si="7"/>
        <v>0</v>
      </c>
      <c r="F96" s="666">
        <v>0</v>
      </c>
      <c r="G96" s="666">
        <v>0</v>
      </c>
      <c r="H96" s="1139">
        <v>0</v>
      </c>
      <c r="I96" s="1139">
        <v>0</v>
      </c>
      <c r="J96" s="1096">
        <f t="shared" si="6"/>
        <v>0</v>
      </c>
    </row>
    <row r="97" spans="1:10" x14ac:dyDescent="0.2">
      <c r="A97" s="1094" t="s">
        <v>396</v>
      </c>
      <c r="B97" s="1376"/>
      <c r="C97" s="666">
        <v>0</v>
      </c>
      <c r="D97" s="666">
        <v>0</v>
      </c>
      <c r="E97" s="1095">
        <f t="shared" si="7"/>
        <v>0</v>
      </c>
      <c r="F97" s="666">
        <v>0</v>
      </c>
      <c r="G97" s="666">
        <v>0</v>
      </c>
      <c r="H97" s="1139">
        <v>0</v>
      </c>
      <c r="I97" s="1139">
        <v>0</v>
      </c>
      <c r="J97" s="1096">
        <f t="shared" si="6"/>
        <v>0</v>
      </c>
    </row>
    <row r="98" spans="1:10" x14ac:dyDescent="0.2">
      <c r="A98" s="1094" t="s">
        <v>325</v>
      </c>
      <c r="B98" s="1376"/>
      <c r="C98" s="666">
        <v>0</v>
      </c>
      <c r="D98" s="666">
        <v>0</v>
      </c>
      <c r="E98" s="1095">
        <f t="shared" si="7"/>
        <v>0</v>
      </c>
      <c r="F98" s="666">
        <v>0</v>
      </c>
      <c r="G98" s="666">
        <v>0</v>
      </c>
      <c r="H98" s="1139">
        <v>0</v>
      </c>
      <c r="I98" s="1139">
        <v>0</v>
      </c>
      <c r="J98" s="1096">
        <f t="shared" si="6"/>
        <v>0</v>
      </c>
    </row>
    <row r="99" spans="1:10" x14ac:dyDescent="0.2">
      <c r="A99" s="1094" t="s">
        <v>397</v>
      </c>
      <c r="B99" s="1376"/>
      <c r="C99" s="666">
        <v>0</v>
      </c>
      <c r="D99" s="666">
        <v>0</v>
      </c>
      <c r="E99" s="1095">
        <f t="shared" si="7"/>
        <v>0</v>
      </c>
      <c r="F99" s="666">
        <v>0</v>
      </c>
      <c r="G99" s="666">
        <v>0</v>
      </c>
      <c r="H99" s="1139">
        <v>0</v>
      </c>
      <c r="I99" s="1139">
        <v>0</v>
      </c>
      <c r="J99" s="1096">
        <f t="shared" si="6"/>
        <v>0</v>
      </c>
    </row>
    <row r="100" spans="1:10" x14ac:dyDescent="0.2">
      <c r="A100" s="1094" t="s">
        <v>398</v>
      </c>
      <c r="B100" s="1376"/>
      <c r="C100" s="666">
        <v>0</v>
      </c>
      <c r="D100" s="666">
        <v>0</v>
      </c>
      <c r="E100" s="1095">
        <f t="shared" si="7"/>
        <v>0</v>
      </c>
      <c r="F100" s="666">
        <v>0</v>
      </c>
      <c r="G100" s="666">
        <v>0</v>
      </c>
      <c r="H100" s="1139">
        <v>0</v>
      </c>
      <c r="I100" s="1139">
        <v>0</v>
      </c>
      <c r="J100" s="1096">
        <f t="shared" si="6"/>
        <v>0</v>
      </c>
    </row>
    <row r="101" spans="1:10" x14ac:dyDescent="0.2">
      <c r="A101" s="1094" t="s">
        <v>326</v>
      </c>
      <c r="B101" s="1376"/>
      <c r="C101" s="666">
        <v>0</v>
      </c>
      <c r="D101" s="666">
        <v>0</v>
      </c>
      <c r="E101" s="1095">
        <f t="shared" si="7"/>
        <v>0</v>
      </c>
      <c r="F101" s="666">
        <v>0</v>
      </c>
      <c r="G101" s="666">
        <v>0</v>
      </c>
      <c r="H101" s="1139">
        <v>0</v>
      </c>
      <c r="I101" s="1139">
        <v>0</v>
      </c>
      <c r="J101" s="1096">
        <f t="shared" si="6"/>
        <v>0</v>
      </c>
    </row>
    <row r="102" spans="1:10" x14ac:dyDescent="0.2">
      <c r="A102" s="1094" t="s">
        <v>399</v>
      </c>
      <c r="B102" s="1376"/>
      <c r="C102" s="666">
        <v>0</v>
      </c>
      <c r="D102" s="666">
        <v>0</v>
      </c>
      <c r="E102" s="1095">
        <f t="shared" si="7"/>
        <v>0</v>
      </c>
      <c r="F102" s="666">
        <v>0</v>
      </c>
      <c r="G102" s="666">
        <v>0</v>
      </c>
      <c r="H102" s="1139">
        <v>0</v>
      </c>
      <c r="I102" s="1139">
        <v>0</v>
      </c>
      <c r="J102" s="1096">
        <f t="shared" si="6"/>
        <v>0</v>
      </c>
    </row>
    <row r="103" spans="1:10" x14ac:dyDescent="0.2">
      <c r="A103" s="1094" t="s">
        <v>327</v>
      </c>
      <c r="B103" s="1376"/>
      <c r="C103" s="666">
        <v>0</v>
      </c>
      <c r="D103" s="666">
        <v>0</v>
      </c>
      <c r="E103" s="1095">
        <f t="shared" si="7"/>
        <v>0</v>
      </c>
      <c r="F103" s="666">
        <v>0</v>
      </c>
      <c r="G103" s="666">
        <v>0</v>
      </c>
      <c r="H103" s="1139">
        <v>0</v>
      </c>
      <c r="I103" s="1139">
        <v>0</v>
      </c>
      <c r="J103" s="1096">
        <f t="shared" si="6"/>
        <v>0</v>
      </c>
    </row>
    <row r="104" spans="1:10" x14ac:dyDescent="0.2">
      <c r="A104" s="1094" t="s">
        <v>328</v>
      </c>
      <c r="B104" s="1376"/>
      <c r="C104" s="666">
        <v>0</v>
      </c>
      <c r="D104" s="666">
        <v>0</v>
      </c>
      <c r="E104" s="1095">
        <f t="shared" si="7"/>
        <v>0</v>
      </c>
      <c r="F104" s="666">
        <v>0</v>
      </c>
      <c r="G104" s="666">
        <v>0</v>
      </c>
      <c r="H104" s="1139">
        <v>0</v>
      </c>
      <c r="I104" s="1139">
        <v>0</v>
      </c>
      <c r="J104" s="1096">
        <f t="shared" si="6"/>
        <v>0</v>
      </c>
    </row>
    <row r="105" spans="1:10" x14ac:dyDescent="0.2">
      <c r="A105" s="1094" t="s">
        <v>329</v>
      </c>
      <c r="B105" s="1376"/>
      <c r="C105" s="666">
        <v>0</v>
      </c>
      <c r="D105" s="666">
        <v>0</v>
      </c>
      <c r="E105" s="1095">
        <f t="shared" si="7"/>
        <v>0</v>
      </c>
      <c r="F105" s="666">
        <v>0</v>
      </c>
      <c r="G105" s="666">
        <v>0</v>
      </c>
      <c r="H105" s="1139">
        <v>0</v>
      </c>
      <c r="I105" s="1139">
        <v>0</v>
      </c>
      <c r="J105" s="1096">
        <f t="shared" si="6"/>
        <v>0</v>
      </c>
    </row>
    <row r="106" spans="1:10" x14ac:dyDescent="0.2">
      <c r="A106" s="1094" t="s">
        <v>330</v>
      </c>
      <c r="B106" s="1376"/>
      <c r="C106" s="666">
        <v>0</v>
      </c>
      <c r="D106" s="666">
        <v>0</v>
      </c>
      <c r="E106" s="1095">
        <f t="shared" si="7"/>
        <v>0</v>
      </c>
      <c r="F106" s="666">
        <v>0</v>
      </c>
      <c r="G106" s="666">
        <v>0</v>
      </c>
      <c r="H106" s="1139">
        <v>0</v>
      </c>
      <c r="I106" s="1139">
        <v>0</v>
      </c>
      <c r="J106" s="1096">
        <f t="shared" si="6"/>
        <v>0</v>
      </c>
    </row>
    <row r="107" spans="1:10" x14ac:dyDescent="0.2">
      <c r="A107" s="1094" t="s">
        <v>331</v>
      </c>
      <c r="B107" s="1376"/>
      <c r="C107" s="666">
        <v>0</v>
      </c>
      <c r="D107" s="666">
        <v>0</v>
      </c>
      <c r="E107" s="1095">
        <f t="shared" si="7"/>
        <v>0</v>
      </c>
      <c r="F107" s="666">
        <v>0</v>
      </c>
      <c r="G107" s="666">
        <v>0</v>
      </c>
      <c r="H107" s="1139">
        <v>0</v>
      </c>
      <c r="I107" s="1139">
        <v>0</v>
      </c>
      <c r="J107" s="1096">
        <f t="shared" si="6"/>
        <v>0</v>
      </c>
    </row>
    <row r="108" spans="1:10" x14ac:dyDescent="0.2">
      <c r="A108" s="1094" t="s">
        <v>332</v>
      </c>
      <c r="B108" s="1376"/>
      <c r="C108" s="666">
        <v>0</v>
      </c>
      <c r="D108" s="666">
        <v>0</v>
      </c>
      <c r="E108" s="1095">
        <f t="shared" si="7"/>
        <v>0</v>
      </c>
      <c r="F108" s="666">
        <v>0</v>
      </c>
      <c r="G108" s="666">
        <v>0</v>
      </c>
      <c r="H108" s="1139">
        <v>0</v>
      </c>
      <c r="I108" s="1139">
        <v>0</v>
      </c>
      <c r="J108" s="1096">
        <f t="shared" si="6"/>
        <v>0</v>
      </c>
    </row>
    <row r="109" spans="1:10" x14ac:dyDescent="0.2">
      <c r="A109" s="1094" t="s">
        <v>333</v>
      </c>
      <c r="B109" s="1376"/>
      <c r="C109" s="666">
        <v>0</v>
      </c>
      <c r="D109" s="666">
        <v>0</v>
      </c>
      <c r="E109" s="1095">
        <f t="shared" si="7"/>
        <v>0</v>
      </c>
      <c r="F109" s="666">
        <v>0</v>
      </c>
      <c r="G109" s="666">
        <v>0</v>
      </c>
      <c r="H109" s="1139">
        <v>0</v>
      </c>
      <c r="I109" s="1139">
        <v>0</v>
      </c>
      <c r="J109" s="1096">
        <f t="shared" si="6"/>
        <v>0</v>
      </c>
    </row>
    <row r="110" spans="1:10" x14ac:dyDescent="0.2">
      <c r="A110" s="1094" t="s">
        <v>344</v>
      </c>
      <c r="B110" s="1376"/>
      <c r="C110" s="666">
        <v>0</v>
      </c>
      <c r="D110" s="666">
        <v>0</v>
      </c>
      <c r="E110" s="1095">
        <f t="shared" si="7"/>
        <v>0</v>
      </c>
      <c r="F110" s="666">
        <v>0</v>
      </c>
      <c r="G110" s="666">
        <v>0</v>
      </c>
      <c r="H110" s="1139">
        <v>0</v>
      </c>
      <c r="I110" s="1139">
        <v>0</v>
      </c>
      <c r="J110" s="1096">
        <f t="shared" si="6"/>
        <v>0</v>
      </c>
    </row>
    <row r="111" spans="1:10" x14ac:dyDescent="0.2">
      <c r="A111" s="1094" t="s">
        <v>334</v>
      </c>
      <c r="B111" s="1376"/>
      <c r="C111" s="666">
        <v>0</v>
      </c>
      <c r="D111" s="666">
        <v>0</v>
      </c>
      <c r="E111" s="1095">
        <f t="shared" si="7"/>
        <v>0</v>
      </c>
      <c r="F111" s="666">
        <v>0</v>
      </c>
      <c r="G111" s="666">
        <v>0</v>
      </c>
      <c r="H111" s="1139">
        <v>0</v>
      </c>
      <c r="I111" s="1139">
        <v>0</v>
      </c>
      <c r="J111" s="1096">
        <f t="shared" si="6"/>
        <v>0</v>
      </c>
    </row>
    <row r="112" spans="1:10" x14ac:dyDescent="0.2">
      <c r="A112" s="1094" t="s">
        <v>335</v>
      </c>
      <c r="B112" s="1376"/>
      <c r="C112" s="666">
        <v>0</v>
      </c>
      <c r="D112" s="666">
        <v>0</v>
      </c>
      <c r="E112" s="1095">
        <f t="shared" si="7"/>
        <v>0</v>
      </c>
      <c r="F112" s="666">
        <v>0</v>
      </c>
      <c r="G112" s="666">
        <v>0</v>
      </c>
      <c r="H112" s="1139">
        <v>0</v>
      </c>
      <c r="I112" s="1139">
        <v>0</v>
      </c>
      <c r="J112" s="1096">
        <f t="shared" si="6"/>
        <v>0</v>
      </c>
    </row>
    <row r="113" spans="1:10" x14ac:dyDescent="0.2">
      <c r="A113" s="1094" t="s">
        <v>336</v>
      </c>
      <c r="B113" s="1376"/>
      <c r="C113" s="666">
        <v>0</v>
      </c>
      <c r="D113" s="666">
        <v>0</v>
      </c>
      <c r="E113" s="1095">
        <f t="shared" si="7"/>
        <v>0</v>
      </c>
      <c r="F113" s="666">
        <v>0</v>
      </c>
      <c r="G113" s="666">
        <v>0</v>
      </c>
      <c r="H113" s="1139">
        <v>0</v>
      </c>
      <c r="I113" s="1139">
        <v>0</v>
      </c>
      <c r="J113" s="1096">
        <f t="shared" si="6"/>
        <v>0</v>
      </c>
    </row>
    <row r="114" spans="1:10" x14ac:dyDescent="0.2">
      <c r="A114" s="1094" t="s">
        <v>337</v>
      </c>
      <c r="B114" s="1376"/>
      <c r="C114" s="666">
        <v>0</v>
      </c>
      <c r="D114" s="666">
        <v>0</v>
      </c>
      <c r="E114" s="1095">
        <f t="shared" si="7"/>
        <v>0</v>
      </c>
      <c r="F114" s="666">
        <v>0</v>
      </c>
      <c r="G114" s="666">
        <v>0</v>
      </c>
      <c r="H114" s="1139">
        <v>0</v>
      </c>
      <c r="I114" s="1139">
        <v>0</v>
      </c>
      <c r="J114" s="1096">
        <f t="shared" si="6"/>
        <v>0</v>
      </c>
    </row>
    <row r="115" spans="1:10" x14ac:dyDescent="0.2">
      <c r="A115" s="1094" t="s">
        <v>338</v>
      </c>
      <c r="B115" s="1376"/>
      <c r="C115" s="666">
        <v>0</v>
      </c>
      <c r="D115" s="666">
        <v>0</v>
      </c>
      <c r="E115" s="1095">
        <f t="shared" si="7"/>
        <v>0</v>
      </c>
      <c r="F115" s="666">
        <v>0</v>
      </c>
      <c r="G115" s="666">
        <v>0</v>
      </c>
      <c r="H115" s="1139">
        <v>0</v>
      </c>
      <c r="I115" s="1139">
        <v>0</v>
      </c>
      <c r="J115" s="1096">
        <f t="shared" si="6"/>
        <v>0</v>
      </c>
    </row>
    <row r="116" spans="1:10" x14ac:dyDescent="0.2">
      <c r="A116" s="1094" t="s">
        <v>339</v>
      </c>
      <c r="B116" s="1376"/>
      <c r="C116" s="667">
        <v>0</v>
      </c>
      <c r="D116" s="666">
        <v>0</v>
      </c>
      <c r="E116" s="1095">
        <f t="shared" si="7"/>
        <v>0</v>
      </c>
      <c r="F116" s="666">
        <v>0</v>
      </c>
      <c r="G116" s="666">
        <v>0</v>
      </c>
      <c r="H116" s="1139">
        <v>0</v>
      </c>
      <c r="I116" s="1139">
        <v>0</v>
      </c>
      <c r="J116" s="1096">
        <f t="shared" si="6"/>
        <v>0</v>
      </c>
    </row>
    <row r="117" spans="1:10" x14ac:dyDescent="0.2">
      <c r="A117" s="1094" t="s">
        <v>340</v>
      </c>
      <c r="B117" s="1376"/>
      <c r="C117" s="666">
        <v>0</v>
      </c>
      <c r="D117" s="666">
        <v>0</v>
      </c>
      <c r="E117" s="1095">
        <f t="shared" si="7"/>
        <v>0</v>
      </c>
      <c r="F117" s="666">
        <v>0</v>
      </c>
      <c r="G117" s="666">
        <v>0</v>
      </c>
      <c r="H117" s="1139">
        <v>0</v>
      </c>
      <c r="I117" s="1139">
        <v>0</v>
      </c>
      <c r="J117" s="1096">
        <f t="shared" si="6"/>
        <v>0</v>
      </c>
    </row>
    <row r="118" spans="1:10" ht="13.5" thickBot="1" x14ac:dyDescent="0.25">
      <c r="A118" s="1097" t="s">
        <v>341</v>
      </c>
      <c r="B118" s="1377"/>
      <c r="C118" s="668">
        <v>0</v>
      </c>
      <c r="D118" s="668">
        <v>0</v>
      </c>
      <c r="E118" s="1098">
        <f>+C118+D118</f>
        <v>0</v>
      </c>
      <c r="F118" s="668">
        <v>0</v>
      </c>
      <c r="G118" s="668">
        <v>0</v>
      </c>
      <c r="H118" s="1140">
        <v>0</v>
      </c>
      <c r="I118" s="1140">
        <v>0</v>
      </c>
      <c r="J118" s="1099">
        <f t="shared" si="6"/>
        <v>0</v>
      </c>
    </row>
    <row r="119" spans="1:10" x14ac:dyDescent="0.2">
      <c r="A119" s="1100"/>
      <c r="B119" s="1101"/>
      <c r="C119" s="1102"/>
      <c r="D119" s="1102"/>
      <c r="E119" s="1102"/>
      <c r="F119" s="1102"/>
      <c r="G119" s="1102"/>
      <c r="H119" s="1141"/>
      <c r="I119" s="1141"/>
      <c r="J119" s="1102"/>
    </row>
    <row r="120" spans="1:10" x14ac:dyDescent="0.2">
      <c r="A120" s="1100" t="s">
        <v>342</v>
      </c>
      <c r="B120" s="1101"/>
      <c r="C120" s="1103">
        <f t="shared" ref="C120:J120" si="8">SUM(C74:C118)</f>
        <v>0</v>
      </c>
      <c r="D120" s="1103">
        <f t="shared" si="8"/>
        <v>0</v>
      </c>
      <c r="E120" s="1103">
        <f t="shared" si="8"/>
        <v>0</v>
      </c>
      <c r="F120" s="1103">
        <f t="shared" ref="F120" si="9">SUM(F74:F118)</f>
        <v>0</v>
      </c>
      <c r="G120" s="1103">
        <f t="shared" si="8"/>
        <v>0</v>
      </c>
      <c r="H120" s="1142">
        <f t="shared" si="8"/>
        <v>0</v>
      </c>
      <c r="I120" s="1142">
        <f t="shared" ref="I120" si="10">SUM(I74:I118)</f>
        <v>0</v>
      </c>
      <c r="J120" s="1103">
        <f t="shared" si="8"/>
        <v>0</v>
      </c>
    </row>
    <row r="121" spans="1:10" ht="13.5" thickBot="1" x14ac:dyDescent="0.25">
      <c r="A121" s="1104"/>
      <c r="B121" s="1105"/>
      <c r="C121" s="1106"/>
      <c r="D121" s="1106"/>
      <c r="E121" s="1106"/>
      <c r="F121" s="1106"/>
      <c r="G121" s="1106"/>
      <c r="H121" s="1143"/>
      <c r="I121" s="1143"/>
      <c r="J121" s="1107"/>
    </row>
  </sheetData>
  <sheetProtection algorithmName="SHA-512" hashValue="ZgI4p5UWfjKCpzUsRIaXHYXhPYMN7n5i7nc7CHavREf9tZVmPVHwdx0EpVi5MxOasa12Vsf9WwmuIZYqd7AILw==" saltValue="DzKobHBjNmTrntymoVlbkQ==" spinCount="100000" sheet="1" objects="1" scenarios="1"/>
  <mergeCells count="6">
    <mergeCell ref="B20:B64"/>
    <mergeCell ref="A17:J17"/>
    <mergeCell ref="A71:J71"/>
    <mergeCell ref="B74:B118"/>
    <mergeCell ref="A1:J1"/>
    <mergeCell ref="A14:C14"/>
  </mergeCells>
  <conditionalFormatting sqref="A15:E1048576 G15:H1048576 A1:H11 J1:XFD11 J15:XFD1048576">
    <cfRule type="expression" dxfId="18" priority="12">
      <formula>$L$1="gas"</formula>
    </cfRule>
  </conditionalFormatting>
  <conditionalFormatting sqref="A12:E14 G12:H13 J12:XFD14 G14">
    <cfRule type="expression" dxfId="17" priority="8">
      <formula>$M$1="gas"</formula>
    </cfRule>
  </conditionalFormatting>
  <conditionalFormatting sqref="F15:F1048576">
    <cfRule type="expression" dxfId="16" priority="7">
      <formula>$L$1="gas"</formula>
    </cfRule>
  </conditionalFormatting>
  <conditionalFormatting sqref="F12:F14">
    <cfRule type="expression" dxfId="15" priority="5">
      <formula>$M$1="gas"</formula>
    </cfRule>
  </conditionalFormatting>
  <conditionalFormatting sqref="I15:I1048576 I1:I11">
    <cfRule type="expression" dxfId="14" priority="4">
      <formula>$L$1="gas"</formula>
    </cfRule>
  </conditionalFormatting>
  <conditionalFormatting sqref="I12:I14">
    <cfRule type="expression" dxfId="13" priority="2">
      <formula>$M$1="gas"</formula>
    </cfRule>
  </conditionalFormatting>
  <conditionalFormatting sqref="H14">
    <cfRule type="expression" dxfId="12" priority="1">
      <formula>$L$1="gas"</formula>
    </cfRule>
  </conditionalFormatting>
  <dataValidations count="2">
    <dataValidation type="decimal" operator="lessThanOrEqual" allowBlank="1" showInputMessage="1" showErrorMessage="1" errorTitle="Positief bedrag" error="Gelieve een negatief bedrag in te geven" sqref="F131093:I131136 JE65557:JE65600 TA65557:TA65600 ACW65557:ACW65600 AMS65557:AMS65600 AWO65557:AWO65600 BGK65557:BGK65600 BQG65557:BQG65600 CAC65557:CAC65600 CJY65557:CJY65600 CTU65557:CTU65600 DDQ65557:DDQ65600 DNM65557:DNM65600 DXI65557:DXI65600 EHE65557:EHE65600 ERA65557:ERA65600 FAW65557:FAW65600 FKS65557:FKS65600 FUO65557:FUO65600 GEK65557:GEK65600 GOG65557:GOG65600 GYC65557:GYC65600 HHY65557:HHY65600 HRU65557:HRU65600 IBQ65557:IBQ65600 ILM65557:ILM65600 IVI65557:IVI65600 JFE65557:JFE65600 JPA65557:JPA65600 JYW65557:JYW65600 KIS65557:KIS65600 KSO65557:KSO65600 LCK65557:LCK65600 LMG65557:LMG65600 LWC65557:LWC65600 MFY65557:MFY65600 MPU65557:MPU65600 MZQ65557:MZQ65600 NJM65557:NJM65600 NTI65557:NTI65600 ODE65557:ODE65600 ONA65557:ONA65600 OWW65557:OWW65600 PGS65557:PGS65600 PQO65557:PQO65600 QAK65557:QAK65600 QKG65557:QKG65600 QUC65557:QUC65600 RDY65557:RDY65600 RNU65557:RNU65600 RXQ65557:RXQ65600 SHM65557:SHM65600 SRI65557:SRI65600 TBE65557:TBE65600 TLA65557:TLA65600 TUW65557:TUW65600 UES65557:UES65600 UOO65557:UOO65600 UYK65557:UYK65600 VIG65557:VIG65600 VSC65557:VSC65600 WBY65557:WBY65600 WLU65557:WLU65600 WVQ65557:WVQ65600 F196629:I196672 JE131093:JE131136 TA131093:TA131136 ACW131093:ACW131136 AMS131093:AMS131136 AWO131093:AWO131136 BGK131093:BGK131136 BQG131093:BQG131136 CAC131093:CAC131136 CJY131093:CJY131136 CTU131093:CTU131136 DDQ131093:DDQ131136 DNM131093:DNM131136 DXI131093:DXI131136 EHE131093:EHE131136 ERA131093:ERA131136 FAW131093:FAW131136 FKS131093:FKS131136 FUO131093:FUO131136 GEK131093:GEK131136 GOG131093:GOG131136 GYC131093:GYC131136 HHY131093:HHY131136 HRU131093:HRU131136 IBQ131093:IBQ131136 ILM131093:ILM131136 IVI131093:IVI131136 JFE131093:JFE131136 JPA131093:JPA131136 JYW131093:JYW131136 KIS131093:KIS131136 KSO131093:KSO131136 LCK131093:LCK131136 LMG131093:LMG131136 LWC131093:LWC131136 MFY131093:MFY131136 MPU131093:MPU131136 MZQ131093:MZQ131136 NJM131093:NJM131136 NTI131093:NTI131136 ODE131093:ODE131136 ONA131093:ONA131136 OWW131093:OWW131136 PGS131093:PGS131136 PQO131093:PQO131136 QAK131093:QAK131136 QKG131093:QKG131136 QUC131093:QUC131136 RDY131093:RDY131136 RNU131093:RNU131136 RXQ131093:RXQ131136 SHM131093:SHM131136 SRI131093:SRI131136 TBE131093:TBE131136 TLA131093:TLA131136 TUW131093:TUW131136 UES131093:UES131136 UOO131093:UOO131136 UYK131093:UYK131136 VIG131093:VIG131136 VSC131093:VSC131136 WBY131093:WBY131136 WLU131093:WLU131136 WVQ131093:WVQ131136 F262165:I262208 JE196629:JE196672 TA196629:TA196672 ACW196629:ACW196672 AMS196629:AMS196672 AWO196629:AWO196672 BGK196629:BGK196672 BQG196629:BQG196672 CAC196629:CAC196672 CJY196629:CJY196672 CTU196629:CTU196672 DDQ196629:DDQ196672 DNM196629:DNM196672 DXI196629:DXI196672 EHE196629:EHE196672 ERA196629:ERA196672 FAW196629:FAW196672 FKS196629:FKS196672 FUO196629:FUO196672 GEK196629:GEK196672 GOG196629:GOG196672 GYC196629:GYC196672 HHY196629:HHY196672 HRU196629:HRU196672 IBQ196629:IBQ196672 ILM196629:ILM196672 IVI196629:IVI196672 JFE196629:JFE196672 JPA196629:JPA196672 JYW196629:JYW196672 KIS196629:KIS196672 KSO196629:KSO196672 LCK196629:LCK196672 LMG196629:LMG196672 LWC196629:LWC196672 MFY196629:MFY196672 MPU196629:MPU196672 MZQ196629:MZQ196672 NJM196629:NJM196672 NTI196629:NTI196672 ODE196629:ODE196672 ONA196629:ONA196672 OWW196629:OWW196672 PGS196629:PGS196672 PQO196629:PQO196672 QAK196629:QAK196672 QKG196629:QKG196672 QUC196629:QUC196672 RDY196629:RDY196672 RNU196629:RNU196672 RXQ196629:RXQ196672 SHM196629:SHM196672 SRI196629:SRI196672 TBE196629:TBE196672 TLA196629:TLA196672 TUW196629:TUW196672 UES196629:UES196672 UOO196629:UOO196672 UYK196629:UYK196672 VIG196629:VIG196672 VSC196629:VSC196672 WBY196629:WBY196672 WLU196629:WLU196672 WVQ196629:WVQ196672 F327701:I327744 JE262165:JE262208 TA262165:TA262208 ACW262165:ACW262208 AMS262165:AMS262208 AWO262165:AWO262208 BGK262165:BGK262208 BQG262165:BQG262208 CAC262165:CAC262208 CJY262165:CJY262208 CTU262165:CTU262208 DDQ262165:DDQ262208 DNM262165:DNM262208 DXI262165:DXI262208 EHE262165:EHE262208 ERA262165:ERA262208 FAW262165:FAW262208 FKS262165:FKS262208 FUO262165:FUO262208 GEK262165:GEK262208 GOG262165:GOG262208 GYC262165:GYC262208 HHY262165:HHY262208 HRU262165:HRU262208 IBQ262165:IBQ262208 ILM262165:ILM262208 IVI262165:IVI262208 JFE262165:JFE262208 JPA262165:JPA262208 JYW262165:JYW262208 KIS262165:KIS262208 KSO262165:KSO262208 LCK262165:LCK262208 LMG262165:LMG262208 LWC262165:LWC262208 MFY262165:MFY262208 MPU262165:MPU262208 MZQ262165:MZQ262208 NJM262165:NJM262208 NTI262165:NTI262208 ODE262165:ODE262208 ONA262165:ONA262208 OWW262165:OWW262208 PGS262165:PGS262208 PQO262165:PQO262208 QAK262165:QAK262208 QKG262165:QKG262208 QUC262165:QUC262208 RDY262165:RDY262208 RNU262165:RNU262208 RXQ262165:RXQ262208 SHM262165:SHM262208 SRI262165:SRI262208 TBE262165:TBE262208 TLA262165:TLA262208 TUW262165:TUW262208 UES262165:UES262208 UOO262165:UOO262208 UYK262165:UYK262208 VIG262165:VIG262208 VSC262165:VSC262208 WBY262165:WBY262208 WLU262165:WLU262208 WVQ262165:WVQ262208 F393237:I393280 JE327701:JE327744 TA327701:TA327744 ACW327701:ACW327744 AMS327701:AMS327744 AWO327701:AWO327744 BGK327701:BGK327744 BQG327701:BQG327744 CAC327701:CAC327744 CJY327701:CJY327744 CTU327701:CTU327744 DDQ327701:DDQ327744 DNM327701:DNM327744 DXI327701:DXI327744 EHE327701:EHE327744 ERA327701:ERA327744 FAW327701:FAW327744 FKS327701:FKS327744 FUO327701:FUO327744 GEK327701:GEK327744 GOG327701:GOG327744 GYC327701:GYC327744 HHY327701:HHY327744 HRU327701:HRU327744 IBQ327701:IBQ327744 ILM327701:ILM327744 IVI327701:IVI327744 JFE327701:JFE327744 JPA327701:JPA327744 JYW327701:JYW327744 KIS327701:KIS327744 KSO327701:KSO327744 LCK327701:LCK327744 LMG327701:LMG327744 LWC327701:LWC327744 MFY327701:MFY327744 MPU327701:MPU327744 MZQ327701:MZQ327744 NJM327701:NJM327744 NTI327701:NTI327744 ODE327701:ODE327744 ONA327701:ONA327744 OWW327701:OWW327744 PGS327701:PGS327744 PQO327701:PQO327744 QAK327701:QAK327744 QKG327701:QKG327744 QUC327701:QUC327744 RDY327701:RDY327744 RNU327701:RNU327744 RXQ327701:RXQ327744 SHM327701:SHM327744 SRI327701:SRI327744 TBE327701:TBE327744 TLA327701:TLA327744 TUW327701:TUW327744 UES327701:UES327744 UOO327701:UOO327744 UYK327701:UYK327744 VIG327701:VIG327744 VSC327701:VSC327744 WBY327701:WBY327744 WLU327701:WLU327744 WVQ327701:WVQ327744 F458773:I458816 JE393237:JE393280 TA393237:TA393280 ACW393237:ACW393280 AMS393237:AMS393280 AWO393237:AWO393280 BGK393237:BGK393280 BQG393237:BQG393280 CAC393237:CAC393280 CJY393237:CJY393280 CTU393237:CTU393280 DDQ393237:DDQ393280 DNM393237:DNM393280 DXI393237:DXI393280 EHE393237:EHE393280 ERA393237:ERA393280 FAW393237:FAW393280 FKS393237:FKS393280 FUO393237:FUO393280 GEK393237:GEK393280 GOG393237:GOG393280 GYC393237:GYC393280 HHY393237:HHY393280 HRU393237:HRU393280 IBQ393237:IBQ393280 ILM393237:ILM393280 IVI393237:IVI393280 JFE393237:JFE393280 JPA393237:JPA393280 JYW393237:JYW393280 KIS393237:KIS393280 KSO393237:KSO393280 LCK393237:LCK393280 LMG393237:LMG393280 LWC393237:LWC393280 MFY393237:MFY393280 MPU393237:MPU393280 MZQ393237:MZQ393280 NJM393237:NJM393280 NTI393237:NTI393280 ODE393237:ODE393280 ONA393237:ONA393280 OWW393237:OWW393280 PGS393237:PGS393280 PQO393237:PQO393280 QAK393237:QAK393280 QKG393237:QKG393280 QUC393237:QUC393280 RDY393237:RDY393280 RNU393237:RNU393280 RXQ393237:RXQ393280 SHM393237:SHM393280 SRI393237:SRI393280 TBE393237:TBE393280 TLA393237:TLA393280 TUW393237:TUW393280 UES393237:UES393280 UOO393237:UOO393280 UYK393237:UYK393280 VIG393237:VIG393280 VSC393237:VSC393280 WBY393237:WBY393280 WLU393237:WLU393280 WVQ393237:WVQ393280 F524309:I524352 JE458773:JE458816 TA458773:TA458816 ACW458773:ACW458816 AMS458773:AMS458816 AWO458773:AWO458816 BGK458773:BGK458816 BQG458773:BQG458816 CAC458773:CAC458816 CJY458773:CJY458816 CTU458773:CTU458816 DDQ458773:DDQ458816 DNM458773:DNM458816 DXI458773:DXI458816 EHE458773:EHE458816 ERA458773:ERA458816 FAW458773:FAW458816 FKS458773:FKS458816 FUO458773:FUO458816 GEK458773:GEK458816 GOG458773:GOG458816 GYC458773:GYC458816 HHY458773:HHY458816 HRU458773:HRU458816 IBQ458773:IBQ458816 ILM458773:ILM458816 IVI458773:IVI458816 JFE458773:JFE458816 JPA458773:JPA458816 JYW458773:JYW458816 KIS458773:KIS458816 KSO458773:KSO458816 LCK458773:LCK458816 LMG458773:LMG458816 LWC458773:LWC458816 MFY458773:MFY458816 MPU458773:MPU458816 MZQ458773:MZQ458816 NJM458773:NJM458816 NTI458773:NTI458816 ODE458773:ODE458816 ONA458773:ONA458816 OWW458773:OWW458816 PGS458773:PGS458816 PQO458773:PQO458816 QAK458773:QAK458816 QKG458773:QKG458816 QUC458773:QUC458816 RDY458773:RDY458816 RNU458773:RNU458816 RXQ458773:RXQ458816 SHM458773:SHM458816 SRI458773:SRI458816 TBE458773:TBE458816 TLA458773:TLA458816 TUW458773:TUW458816 UES458773:UES458816 UOO458773:UOO458816 UYK458773:UYK458816 VIG458773:VIG458816 VSC458773:VSC458816 WBY458773:WBY458816 WLU458773:WLU458816 WVQ458773:WVQ458816 F589845:I589888 JE524309:JE524352 TA524309:TA524352 ACW524309:ACW524352 AMS524309:AMS524352 AWO524309:AWO524352 BGK524309:BGK524352 BQG524309:BQG524352 CAC524309:CAC524352 CJY524309:CJY524352 CTU524309:CTU524352 DDQ524309:DDQ524352 DNM524309:DNM524352 DXI524309:DXI524352 EHE524309:EHE524352 ERA524309:ERA524352 FAW524309:FAW524352 FKS524309:FKS524352 FUO524309:FUO524352 GEK524309:GEK524352 GOG524309:GOG524352 GYC524309:GYC524352 HHY524309:HHY524352 HRU524309:HRU524352 IBQ524309:IBQ524352 ILM524309:ILM524352 IVI524309:IVI524352 JFE524309:JFE524352 JPA524309:JPA524352 JYW524309:JYW524352 KIS524309:KIS524352 KSO524309:KSO524352 LCK524309:LCK524352 LMG524309:LMG524352 LWC524309:LWC524352 MFY524309:MFY524352 MPU524309:MPU524352 MZQ524309:MZQ524352 NJM524309:NJM524352 NTI524309:NTI524352 ODE524309:ODE524352 ONA524309:ONA524352 OWW524309:OWW524352 PGS524309:PGS524352 PQO524309:PQO524352 QAK524309:QAK524352 QKG524309:QKG524352 QUC524309:QUC524352 RDY524309:RDY524352 RNU524309:RNU524352 RXQ524309:RXQ524352 SHM524309:SHM524352 SRI524309:SRI524352 TBE524309:TBE524352 TLA524309:TLA524352 TUW524309:TUW524352 UES524309:UES524352 UOO524309:UOO524352 UYK524309:UYK524352 VIG524309:VIG524352 VSC524309:VSC524352 WBY524309:WBY524352 WLU524309:WLU524352 WVQ524309:WVQ524352 F655381:I655424 JE589845:JE589888 TA589845:TA589888 ACW589845:ACW589888 AMS589845:AMS589888 AWO589845:AWO589888 BGK589845:BGK589888 BQG589845:BQG589888 CAC589845:CAC589888 CJY589845:CJY589888 CTU589845:CTU589888 DDQ589845:DDQ589888 DNM589845:DNM589888 DXI589845:DXI589888 EHE589845:EHE589888 ERA589845:ERA589888 FAW589845:FAW589888 FKS589845:FKS589888 FUO589845:FUO589888 GEK589845:GEK589888 GOG589845:GOG589888 GYC589845:GYC589888 HHY589845:HHY589888 HRU589845:HRU589888 IBQ589845:IBQ589888 ILM589845:ILM589888 IVI589845:IVI589888 JFE589845:JFE589888 JPA589845:JPA589888 JYW589845:JYW589888 KIS589845:KIS589888 KSO589845:KSO589888 LCK589845:LCK589888 LMG589845:LMG589888 LWC589845:LWC589888 MFY589845:MFY589888 MPU589845:MPU589888 MZQ589845:MZQ589888 NJM589845:NJM589888 NTI589845:NTI589888 ODE589845:ODE589888 ONA589845:ONA589888 OWW589845:OWW589888 PGS589845:PGS589888 PQO589845:PQO589888 QAK589845:QAK589888 QKG589845:QKG589888 QUC589845:QUC589888 RDY589845:RDY589888 RNU589845:RNU589888 RXQ589845:RXQ589888 SHM589845:SHM589888 SRI589845:SRI589888 TBE589845:TBE589888 TLA589845:TLA589888 TUW589845:TUW589888 UES589845:UES589888 UOO589845:UOO589888 UYK589845:UYK589888 VIG589845:VIG589888 VSC589845:VSC589888 WBY589845:WBY589888 WLU589845:WLU589888 WVQ589845:WVQ589888 F720917:I720960 JE655381:JE655424 TA655381:TA655424 ACW655381:ACW655424 AMS655381:AMS655424 AWO655381:AWO655424 BGK655381:BGK655424 BQG655381:BQG655424 CAC655381:CAC655424 CJY655381:CJY655424 CTU655381:CTU655424 DDQ655381:DDQ655424 DNM655381:DNM655424 DXI655381:DXI655424 EHE655381:EHE655424 ERA655381:ERA655424 FAW655381:FAW655424 FKS655381:FKS655424 FUO655381:FUO655424 GEK655381:GEK655424 GOG655381:GOG655424 GYC655381:GYC655424 HHY655381:HHY655424 HRU655381:HRU655424 IBQ655381:IBQ655424 ILM655381:ILM655424 IVI655381:IVI655424 JFE655381:JFE655424 JPA655381:JPA655424 JYW655381:JYW655424 KIS655381:KIS655424 KSO655381:KSO655424 LCK655381:LCK655424 LMG655381:LMG655424 LWC655381:LWC655424 MFY655381:MFY655424 MPU655381:MPU655424 MZQ655381:MZQ655424 NJM655381:NJM655424 NTI655381:NTI655424 ODE655381:ODE655424 ONA655381:ONA655424 OWW655381:OWW655424 PGS655381:PGS655424 PQO655381:PQO655424 QAK655381:QAK655424 QKG655381:QKG655424 QUC655381:QUC655424 RDY655381:RDY655424 RNU655381:RNU655424 RXQ655381:RXQ655424 SHM655381:SHM655424 SRI655381:SRI655424 TBE655381:TBE655424 TLA655381:TLA655424 TUW655381:TUW655424 UES655381:UES655424 UOO655381:UOO655424 UYK655381:UYK655424 VIG655381:VIG655424 VSC655381:VSC655424 WBY655381:WBY655424 WLU655381:WLU655424 WVQ655381:WVQ655424 F786453:I786496 JE720917:JE720960 TA720917:TA720960 ACW720917:ACW720960 AMS720917:AMS720960 AWO720917:AWO720960 BGK720917:BGK720960 BQG720917:BQG720960 CAC720917:CAC720960 CJY720917:CJY720960 CTU720917:CTU720960 DDQ720917:DDQ720960 DNM720917:DNM720960 DXI720917:DXI720960 EHE720917:EHE720960 ERA720917:ERA720960 FAW720917:FAW720960 FKS720917:FKS720960 FUO720917:FUO720960 GEK720917:GEK720960 GOG720917:GOG720960 GYC720917:GYC720960 HHY720917:HHY720960 HRU720917:HRU720960 IBQ720917:IBQ720960 ILM720917:ILM720960 IVI720917:IVI720960 JFE720917:JFE720960 JPA720917:JPA720960 JYW720917:JYW720960 KIS720917:KIS720960 KSO720917:KSO720960 LCK720917:LCK720960 LMG720917:LMG720960 LWC720917:LWC720960 MFY720917:MFY720960 MPU720917:MPU720960 MZQ720917:MZQ720960 NJM720917:NJM720960 NTI720917:NTI720960 ODE720917:ODE720960 ONA720917:ONA720960 OWW720917:OWW720960 PGS720917:PGS720960 PQO720917:PQO720960 QAK720917:QAK720960 QKG720917:QKG720960 QUC720917:QUC720960 RDY720917:RDY720960 RNU720917:RNU720960 RXQ720917:RXQ720960 SHM720917:SHM720960 SRI720917:SRI720960 TBE720917:TBE720960 TLA720917:TLA720960 TUW720917:TUW720960 UES720917:UES720960 UOO720917:UOO720960 UYK720917:UYK720960 VIG720917:VIG720960 VSC720917:VSC720960 WBY720917:WBY720960 WLU720917:WLU720960 WVQ720917:WVQ720960 F851989:I852032 JE786453:JE786496 TA786453:TA786496 ACW786453:ACW786496 AMS786453:AMS786496 AWO786453:AWO786496 BGK786453:BGK786496 BQG786453:BQG786496 CAC786453:CAC786496 CJY786453:CJY786496 CTU786453:CTU786496 DDQ786453:DDQ786496 DNM786453:DNM786496 DXI786453:DXI786496 EHE786453:EHE786496 ERA786453:ERA786496 FAW786453:FAW786496 FKS786453:FKS786496 FUO786453:FUO786496 GEK786453:GEK786496 GOG786453:GOG786496 GYC786453:GYC786496 HHY786453:HHY786496 HRU786453:HRU786496 IBQ786453:IBQ786496 ILM786453:ILM786496 IVI786453:IVI786496 JFE786453:JFE786496 JPA786453:JPA786496 JYW786453:JYW786496 KIS786453:KIS786496 KSO786453:KSO786496 LCK786453:LCK786496 LMG786453:LMG786496 LWC786453:LWC786496 MFY786453:MFY786496 MPU786453:MPU786496 MZQ786453:MZQ786496 NJM786453:NJM786496 NTI786453:NTI786496 ODE786453:ODE786496 ONA786453:ONA786496 OWW786453:OWW786496 PGS786453:PGS786496 PQO786453:PQO786496 QAK786453:QAK786496 QKG786453:QKG786496 QUC786453:QUC786496 RDY786453:RDY786496 RNU786453:RNU786496 RXQ786453:RXQ786496 SHM786453:SHM786496 SRI786453:SRI786496 TBE786453:TBE786496 TLA786453:TLA786496 TUW786453:TUW786496 UES786453:UES786496 UOO786453:UOO786496 UYK786453:UYK786496 VIG786453:VIG786496 VSC786453:VSC786496 WBY786453:WBY786496 WLU786453:WLU786496 WVQ786453:WVQ786496 F917525:I917568 JE851989:JE852032 TA851989:TA852032 ACW851989:ACW852032 AMS851989:AMS852032 AWO851989:AWO852032 BGK851989:BGK852032 BQG851989:BQG852032 CAC851989:CAC852032 CJY851989:CJY852032 CTU851989:CTU852032 DDQ851989:DDQ852032 DNM851989:DNM852032 DXI851989:DXI852032 EHE851989:EHE852032 ERA851989:ERA852032 FAW851989:FAW852032 FKS851989:FKS852032 FUO851989:FUO852032 GEK851989:GEK852032 GOG851989:GOG852032 GYC851989:GYC852032 HHY851989:HHY852032 HRU851989:HRU852032 IBQ851989:IBQ852032 ILM851989:ILM852032 IVI851989:IVI852032 JFE851989:JFE852032 JPA851989:JPA852032 JYW851989:JYW852032 KIS851989:KIS852032 KSO851989:KSO852032 LCK851989:LCK852032 LMG851989:LMG852032 LWC851989:LWC852032 MFY851989:MFY852032 MPU851989:MPU852032 MZQ851989:MZQ852032 NJM851989:NJM852032 NTI851989:NTI852032 ODE851989:ODE852032 ONA851989:ONA852032 OWW851989:OWW852032 PGS851989:PGS852032 PQO851989:PQO852032 QAK851989:QAK852032 QKG851989:QKG852032 QUC851989:QUC852032 RDY851989:RDY852032 RNU851989:RNU852032 RXQ851989:RXQ852032 SHM851989:SHM852032 SRI851989:SRI852032 TBE851989:TBE852032 TLA851989:TLA852032 TUW851989:TUW852032 UES851989:UES852032 UOO851989:UOO852032 UYK851989:UYK852032 VIG851989:VIG852032 VSC851989:VSC852032 WBY851989:WBY852032 WLU851989:WLU852032 WVQ851989:WVQ852032 F983061:I983104 JE917525:JE917568 TA917525:TA917568 ACW917525:ACW917568 AMS917525:AMS917568 AWO917525:AWO917568 BGK917525:BGK917568 BQG917525:BQG917568 CAC917525:CAC917568 CJY917525:CJY917568 CTU917525:CTU917568 DDQ917525:DDQ917568 DNM917525:DNM917568 DXI917525:DXI917568 EHE917525:EHE917568 ERA917525:ERA917568 FAW917525:FAW917568 FKS917525:FKS917568 FUO917525:FUO917568 GEK917525:GEK917568 GOG917525:GOG917568 GYC917525:GYC917568 HHY917525:HHY917568 HRU917525:HRU917568 IBQ917525:IBQ917568 ILM917525:ILM917568 IVI917525:IVI917568 JFE917525:JFE917568 JPA917525:JPA917568 JYW917525:JYW917568 KIS917525:KIS917568 KSO917525:KSO917568 LCK917525:LCK917568 LMG917525:LMG917568 LWC917525:LWC917568 MFY917525:MFY917568 MPU917525:MPU917568 MZQ917525:MZQ917568 NJM917525:NJM917568 NTI917525:NTI917568 ODE917525:ODE917568 ONA917525:ONA917568 OWW917525:OWW917568 PGS917525:PGS917568 PQO917525:PQO917568 QAK917525:QAK917568 QKG917525:QKG917568 QUC917525:QUC917568 RDY917525:RDY917568 RNU917525:RNU917568 RXQ917525:RXQ917568 SHM917525:SHM917568 SRI917525:SRI917568 TBE917525:TBE917568 TLA917525:TLA917568 TUW917525:TUW917568 UES917525:UES917568 UOO917525:UOO917568 UYK917525:UYK917568 VIG917525:VIG917568 VSC917525:VSC917568 WBY917525:WBY917568 WLU917525:WLU917568 WVQ917525:WVQ917568 G74:I118 JE983061:JE983104 TA983061:TA983104 ACW983061:ACW983104 AMS983061:AMS983104 AWO983061:AWO983104 BGK983061:BGK983104 BQG983061:BQG983104 CAC983061:CAC983104 CJY983061:CJY983104 CTU983061:CTU983104 DDQ983061:DDQ983104 DNM983061:DNM983104 DXI983061:DXI983104 EHE983061:EHE983104 ERA983061:ERA983104 FAW983061:FAW983104 FKS983061:FKS983104 FUO983061:FUO983104 GEK983061:GEK983104 GOG983061:GOG983104 GYC983061:GYC983104 HHY983061:HHY983104 HRU983061:HRU983104 IBQ983061:IBQ983104 ILM983061:ILM983104 IVI983061:IVI983104 JFE983061:JFE983104 JPA983061:JPA983104 JYW983061:JYW983104 KIS983061:KIS983104 KSO983061:KSO983104 LCK983061:LCK983104 LMG983061:LMG983104 LWC983061:LWC983104 MFY983061:MFY983104 MPU983061:MPU983104 MZQ983061:MZQ983104 NJM983061:NJM983104 NTI983061:NTI983104 ODE983061:ODE983104 ONA983061:ONA983104 OWW983061:OWW983104 PGS983061:PGS983104 PQO983061:PQO983104 QAK983061:QAK983104 QKG983061:QKG983104 QUC983061:QUC983104 RDY983061:RDY983104 RNU983061:RNU983104 RXQ983061:RXQ983104 SHM983061:SHM983104 SRI983061:SRI983104 TBE983061:TBE983104 TLA983061:TLA983104 TUW983061:TUW983104 UES983061:UES983104 UOO983061:UOO983104 UYK983061:UYK983104 VIG983061:VIG983104 VSC983061:VSC983104 WBY983061:WBY983104 WLU983061:WLU983104 WVQ983061:WVQ983104 WVO983061:WVO983104 D65557:D65600 JC65557:JC65600 SY65557:SY65600 ACU65557:ACU65600 AMQ65557:AMQ65600 AWM65557:AWM65600 BGI65557:BGI65600 BQE65557:BQE65600 CAA65557:CAA65600 CJW65557:CJW65600 CTS65557:CTS65600 DDO65557:DDO65600 DNK65557:DNK65600 DXG65557:DXG65600 EHC65557:EHC65600 EQY65557:EQY65600 FAU65557:FAU65600 FKQ65557:FKQ65600 FUM65557:FUM65600 GEI65557:GEI65600 GOE65557:GOE65600 GYA65557:GYA65600 HHW65557:HHW65600 HRS65557:HRS65600 IBO65557:IBO65600 ILK65557:ILK65600 IVG65557:IVG65600 JFC65557:JFC65600 JOY65557:JOY65600 JYU65557:JYU65600 KIQ65557:KIQ65600 KSM65557:KSM65600 LCI65557:LCI65600 LME65557:LME65600 LWA65557:LWA65600 MFW65557:MFW65600 MPS65557:MPS65600 MZO65557:MZO65600 NJK65557:NJK65600 NTG65557:NTG65600 ODC65557:ODC65600 OMY65557:OMY65600 OWU65557:OWU65600 PGQ65557:PGQ65600 PQM65557:PQM65600 QAI65557:QAI65600 QKE65557:QKE65600 QUA65557:QUA65600 RDW65557:RDW65600 RNS65557:RNS65600 RXO65557:RXO65600 SHK65557:SHK65600 SRG65557:SRG65600 TBC65557:TBC65600 TKY65557:TKY65600 TUU65557:TUU65600 UEQ65557:UEQ65600 UOM65557:UOM65600 UYI65557:UYI65600 VIE65557:VIE65600 VSA65557:VSA65600 WBW65557:WBW65600 WLS65557:WLS65600 WVO65557:WVO65600 D131093:D131136 JC131093:JC131136 SY131093:SY131136 ACU131093:ACU131136 AMQ131093:AMQ131136 AWM131093:AWM131136 BGI131093:BGI131136 BQE131093:BQE131136 CAA131093:CAA131136 CJW131093:CJW131136 CTS131093:CTS131136 DDO131093:DDO131136 DNK131093:DNK131136 DXG131093:DXG131136 EHC131093:EHC131136 EQY131093:EQY131136 FAU131093:FAU131136 FKQ131093:FKQ131136 FUM131093:FUM131136 GEI131093:GEI131136 GOE131093:GOE131136 GYA131093:GYA131136 HHW131093:HHW131136 HRS131093:HRS131136 IBO131093:IBO131136 ILK131093:ILK131136 IVG131093:IVG131136 JFC131093:JFC131136 JOY131093:JOY131136 JYU131093:JYU131136 KIQ131093:KIQ131136 KSM131093:KSM131136 LCI131093:LCI131136 LME131093:LME131136 LWA131093:LWA131136 MFW131093:MFW131136 MPS131093:MPS131136 MZO131093:MZO131136 NJK131093:NJK131136 NTG131093:NTG131136 ODC131093:ODC131136 OMY131093:OMY131136 OWU131093:OWU131136 PGQ131093:PGQ131136 PQM131093:PQM131136 QAI131093:QAI131136 QKE131093:QKE131136 QUA131093:QUA131136 RDW131093:RDW131136 RNS131093:RNS131136 RXO131093:RXO131136 SHK131093:SHK131136 SRG131093:SRG131136 TBC131093:TBC131136 TKY131093:TKY131136 TUU131093:TUU131136 UEQ131093:UEQ131136 UOM131093:UOM131136 UYI131093:UYI131136 VIE131093:VIE131136 VSA131093:VSA131136 WBW131093:WBW131136 WLS131093:WLS131136 WVO131093:WVO131136 D196629:D196672 JC196629:JC196672 SY196629:SY196672 ACU196629:ACU196672 AMQ196629:AMQ196672 AWM196629:AWM196672 BGI196629:BGI196672 BQE196629:BQE196672 CAA196629:CAA196672 CJW196629:CJW196672 CTS196629:CTS196672 DDO196629:DDO196672 DNK196629:DNK196672 DXG196629:DXG196672 EHC196629:EHC196672 EQY196629:EQY196672 FAU196629:FAU196672 FKQ196629:FKQ196672 FUM196629:FUM196672 GEI196629:GEI196672 GOE196629:GOE196672 GYA196629:GYA196672 HHW196629:HHW196672 HRS196629:HRS196672 IBO196629:IBO196672 ILK196629:ILK196672 IVG196629:IVG196672 JFC196629:JFC196672 JOY196629:JOY196672 JYU196629:JYU196672 KIQ196629:KIQ196672 KSM196629:KSM196672 LCI196629:LCI196672 LME196629:LME196672 LWA196629:LWA196672 MFW196629:MFW196672 MPS196629:MPS196672 MZO196629:MZO196672 NJK196629:NJK196672 NTG196629:NTG196672 ODC196629:ODC196672 OMY196629:OMY196672 OWU196629:OWU196672 PGQ196629:PGQ196672 PQM196629:PQM196672 QAI196629:QAI196672 QKE196629:QKE196672 QUA196629:QUA196672 RDW196629:RDW196672 RNS196629:RNS196672 RXO196629:RXO196672 SHK196629:SHK196672 SRG196629:SRG196672 TBC196629:TBC196672 TKY196629:TKY196672 TUU196629:TUU196672 UEQ196629:UEQ196672 UOM196629:UOM196672 UYI196629:UYI196672 VIE196629:VIE196672 VSA196629:VSA196672 WBW196629:WBW196672 WLS196629:WLS196672 WVO196629:WVO196672 D262165:D262208 JC262165:JC262208 SY262165:SY262208 ACU262165:ACU262208 AMQ262165:AMQ262208 AWM262165:AWM262208 BGI262165:BGI262208 BQE262165:BQE262208 CAA262165:CAA262208 CJW262165:CJW262208 CTS262165:CTS262208 DDO262165:DDO262208 DNK262165:DNK262208 DXG262165:DXG262208 EHC262165:EHC262208 EQY262165:EQY262208 FAU262165:FAU262208 FKQ262165:FKQ262208 FUM262165:FUM262208 GEI262165:GEI262208 GOE262165:GOE262208 GYA262165:GYA262208 HHW262165:HHW262208 HRS262165:HRS262208 IBO262165:IBO262208 ILK262165:ILK262208 IVG262165:IVG262208 JFC262165:JFC262208 JOY262165:JOY262208 JYU262165:JYU262208 KIQ262165:KIQ262208 KSM262165:KSM262208 LCI262165:LCI262208 LME262165:LME262208 LWA262165:LWA262208 MFW262165:MFW262208 MPS262165:MPS262208 MZO262165:MZO262208 NJK262165:NJK262208 NTG262165:NTG262208 ODC262165:ODC262208 OMY262165:OMY262208 OWU262165:OWU262208 PGQ262165:PGQ262208 PQM262165:PQM262208 QAI262165:QAI262208 QKE262165:QKE262208 QUA262165:QUA262208 RDW262165:RDW262208 RNS262165:RNS262208 RXO262165:RXO262208 SHK262165:SHK262208 SRG262165:SRG262208 TBC262165:TBC262208 TKY262165:TKY262208 TUU262165:TUU262208 UEQ262165:UEQ262208 UOM262165:UOM262208 UYI262165:UYI262208 VIE262165:VIE262208 VSA262165:VSA262208 WBW262165:WBW262208 WLS262165:WLS262208 WVO262165:WVO262208 D327701:D327744 JC327701:JC327744 SY327701:SY327744 ACU327701:ACU327744 AMQ327701:AMQ327744 AWM327701:AWM327744 BGI327701:BGI327744 BQE327701:BQE327744 CAA327701:CAA327744 CJW327701:CJW327744 CTS327701:CTS327744 DDO327701:DDO327744 DNK327701:DNK327744 DXG327701:DXG327744 EHC327701:EHC327744 EQY327701:EQY327744 FAU327701:FAU327744 FKQ327701:FKQ327744 FUM327701:FUM327744 GEI327701:GEI327744 GOE327701:GOE327744 GYA327701:GYA327744 HHW327701:HHW327744 HRS327701:HRS327744 IBO327701:IBO327744 ILK327701:ILK327744 IVG327701:IVG327744 JFC327701:JFC327744 JOY327701:JOY327744 JYU327701:JYU327744 KIQ327701:KIQ327744 KSM327701:KSM327744 LCI327701:LCI327744 LME327701:LME327744 LWA327701:LWA327744 MFW327701:MFW327744 MPS327701:MPS327744 MZO327701:MZO327744 NJK327701:NJK327744 NTG327701:NTG327744 ODC327701:ODC327744 OMY327701:OMY327744 OWU327701:OWU327744 PGQ327701:PGQ327744 PQM327701:PQM327744 QAI327701:QAI327744 QKE327701:QKE327744 QUA327701:QUA327744 RDW327701:RDW327744 RNS327701:RNS327744 RXO327701:RXO327744 SHK327701:SHK327744 SRG327701:SRG327744 TBC327701:TBC327744 TKY327701:TKY327744 TUU327701:TUU327744 UEQ327701:UEQ327744 UOM327701:UOM327744 UYI327701:UYI327744 VIE327701:VIE327744 VSA327701:VSA327744 WBW327701:WBW327744 WLS327701:WLS327744 WVO327701:WVO327744 D393237:D393280 JC393237:JC393280 SY393237:SY393280 ACU393237:ACU393280 AMQ393237:AMQ393280 AWM393237:AWM393280 BGI393237:BGI393280 BQE393237:BQE393280 CAA393237:CAA393280 CJW393237:CJW393280 CTS393237:CTS393280 DDO393237:DDO393280 DNK393237:DNK393280 DXG393237:DXG393280 EHC393237:EHC393280 EQY393237:EQY393280 FAU393237:FAU393280 FKQ393237:FKQ393280 FUM393237:FUM393280 GEI393237:GEI393280 GOE393237:GOE393280 GYA393237:GYA393280 HHW393237:HHW393280 HRS393237:HRS393280 IBO393237:IBO393280 ILK393237:ILK393280 IVG393237:IVG393280 JFC393237:JFC393280 JOY393237:JOY393280 JYU393237:JYU393280 KIQ393237:KIQ393280 KSM393237:KSM393280 LCI393237:LCI393280 LME393237:LME393280 LWA393237:LWA393280 MFW393237:MFW393280 MPS393237:MPS393280 MZO393237:MZO393280 NJK393237:NJK393280 NTG393237:NTG393280 ODC393237:ODC393280 OMY393237:OMY393280 OWU393237:OWU393280 PGQ393237:PGQ393280 PQM393237:PQM393280 QAI393237:QAI393280 QKE393237:QKE393280 QUA393237:QUA393280 RDW393237:RDW393280 RNS393237:RNS393280 RXO393237:RXO393280 SHK393237:SHK393280 SRG393237:SRG393280 TBC393237:TBC393280 TKY393237:TKY393280 TUU393237:TUU393280 UEQ393237:UEQ393280 UOM393237:UOM393280 UYI393237:UYI393280 VIE393237:VIE393280 VSA393237:VSA393280 WBW393237:WBW393280 WLS393237:WLS393280 WVO393237:WVO393280 D458773:D458816 JC458773:JC458816 SY458773:SY458816 ACU458773:ACU458816 AMQ458773:AMQ458816 AWM458773:AWM458816 BGI458773:BGI458816 BQE458773:BQE458816 CAA458773:CAA458816 CJW458773:CJW458816 CTS458773:CTS458816 DDO458773:DDO458816 DNK458773:DNK458816 DXG458773:DXG458816 EHC458773:EHC458816 EQY458773:EQY458816 FAU458773:FAU458816 FKQ458773:FKQ458816 FUM458773:FUM458816 GEI458773:GEI458816 GOE458773:GOE458816 GYA458773:GYA458816 HHW458773:HHW458816 HRS458773:HRS458816 IBO458773:IBO458816 ILK458773:ILK458816 IVG458773:IVG458816 JFC458773:JFC458816 JOY458773:JOY458816 JYU458773:JYU458816 KIQ458773:KIQ458816 KSM458773:KSM458816 LCI458773:LCI458816 LME458773:LME458816 LWA458773:LWA458816 MFW458773:MFW458816 MPS458773:MPS458816 MZO458773:MZO458816 NJK458773:NJK458816 NTG458773:NTG458816 ODC458773:ODC458816 OMY458773:OMY458816 OWU458773:OWU458816 PGQ458773:PGQ458816 PQM458773:PQM458816 QAI458773:QAI458816 QKE458773:QKE458816 QUA458773:QUA458816 RDW458773:RDW458816 RNS458773:RNS458816 RXO458773:RXO458816 SHK458773:SHK458816 SRG458773:SRG458816 TBC458773:TBC458816 TKY458773:TKY458816 TUU458773:TUU458816 UEQ458773:UEQ458816 UOM458773:UOM458816 UYI458773:UYI458816 VIE458773:VIE458816 VSA458773:VSA458816 WBW458773:WBW458816 WLS458773:WLS458816 WVO458773:WVO458816 D524309:D524352 JC524309:JC524352 SY524309:SY524352 ACU524309:ACU524352 AMQ524309:AMQ524352 AWM524309:AWM524352 BGI524309:BGI524352 BQE524309:BQE524352 CAA524309:CAA524352 CJW524309:CJW524352 CTS524309:CTS524352 DDO524309:DDO524352 DNK524309:DNK524352 DXG524309:DXG524352 EHC524309:EHC524352 EQY524309:EQY524352 FAU524309:FAU524352 FKQ524309:FKQ524352 FUM524309:FUM524352 GEI524309:GEI524352 GOE524309:GOE524352 GYA524309:GYA524352 HHW524309:HHW524352 HRS524309:HRS524352 IBO524309:IBO524352 ILK524309:ILK524352 IVG524309:IVG524352 JFC524309:JFC524352 JOY524309:JOY524352 JYU524309:JYU524352 KIQ524309:KIQ524352 KSM524309:KSM524352 LCI524309:LCI524352 LME524309:LME524352 LWA524309:LWA524352 MFW524309:MFW524352 MPS524309:MPS524352 MZO524309:MZO524352 NJK524309:NJK524352 NTG524309:NTG524352 ODC524309:ODC524352 OMY524309:OMY524352 OWU524309:OWU524352 PGQ524309:PGQ524352 PQM524309:PQM524352 QAI524309:QAI524352 QKE524309:QKE524352 QUA524309:QUA524352 RDW524309:RDW524352 RNS524309:RNS524352 RXO524309:RXO524352 SHK524309:SHK524352 SRG524309:SRG524352 TBC524309:TBC524352 TKY524309:TKY524352 TUU524309:TUU524352 UEQ524309:UEQ524352 UOM524309:UOM524352 UYI524309:UYI524352 VIE524309:VIE524352 VSA524309:VSA524352 WBW524309:WBW524352 WLS524309:WLS524352 WVO524309:WVO524352 D589845:D589888 JC589845:JC589888 SY589845:SY589888 ACU589845:ACU589888 AMQ589845:AMQ589888 AWM589845:AWM589888 BGI589845:BGI589888 BQE589845:BQE589888 CAA589845:CAA589888 CJW589845:CJW589888 CTS589845:CTS589888 DDO589845:DDO589888 DNK589845:DNK589888 DXG589845:DXG589888 EHC589845:EHC589888 EQY589845:EQY589888 FAU589845:FAU589888 FKQ589845:FKQ589888 FUM589845:FUM589888 GEI589845:GEI589888 GOE589845:GOE589888 GYA589845:GYA589888 HHW589845:HHW589888 HRS589845:HRS589888 IBO589845:IBO589888 ILK589845:ILK589888 IVG589845:IVG589888 JFC589845:JFC589888 JOY589845:JOY589888 JYU589845:JYU589888 KIQ589845:KIQ589888 KSM589845:KSM589888 LCI589845:LCI589888 LME589845:LME589888 LWA589845:LWA589888 MFW589845:MFW589888 MPS589845:MPS589888 MZO589845:MZO589888 NJK589845:NJK589888 NTG589845:NTG589888 ODC589845:ODC589888 OMY589845:OMY589888 OWU589845:OWU589888 PGQ589845:PGQ589888 PQM589845:PQM589888 QAI589845:QAI589888 QKE589845:QKE589888 QUA589845:QUA589888 RDW589845:RDW589888 RNS589845:RNS589888 RXO589845:RXO589888 SHK589845:SHK589888 SRG589845:SRG589888 TBC589845:TBC589888 TKY589845:TKY589888 TUU589845:TUU589888 UEQ589845:UEQ589888 UOM589845:UOM589888 UYI589845:UYI589888 VIE589845:VIE589888 VSA589845:VSA589888 WBW589845:WBW589888 WLS589845:WLS589888 WVO589845:WVO589888 D655381:D655424 JC655381:JC655424 SY655381:SY655424 ACU655381:ACU655424 AMQ655381:AMQ655424 AWM655381:AWM655424 BGI655381:BGI655424 BQE655381:BQE655424 CAA655381:CAA655424 CJW655381:CJW655424 CTS655381:CTS655424 DDO655381:DDO655424 DNK655381:DNK655424 DXG655381:DXG655424 EHC655381:EHC655424 EQY655381:EQY655424 FAU655381:FAU655424 FKQ655381:FKQ655424 FUM655381:FUM655424 GEI655381:GEI655424 GOE655381:GOE655424 GYA655381:GYA655424 HHW655381:HHW655424 HRS655381:HRS655424 IBO655381:IBO655424 ILK655381:ILK655424 IVG655381:IVG655424 JFC655381:JFC655424 JOY655381:JOY655424 JYU655381:JYU655424 KIQ655381:KIQ655424 KSM655381:KSM655424 LCI655381:LCI655424 LME655381:LME655424 LWA655381:LWA655424 MFW655381:MFW655424 MPS655381:MPS655424 MZO655381:MZO655424 NJK655381:NJK655424 NTG655381:NTG655424 ODC655381:ODC655424 OMY655381:OMY655424 OWU655381:OWU655424 PGQ655381:PGQ655424 PQM655381:PQM655424 QAI655381:QAI655424 QKE655381:QKE655424 QUA655381:QUA655424 RDW655381:RDW655424 RNS655381:RNS655424 RXO655381:RXO655424 SHK655381:SHK655424 SRG655381:SRG655424 TBC655381:TBC655424 TKY655381:TKY655424 TUU655381:TUU655424 UEQ655381:UEQ655424 UOM655381:UOM655424 UYI655381:UYI655424 VIE655381:VIE655424 VSA655381:VSA655424 WBW655381:WBW655424 WLS655381:WLS655424 WVO655381:WVO655424 D720917:D720960 JC720917:JC720960 SY720917:SY720960 ACU720917:ACU720960 AMQ720917:AMQ720960 AWM720917:AWM720960 BGI720917:BGI720960 BQE720917:BQE720960 CAA720917:CAA720960 CJW720917:CJW720960 CTS720917:CTS720960 DDO720917:DDO720960 DNK720917:DNK720960 DXG720917:DXG720960 EHC720917:EHC720960 EQY720917:EQY720960 FAU720917:FAU720960 FKQ720917:FKQ720960 FUM720917:FUM720960 GEI720917:GEI720960 GOE720917:GOE720960 GYA720917:GYA720960 HHW720917:HHW720960 HRS720917:HRS720960 IBO720917:IBO720960 ILK720917:ILK720960 IVG720917:IVG720960 JFC720917:JFC720960 JOY720917:JOY720960 JYU720917:JYU720960 KIQ720917:KIQ720960 KSM720917:KSM720960 LCI720917:LCI720960 LME720917:LME720960 LWA720917:LWA720960 MFW720917:MFW720960 MPS720917:MPS720960 MZO720917:MZO720960 NJK720917:NJK720960 NTG720917:NTG720960 ODC720917:ODC720960 OMY720917:OMY720960 OWU720917:OWU720960 PGQ720917:PGQ720960 PQM720917:PQM720960 QAI720917:QAI720960 QKE720917:QKE720960 QUA720917:QUA720960 RDW720917:RDW720960 RNS720917:RNS720960 RXO720917:RXO720960 SHK720917:SHK720960 SRG720917:SRG720960 TBC720917:TBC720960 TKY720917:TKY720960 TUU720917:TUU720960 UEQ720917:UEQ720960 UOM720917:UOM720960 UYI720917:UYI720960 VIE720917:VIE720960 VSA720917:VSA720960 WBW720917:WBW720960 WLS720917:WLS720960 WVO720917:WVO720960 D786453:D786496 JC786453:JC786496 SY786453:SY786496 ACU786453:ACU786496 AMQ786453:AMQ786496 AWM786453:AWM786496 BGI786453:BGI786496 BQE786453:BQE786496 CAA786453:CAA786496 CJW786453:CJW786496 CTS786453:CTS786496 DDO786453:DDO786496 DNK786453:DNK786496 DXG786453:DXG786496 EHC786453:EHC786496 EQY786453:EQY786496 FAU786453:FAU786496 FKQ786453:FKQ786496 FUM786453:FUM786496 GEI786453:GEI786496 GOE786453:GOE786496 GYA786453:GYA786496 HHW786453:HHW786496 HRS786453:HRS786496 IBO786453:IBO786496 ILK786453:ILK786496 IVG786453:IVG786496 JFC786453:JFC786496 JOY786453:JOY786496 JYU786453:JYU786496 KIQ786453:KIQ786496 KSM786453:KSM786496 LCI786453:LCI786496 LME786453:LME786496 LWA786453:LWA786496 MFW786453:MFW786496 MPS786453:MPS786496 MZO786453:MZO786496 NJK786453:NJK786496 NTG786453:NTG786496 ODC786453:ODC786496 OMY786453:OMY786496 OWU786453:OWU786496 PGQ786453:PGQ786496 PQM786453:PQM786496 QAI786453:QAI786496 QKE786453:QKE786496 QUA786453:QUA786496 RDW786453:RDW786496 RNS786453:RNS786496 RXO786453:RXO786496 SHK786453:SHK786496 SRG786453:SRG786496 TBC786453:TBC786496 TKY786453:TKY786496 TUU786453:TUU786496 UEQ786453:UEQ786496 UOM786453:UOM786496 UYI786453:UYI786496 VIE786453:VIE786496 VSA786453:VSA786496 WBW786453:WBW786496 WLS786453:WLS786496 WVO786453:WVO786496 D851989:D852032 JC851989:JC852032 SY851989:SY852032 ACU851989:ACU852032 AMQ851989:AMQ852032 AWM851989:AWM852032 BGI851989:BGI852032 BQE851989:BQE852032 CAA851989:CAA852032 CJW851989:CJW852032 CTS851989:CTS852032 DDO851989:DDO852032 DNK851989:DNK852032 DXG851989:DXG852032 EHC851989:EHC852032 EQY851989:EQY852032 FAU851989:FAU852032 FKQ851989:FKQ852032 FUM851989:FUM852032 GEI851989:GEI852032 GOE851989:GOE852032 GYA851989:GYA852032 HHW851989:HHW852032 HRS851989:HRS852032 IBO851989:IBO852032 ILK851989:ILK852032 IVG851989:IVG852032 JFC851989:JFC852032 JOY851989:JOY852032 JYU851989:JYU852032 KIQ851989:KIQ852032 KSM851989:KSM852032 LCI851989:LCI852032 LME851989:LME852032 LWA851989:LWA852032 MFW851989:MFW852032 MPS851989:MPS852032 MZO851989:MZO852032 NJK851989:NJK852032 NTG851989:NTG852032 ODC851989:ODC852032 OMY851989:OMY852032 OWU851989:OWU852032 PGQ851989:PGQ852032 PQM851989:PQM852032 QAI851989:QAI852032 QKE851989:QKE852032 QUA851989:QUA852032 RDW851989:RDW852032 RNS851989:RNS852032 RXO851989:RXO852032 SHK851989:SHK852032 SRG851989:SRG852032 TBC851989:TBC852032 TKY851989:TKY852032 TUU851989:TUU852032 UEQ851989:UEQ852032 UOM851989:UOM852032 UYI851989:UYI852032 VIE851989:VIE852032 VSA851989:VSA852032 WBW851989:WBW852032 WLS851989:WLS852032 WVO851989:WVO852032 D917525:D917568 JC917525:JC917568 SY917525:SY917568 ACU917525:ACU917568 AMQ917525:AMQ917568 AWM917525:AWM917568 BGI917525:BGI917568 BQE917525:BQE917568 CAA917525:CAA917568 CJW917525:CJW917568 CTS917525:CTS917568 DDO917525:DDO917568 DNK917525:DNK917568 DXG917525:DXG917568 EHC917525:EHC917568 EQY917525:EQY917568 FAU917525:FAU917568 FKQ917525:FKQ917568 FUM917525:FUM917568 GEI917525:GEI917568 GOE917525:GOE917568 GYA917525:GYA917568 HHW917525:HHW917568 HRS917525:HRS917568 IBO917525:IBO917568 ILK917525:ILK917568 IVG917525:IVG917568 JFC917525:JFC917568 JOY917525:JOY917568 JYU917525:JYU917568 KIQ917525:KIQ917568 KSM917525:KSM917568 LCI917525:LCI917568 LME917525:LME917568 LWA917525:LWA917568 MFW917525:MFW917568 MPS917525:MPS917568 MZO917525:MZO917568 NJK917525:NJK917568 NTG917525:NTG917568 ODC917525:ODC917568 OMY917525:OMY917568 OWU917525:OWU917568 PGQ917525:PGQ917568 PQM917525:PQM917568 QAI917525:QAI917568 QKE917525:QKE917568 QUA917525:QUA917568 RDW917525:RDW917568 RNS917525:RNS917568 RXO917525:RXO917568 SHK917525:SHK917568 SRG917525:SRG917568 TBC917525:TBC917568 TKY917525:TKY917568 TUU917525:TUU917568 UEQ917525:UEQ917568 UOM917525:UOM917568 UYI917525:UYI917568 VIE917525:VIE917568 VSA917525:VSA917568 WBW917525:WBW917568 WLS917525:WLS917568 WVO917525:WVO917568 D983061:D983104 JC983061:JC983104 SY983061:SY983104 ACU983061:ACU983104 AMQ983061:AMQ983104 AWM983061:AWM983104 BGI983061:BGI983104 BQE983061:BQE983104 CAA983061:CAA983104 CJW983061:CJW983104 CTS983061:CTS983104 DDO983061:DDO983104 DNK983061:DNK983104 DXG983061:DXG983104 EHC983061:EHC983104 EQY983061:EQY983104 FAU983061:FAU983104 FKQ983061:FKQ983104 FUM983061:FUM983104 GEI983061:GEI983104 GOE983061:GOE983104 GYA983061:GYA983104 HHW983061:HHW983104 HRS983061:HRS983104 IBO983061:IBO983104 ILK983061:ILK983104 IVG983061:IVG983104 JFC983061:JFC983104 JOY983061:JOY983104 JYU983061:JYU983104 KIQ983061:KIQ983104 KSM983061:KSM983104 LCI983061:LCI983104 LME983061:LME983104 LWA983061:LWA983104 MFW983061:MFW983104 MPS983061:MPS983104 MZO983061:MZO983104 NJK983061:NJK983104 NTG983061:NTG983104 ODC983061:ODC983104 OMY983061:OMY983104 OWU983061:OWU983104 PGQ983061:PGQ983104 PQM983061:PQM983104 QAI983061:QAI983104 QKE983061:QKE983104 QUA983061:QUA983104 RDW983061:RDW983104 RNS983061:RNS983104 RXO983061:RXO983104 SHK983061:SHK983104 SRG983061:SRG983104 TBC983061:TBC983104 TKY983061:TKY983104 TUU983061:TUU983104 UEQ983061:UEQ983104 UOM983061:UOM983104 UYI983061:UYI983104 VIE983061:VIE983104 VSA983061:VSA983104 WBW983061:WBW983104 WLS983061:WLS983104 WVO20:WVO64 WLS20:WLS64 WBW20:WBW64 VSA20:VSA64 VIE20:VIE64 UYI20:UYI64 UOM20:UOM64 UEQ20:UEQ64 TUU20:TUU64 TKY20:TKY64 TBC20:TBC64 SRG20:SRG64 SHK20:SHK64 RXO20:RXO64 RNS20:RNS64 RDW20:RDW64 QUA20:QUA64 QKE20:QKE64 QAI20:QAI64 PQM20:PQM64 PGQ20:PGQ64 OWU20:OWU64 OMY20:OMY64 ODC20:ODC64 NTG20:NTG64 NJK20:NJK64 MZO20:MZO64 MPS20:MPS64 MFW20:MFW64 LWA20:LWA64 LME20:LME64 LCI20:LCI64 KSM20:KSM64 KIQ20:KIQ64 JYU20:JYU64 JOY20:JOY64 JFC20:JFC64 IVG20:IVG64 ILK20:ILK64 IBO20:IBO64 HRS20:HRS64 HHW20:HHW64 GYA20:GYA64 GOE20:GOE64 GEI20:GEI64 FUM20:FUM64 FKQ20:FKQ64 FAU20:FAU64 EQY20:EQY64 EHC20:EHC64 DXG20:DXG64 DNK20:DNK64 DDO20:DDO64 CTS20:CTS64 CJW20:CJW64 CAA20:CAA64 BQE20:BQE64 BGI20:BGI64 AWM20:AWM64 AMQ20:AMQ64 ACU20:ACU64 SY20:SY64 JC20:JC64 WVQ20:WVQ64 WLU20:WLU64 WBY20:WBY64 VSC20:VSC64 VIG20:VIG64 UYK20:UYK64 UOO20:UOO64 UES20:UES64 TUW20:TUW64 TLA20:TLA64 TBE20:TBE64 SRI20:SRI64 SHM20:SHM64 RXQ20:RXQ64 RNU20:RNU64 RDY20:RDY64 QUC20:QUC64 QKG20:QKG64 QAK20:QAK64 PQO20:PQO64 PGS20:PGS64 OWW20:OWW64 ONA20:ONA64 ODE20:ODE64 NTI20:NTI64 NJM20:NJM64 MZQ20:MZQ64 MPU20:MPU64 MFY20:MFY64 LWC20:LWC64 LMG20:LMG64 LCK20:LCK64 KSO20:KSO64 KIS20:KIS64 JYW20:JYW64 JPA20:JPA64 JFE20:JFE64 IVI20:IVI64 ILM20:ILM64 IBQ20:IBQ64 HRU20:HRU64 HHY20:HHY64 GYC20:GYC64 GOG20:GOG64 GEK20:GEK64 FUO20:FUO64 FKS20:FKS64 FAW20:FAW64 ERA20:ERA64 EHE20:EHE64 DXI20:DXI64 DNM20:DNM64 DDQ20:DDQ64 CTU20:CTU64 CJY20:CJY64 CAC20:CAC64 BQG20:BQG64 BGK20:BGK64 AWO20:AWO64 AMS20:AMS64 ACW20:ACW64 TA20:TA64 JE20:JE64 D20:D64 G20:I64 WVO74:WVO118 WLS74:WLS118 WBW74:WBW118 VSA74:VSA118 VIE74:VIE118 UYI74:UYI118 UOM74:UOM118 UEQ74:UEQ118 TUU74:TUU118 TKY74:TKY118 TBC74:TBC118 SRG74:SRG118 SHK74:SHK118 RXO74:RXO118 RNS74:RNS118 RDW74:RDW118 QUA74:QUA118 QKE74:QKE118 QAI74:QAI118 PQM74:PQM118 PGQ74:PGQ118 OWU74:OWU118 OMY74:OMY118 ODC74:ODC118 NTG74:NTG118 NJK74:NJK118 MZO74:MZO118 MPS74:MPS118 MFW74:MFW118 LWA74:LWA118 LME74:LME118 LCI74:LCI118 KSM74:KSM118 KIQ74:KIQ118 JYU74:JYU118 JOY74:JOY118 JFC74:JFC118 IVG74:IVG118 ILK74:ILK118 IBO74:IBO118 HRS74:HRS118 HHW74:HHW118 GYA74:GYA118 GOE74:GOE118 GEI74:GEI118 FUM74:FUM118 FKQ74:FKQ118 FAU74:FAU118 EQY74:EQY118 EHC74:EHC118 DXG74:DXG118 DNK74:DNK118 DDO74:DDO118 CTS74:CTS118 CJW74:CJW118 CAA74:CAA118 BQE74:BQE118 BGI74:BGI118 AWM74:AWM118 AMQ74:AMQ118 ACU74:ACU118 SY74:SY118 JC74:JC118 WVQ74:WVQ118 WLU74:WLU118 WBY74:WBY118 VSC74:VSC118 VIG74:VIG118 UYK74:UYK118 UOO74:UOO118 UES74:UES118 TUW74:TUW118 TLA74:TLA118 TBE74:TBE118 SRI74:SRI118 SHM74:SHM118 RXQ74:RXQ118 RNU74:RNU118 RDY74:RDY118 QUC74:QUC118 QKG74:QKG118 QAK74:QAK118 PQO74:PQO118 PGS74:PGS118 OWW74:OWW118 ONA74:ONA118 ODE74:ODE118 NTI74:NTI118 NJM74:NJM118 MZQ74:MZQ118 MPU74:MPU118 MFY74:MFY118 LWC74:LWC118 LMG74:LMG118 LCK74:LCK118 KSO74:KSO118 KIS74:KIS118 JYW74:JYW118 JPA74:JPA118 JFE74:JFE118 IVI74:IVI118 ILM74:ILM118 IBQ74:IBQ118 HRU74:HRU118 HHY74:HHY118 GYC74:GYC118 GOG74:GOG118 GEK74:GEK118 FUO74:FUO118 FKS74:FKS118 FAW74:FAW118 ERA74:ERA118 EHE74:EHE118 DXI74:DXI118 DNM74:DNM118 DDQ74:DDQ118 CTU74:CTU118 CJY74:CJY118 CAC74:CAC118 BQG74:BQG118 BGK74:BGK118 AWO74:AWO118 AMS74:AMS118 ACW74:ACW118 TA74:TA118 JE74:JE118 D74:D118 F65557:I65600" xr:uid="{5E0C3CD0-CD8A-4CD1-8C0E-38BE2C63274C}">
      <formula1>0</formula1>
    </dataValidation>
    <dataValidation type="decimal" operator="greaterThanOrEqual" allowBlank="1" showInputMessage="1" showErrorMessage="1" errorTitle="Negatief bedrag" error="Gelieve een positieve waarde in te geven" sqref="WVN983061:WVN983104 C65557:C65600 JB65557:JB65600 SX65557:SX65600 ACT65557:ACT65600 AMP65557:AMP65600 AWL65557:AWL65600 BGH65557:BGH65600 BQD65557:BQD65600 BZZ65557:BZZ65600 CJV65557:CJV65600 CTR65557:CTR65600 DDN65557:DDN65600 DNJ65557:DNJ65600 DXF65557:DXF65600 EHB65557:EHB65600 EQX65557:EQX65600 FAT65557:FAT65600 FKP65557:FKP65600 FUL65557:FUL65600 GEH65557:GEH65600 GOD65557:GOD65600 GXZ65557:GXZ65600 HHV65557:HHV65600 HRR65557:HRR65600 IBN65557:IBN65600 ILJ65557:ILJ65600 IVF65557:IVF65600 JFB65557:JFB65600 JOX65557:JOX65600 JYT65557:JYT65600 KIP65557:KIP65600 KSL65557:KSL65600 LCH65557:LCH65600 LMD65557:LMD65600 LVZ65557:LVZ65600 MFV65557:MFV65600 MPR65557:MPR65600 MZN65557:MZN65600 NJJ65557:NJJ65600 NTF65557:NTF65600 ODB65557:ODB65600 OMX65557:OMX65600 OWT65557:OWT65600 PGP65557:PGP65600 PQL65557:PQL65600 QAH65557:QAH65600 QKD65557:QKD65600 QTZ65557:QTZ65600 RDV65557:RDV65600 RNR65557:RNR65600 RXN65557:RXN65600 SHJ65557:SHJ65600 SRF65557:SRF65600 TBB65557:TBB65600 TKX65557:TKX65600 TUT65557:TUT65600 UEP65557:UEP65600 UOL65557:UOL65600 UYH65557:UYH65600 VID65557:VID65600 VRZ65557:VRZ65600 WBV65557:WBV65600 WLR65557:WLR65600 WVN65557:WVN65600 C131093:C131136 JB131093:JB131136 SX131093:SX131136 ACT131093:ACT131136 AMP131093:AMP131136 AWL131093:AWL131136 BGH131093:BGH131136 BQD131093:BQD131136 BZZ131093:BZZ131136 CJV131093:CJV131136 CTR131093:CTR131136 DDN131093:DDN131136 DNJ131093:DNJ131136 DXF131093:DXF131136 EHB131093:EHB131136 EQX131093:EQX131136 FAT131093:FAT131136 FKP131093:FKP131136 FUL131093:FUL131136 GEH131093:GEH131136 GOD131093:GOD131136 GXZ131093:GXZ131136 HHV131093:HHV131136 HRR131093:HRR131136 IBN131093:IBN131136 ILJ131093:ILJ131136 IVF131093:IVF131136 JFB131093:JFB131136 JOX131093:JOX131136 JYT131093:JYT131136 KIP131093:KIP131136 KSL131093:KSL131136 LCH131093:LCH131136 LMD131093:LMD131136 LVZ131093:LVZ131136 MFV131093:MFV131136 MPR131093:MPR131136 MZN131093:MZN131136 NJJ131093:NJJ131136 NTF131093:NTF131136 ODB131093:ODB131136 OMX131093:OMX131136 OWT131093:OWT131136 PGP131093:PGP131136 PQL131093:PQL131136 QAH131093:QAH131136 QKD131093:QKD131136 QTZ131093:QTZ131136 RDV131093:RDV131136 RNR131093:RNR131136 RXN131093:RXN131136 SHJ131093:SHJ131136 SRF131093:SRF131136 TBB131093:TBB131136 TKX131093:TKX131136 TUT131093:TUT131136 UEP131093:UEP131136 UOL131093:UOL131136 UYH131093:UYH131136 VID131093:VID131136 VRZ131093:VRZ131136 WBV131093:WBV131136 WLR131093:WLR131136 WVN131093:WVN131136 C196629:C196672 JB196629:JB196672 SX196629:SX196672 ACT196629:ACT196672 AMP196629:AMP196672 AWL196629:AWL196672 BGH196629:BGH196672 BQD196629:BQD196672 BZZ196629:BZZ196672 CJV196629:CJV196672 CTR196629:CTR196672 DDN196629:DDN196672 DNJ196629:DNJ196672 DXF196629:DXF196672 EHB196629:EHB196672 EQX196629:EQX196672 FAT196629:FAT196672 FKP196629:FKP196672 FUL196629:FUL196672 GEH196629:GEH196672 GOD196629:GOD196672 GXZ196629:GXZ196672 HHV196629:HHV196672 HRR196629:HRR196672 IBN196629:IBN196672 ILJ196629:ILJ196672 IVF196629:IVF196672 JFB196629:JFB196672 JOX196629:JOX196672 JYT196629:JYT196672 KIP196629:KIP196672 KSL196629:KSL196672 LCH196629:LCH196672 LMD196629:LMD196672 LVZ196629:LVZ196672 MFV196629:MFV196672 MPR196629:MPR196672 MZN196629:MZN196672 NJJ196629:NJJ196672 NTF196629:NTF196672 ODB196629:ODB196672 OMX196629:OMX196672 OWT196629:OWT196672 PGP196629:PGP196672 PQL196629:PQL196672 QAH196629:QAH196672 QKD196629:QKD196672 QTZ196629:QTZ196672 RDV196629:RDV196672 RNR196629:RNR196672 RXN196629:RXN196672 SHJ196629:SHJ196672 SRF196629:SRF196672 TBB196629:TBB196672 TKX196629:TKX196672 TUT196629:TUT196672 UEP196629:UEP196672 UOL196629:UOL196672 UYH196629:UYH196672 VID196629:VID196672 VRZ196629:VRZ196672 WBV196629:WBV196672 WLR196629:WLR196672 WVN196629:WVN196672 C262165:C262208 JB262165:JB262208 SX262165:SX262208 ACT262165:ACT262208 AMP262165:AMP262208 AWL262165:AWL262208 BGH262165:BGH262208 BQD262165:BQD262208 BZZ262165:BZZ262208 CJV262165:CJV262208 CTR262165:CTR262208 DDN262165:DDN262208 DNJ262165:DNJ262208 DXF262165:DXF262208 EHB262165:EHB262208 EQX262165:EQX262208 FAT262165:FAT262208 FKP262165:FKP262208 FUL262165:FUL262208 GEH262165:GEH262208 GOD262165:GOD262208 GXZ262165:GXZ262208 HHV262165:HHV262208 HRR262165:HRR262208 IBN262165:IBN262208 ILJ262165:ILJ262208 IVF262165:IVF262208 JFB262165:JFB262208 JOX262165:JOX262208 JYT262165:JYT262208 KIP262165:KIP262208 KSL262165:KSL262208 LCH262165:LCH262208 LMD262165:LMD262208 LVZ262165:LVZ262208 MFV262165:MFV262208 MPR262165:MPR262208 MZN262165:MZN262208 NJJ262165:NJJ262208 NTF262165:NTF262208 ODB262165:ODB262208 OMX262165:OMX262208 OWT262165:OWT262208 PGP262165:PGP262208 PQL262165:PQL262208 QAH262165:QAH262208 QKD262165:QKD262208 QTZ262165:QTZ262208 RDV262165:RDV262208 RNR262165:RNR262208 RXN262165:RXN262208 SHJ262165:SHJ262208 SRF262165:SRF262208 TBB262165:TBB262208 TKX262165:TKX262208 TUT262165:TUT262208 UEP262165:UEP262208 UOL262165:UOL262208 UYH262165:UYH262208 VID262165:VID262208 VRZ262165:VRZ262208 WBV262165:WBV262208 WLR262165:WLR262208 WVN262165:WVN262208 C327701:C327744 JB327701:JB327744 SX327701:SX327744 ACT327701:ACT327744 AMP327701:AMP327744 AWL327701:AWL327744 BGH327701:BGH327744 BQD327701:BQD327744 BZZ327701:BZZ327744 CJV327701:CJV327744 CTR327701:CTR327744 DDN327701:DDN327744 DNJ327701:DNJ327744 DXF327701:DXF327744 EHB327701:EHB327744 EQX327701:EQX327744 FAT327701:FAT327744 FKP327701:FKP327744 FUL327701:FUL327744 GEH327701:GEH327744 GOD327701:GOD327744 GXZ327701:GXZ327744 HHV327701:HHV327744 HRR327701:HRR327744 IBN327701:IBN327744 ILJ327701:ILJ327744 IVF327701:IVF327744 JFB327701:JFB327744 JOX327701:JOX327744 JYT327701:JYT327744 KIP327701:KIP327744 KSL327701:KSL327744 LCH327701:LCH327744 LMD327701:LMD327744 LVZ327701:LVZ327744 MFV327701:MFV327744 MPR327701:MPR327744 MZN327701:MZN327744 NJJ327701:NJJ327744 NTF327701:NTF327744 ODB327701:ODB327744 OMX327701:OMX327744 OWT327701:OWT327744 PGP327701:PGP327744 PQL327701:PQL327744 QAH327701:QAH327744 QKD327701:QKD327744 QTZ327701:QTZ327744 RDV327701:RDV327744 RNR327701:RNR327744 RXN327701:RXN327744 SHJ327701:SHJ327744 SRF327701:SRF327744 TBB327701:TBB327744 TKX327701:TKX327744 TUT327701:TUT327744 UEP327701:UEP327744 UOL327701:UOL327744 UYH327701:UYH327744 VID327701:VID327744 VRZ327701:VRZ327744 WBV327701:WBV327744 WLR327701:WLR327744 WVN327701:WVN327744 C393237:C393280 JB393237:JB393280 SX393237:SX393280 ACT393237:ACT393280 AMP393237:AMP393280 AWL393237:AWL393280 BGH393237:BGH393280 BQD393237:BQD393280 BZZ393237:BZZ393280 CJV393237:CJV393280 CTR393237:CTR393280 DDN393237:DDN393280 DNJ393237:DNJ393280 DXF393237:DXF393280 EHB393237:EHB393280 EQX393237:EQX393280 FAT393237:FAT393280 FKP393237:FKP393280 FUL393237:FUL393280 GEH393237:GEH393280 GOD393237:GOD393280 GXZ393237:GXZ393280 HHV393237:HHV393280 HRR393237:HRR393280 IBN393237:IBN393280 ILJ393237:ILJ393280 IVF393237:IVF393280 JFB393237:JFB393280 JOX393237:JOX393280 JYT393237:JYT393280 KIP393237:KIP393280 KSL393237:KSL393280 LCH393237:LCH393280 LMD393237:LMD393280 LVZ393237:LVZ393280 MFV393237:MFV393280 MPR393237:MPR393280 MZN393237:MZN393280 NJJ393237:NJJ393280 NTF393237:NTF393280 ODB393237:ODB393280 OMX393237:OMX393280 OWT393237:OWT393280 PGP393237:PGP393280 PQL393237:PQL393280 QAH393237:QAH393280 QKD393237:QKD393280 QTZ393237:QTZ393280 RDV393237:RDV393280 RNR393237:RNR393280 RXN393237:RXN393280 SHJ393237:SHJ393280 SRF393237:SRF393280 TBB393237:TBB393280 TKX393237:TKX393280 TUT393237:TUT393280 UEP393237:UEP393280 UOL393237:UOL393280 UYH393237:UYH393280 VID393237:VID393280 VRZ393237:VRZ393280 WBV393237:WBV393280 WLR393237:WLR393280 WVN393237:WVN393280 C458773:C458816 JB458773:JB458816 SX458773:SX458816 ACT458773:ACT458816 AMP458773:AMP458816 AWL458773:AWL458816 BGH458773:BGH458816 BQD458773:BQD458816 BZZ458773:BZZ458816 CJV458773:CJV458816 CTR458773:CTR458816 DDN458773:DDN458816 DNJ458773:DNJ458816 DXF458773:DXF458816 EHB458773:EHB458816 EQX458773:EQX458816 FAT458773:FAT458816 FKP458773:FKP458816 FUL458773:FUL458816 GEH458773:GEH458816 GOD458773:GOD458816 GXZ458773:GXZ458816 HHV458773:HHV458816 HRR458773:HRR458816 IBN458773:IBN458816 ILJ458773:ILJ458816 IVF458773:IVF458816 JFB458773:JFB458816 JOX458773:JOX458816 JYT458773:JYT458816 KIP458773:KIP458816 KSL458773:KSL458816 LCH458773:LCH458816 LMD458773:LMD458816 LVZ458773:LVZ458816 MFV458773:MFV458816 MPR458773:MPR458816 MZN458773:MZN458816 NJJ458773:NJJ458816 NTF458773:NTF458816 ODB458773:ODB458816 OMX458773:OMX458816 OWT458773:OWT458816 PGP458773:PGP458816 PQL458773:PQL458816 QAH458773:QAH458816 QKD458773:QKD458816 QTZ458773:QTZ458816 RDV458773:RDV458816 RNR458773:RNR458816 RXN458773:RXN458816 SHJ458773:SHJ458816 SRF458773:SRF458816 TBB458773:TBB458816 TKX458773:TKX458816 TUT458773:TUT458816 UEP458773:UEP458816 UOL458773:UOL458816 UYH458773:UYH458816 VID458773:VID458816 VRZ458773:VRZ458816 WBV458773:WBV458816 WLR458773:WLR458816 WVN458773:WVN458816 C524309:C524352 JB524309:JB524352 SX524309:SX524352 ACT524309:ACT524352 AMP524309:AMP524352 AWL524309:AWL524352 BGH524309:BGH524352 BQD524309:BQD524352 BZZ524309:BZZ524352 CJV524309:CJV524352 CTR524309:CTR524352 DDN524309:DDN524352 DNJ524309:DNJ524352 DXF524309:DXF524352 EHB524309:EHB524352 EQX524309:EQX524352 FAT524309:FAT524352 FKP524309:FKP524352 FUL524309:FUL524352 GEH524309:GEH524352 GOD524309:GOD524352 GXZ524309:GXZ524352 HHV524309:HHV524352 HRR524309:HRR524352 IBN524309:IBN524352 ILJ524309:ILJ524352 IVF524309:IVF524352 JFB524309:JFB524352 JOX524309:JOX524352 JYT524309:JYT524352 KIP524309:KIP524352 KSL524309:KSL524352 LCH524309:LCH524352 LMD524309:LMD524352 LVZ524309:LVZ524352 MFV524309:MFV524352 MPR524309:MPR524352 MZN524309:MZN524352 NJJ524309:NJJ524352 NTF524309:NTF524352 ODB524309:ODB524352 OMX524309:OMX524352 OWT524309:OWT524352 PGP524309:PGP524352 PQL524309:PQL524352 QAH524309:QAH524352 QKD524309:QKD524352 QTZ524309:QTZ524352 RDV524309:RDV524352 RNR524309:RNR524352 RXN524309:RXN524352 SHJ524309:SHJ524352 SRF524309:SRF524352 TBB524309:TBB524352 TKX524309:TKX524352 TUT524309:TUT524352 UEP524309:UEP524352 UOL524309:UOL524352 UYH524309:UYH524352 VID524309:VID524352 VRZ524309:VRZ524352 WBV524309:WBV524352 WLR524309:WLR524352 WVN524309:WVN524352 C589845:C589888 JB589845:JB589888 SX589845:SX589888 ACT589845:ACT589888 AMP589845:AMP589888 AWL589845:AWL589888 BGH589845:BGH589888 BQD589845:BQD589888 BZZ589845:BZZ589888 CJV589845:CJV589888 CTR589845:CTR589888 DDN589845:DDN589888 DNJ589845:DNJ589888 DXF589845:DXF589888 EHB589845:EHB589888 EQX589845:EQX589888 FAT589845:FAT589888 FKP589845:FKP589888 FUL589845:FUL589888 GEH589845:GEH589888 GOD589845:GOD589888 GXZ589845:GXZ589888 HHV589845:HHV589888 HRR589845:HRR589888 IBN589845:IBN589888 ILJ589845:ILJ589888 IVF589845:IVF589888 JFB589845:JFB589888 JOX589845:JOX589888 JYT589845:JYT589888 KIP589845:KIP589888 KSL589845:KSL589888 LCH589845:LCH589888 LMD589845:LMD589888 LVZ589845:LVZ589888 MFV589845:MFV589888 MPR589845:MPR589888 MZN589845:MZN589888 NJJ589845:NJJ589888 NTF589845:NTF589888 ODB589845:ODB589888 OMX589845:OMX589888 OWT589845:OWT589888 PGP589845:PGP589888 PQL589845:PQL589888 QAH589845:QAH589888 QKD589845:QKD589888 QTZ589845:QTZ589888 RDV589845:RDV589888 RNR589845:RNR589888 RXN589845:RXN589888 SHJ589845:SHJ589888 SRF589845:SRF589888 TBB589845:TBB589888 TKX589845:TKX589888 TUT589845:TUT589888 UEP589845:UEP589888 UOL589845:UOL589888 UYH589845:UYH589888 VID589845:VID589888 VRZ589845:VRZ589888 WBV589845:WBV589888 WLR589845:WLR589888 WVN589845:WVN589888 C655381:C655424 JB655381:JB655424 SX655381:SX655424 ACT655381:ACT655424 AMP655381:AMP655424 AWL655381:AWL655424 BGH655381:BGH655424 BQD655381:BQD655424 BZZ655381:BZZ655424 CJV655381:CJV655424 CTR655381:CTR655424 DDN655381:DDN655424 DNJ655381:DNJ655424 DXF655381:DXF655424 EHB655381:EHB655424 EQX655381:EQX655424 FAT655381:FAT655424 FKP655381:FKP655424 FUL655381:FUL655424 GEH655381:GEH655424 GOD655381:GOD655424 GXZ655381:GXZ655424 HHV655381:HHV655424 HRR655381:HRR655424 IBN655381:IBN655424 ILJ655381:ILJ655424 IVF655381:IVF655424 JFB655381:JFB655424 JOX655381:JOX655424 JYT655381:JYT655424 KIP655381:KIP655424 KSL655381:KSL655424 LCH655381:LCH655424 LMD655381:LMD655424 LVZ655381:LVZ655424 MFV655381:MFV655424 MPR655381:MPR655424 MZN655381:MZN655424 NJJ655381:NJJ655424 NTF655381:NTF655424 ODB655381:ODB655424 OMX655381:OMX655424 OWT655381:OWT655424 PGP655381:PGP655424 PQL655381:PQL655424 QAH655381:QAH655424 QKD655381:QKD655424 QTZ655381:QTZ655424 RDV655381:RDV655424 RNR655381:RNR655424 RXN655381:RXN655424 SHJ655381:SHJ655424 SRF655381:SRF655424 TBB655381:TBB655424 TKX655381:TKX655424 TUT655381:TUT655424 UEP655381:UEP655424 UOL655381:UOL655424 UYH655381:UYH655424 VID655381:VID655424 VRZ655381:VRZ655424 WBV655381:WBV655424 WLR655381:WLR655424 WVN655381:WVN655424 C720917:C720960 JB720917:JB720960 SX720917:SX720960 ACT720917:ACT720960 AMP720917:AMP720960 AWL720917:AWL720960 BGH720917:BGH720960 BQD720917:BQD720960 BZZ720917:BZZ720960 CJV720917:CJV720960 CTR720917:CTR720960 DDN720917:DDN720960 DNJ720917:DNJ720960 DXF720917:DXF720960 EHB720917:EHB720960 EQX720917:EQX720960 FAT720917:FAT720960 FKP720917:FKP720960 FUL720917:FUL720960 GEH720917:GEH720960 GOD720917:GOD720960 GXZ720917:GXZ720960 HHV720917:HHV720960 HRR720917:HRR720960 IBN720917:IBN720960 ILJ720917:ILJ720960 IVF720917:IVF720960 JFB720917:JFB720960 JOX720917:JOX720960 JYT720917:JYT720960 KIP720917:KIP720960 KSL720917:KSL720960 LCH720917:LCH720960 LMD720917:LMD720960 LVZ720917:LVZ720960 MFV720917:MFV720960 MPR720917:MPR720960 MZN720917:MZN720960 NJJ720917:NJJ720960 NTF720917:NTF720960 ODB720917:ODB720960 OMX720917:OMX720960 OWT720917:OWT720960 PGP720917:PGP720960 PQL720917:PQL720960 QAH720917:QAH720960 QKD720917:QKD720960 QTZ720917:QTZ720960 RDV720917:RDV720960 RNR720917:RNR720960 RXN720917:RXN720960 SHJ720917:SHJ720960 SRF720917:SRF720960 TBB720917:TBB720960 TKX720917:TKX720960 TUT720917:TUT720960 UEP720917:UEP720960 UOL720917:UOL720960 UYH720917:UYH720960 VID720917:VID720960 VRZ720917:VRZ720960 WBV720917:WBV720960 WLR720917:WLR720960 WVN720917:WVN720960 C786453:C786496 JB786453:JB786496 SX786453:SX786496 ACT786453:ACT786496 AMP786453:AMP786496 AWL786453:AWL786496 BGH786453:BGH786496 BQD786453:BQD786496 BZZ786453:BZZ786496 CJV786453:CJV786496 CTR786453:CTR786496 DDN786453:DDN786496 DNJ786453:DNJ786496 DXF786453:DXF786496 EHB786453:EHB786496 EQX786453:EQX786496 FAT786453:FAT786496 FKP786453:FKP786496 FUL786453:FUL786496 GEH786453:GEH786496 GOD786453:GOD786496 GXZ786453:GXZ786496 HHV786453:HHV786496 HRR786453:HRR786496 IBN786453:IBN786496 ILJ786453:ILJ786496 IVF786453:IVF786496 JFB786453:JFB786496 JOX786453:JOX786496 JYT786453:JYT786496 KIP786453:KIP786496 KSL786453:KSL786496 LCH786453:LCH786496 LMD786453:LMD786496 LVZ786453:LVZ786496 MFV786453:MFV786496 MPR786453:MPR786496 MZN786453:MZN786496 NJJ786453:NJJ786496 NTF786453:NTF786496 ODB786453:ODB786496 OMX786453:OMX786496 OWT786453:OWT786496 PGP786453:PGP786496 PQL786453:PQL786496 QAH786453:QAH786496 QKD786453:QKD786496 QTZ786453:QTZ786496 RDV786453:RDV786496 RNR786453:RNR786496 RXN786453:RXN786496 SHJ786453:SHJ786496 SRF786453:SRF786496 TBB786453:TBB786496 TKX786453:TKX786496 TUT786453:TUT786496 UEP786453:UEP786496 UOL786453:UOL786496 UYH786453:UYH786496 VID786453:VID786496 VRZ786453:VRZ786496 WBV786453:WBV786496 WLR786453:WLR786496 WVN786453:WVN786496 C851989:C852032 JB851989:JB852032 SX851989:SX852032 ACT851989:ACT852032 AMP851989:AMP852032 AWL851989:AWL852032 BGH851989:BGH852032 BQD851989:BQD852032 BZZ851989:BZZ852032 CJV851989:CJV852032 CTR851989:CTR852032 DDN851989:DDN852032 DNJ851989:DNJ852032 DXF851989:DXF852032 EHB851989:EHB852032 EQX851989:EQX852032 FAT851989:FAT852032 FKP851989:FKP852032 FUL851989:FUL852032 GEH851989:GEH852032 GOD851989:GOD852032 GXZ851989:GXZ852032 HHV851989:HHV852032 HRR851989:HRR852032 IBN851989:IBN852032 ILJ851989:ILJ852032 IVF851989:IVF852032 JFB851989:JFB852032 JOX851989:JOX852032 JYT851989:JYT852032 KIP851989:KIP852032 KSL851989:KSL852032 LCH851989:LCH852032 LMD851989:LMD852032 LVZ851989:LVZ852032 MFV851989:MFV852032 MPR851989:MPR852032 MZN851989:MZN852032 NJJ851989:NJJ852032 NTF851989:NTF852032 ODB851989:ODB852032 OMX851989:OMX852032 OWT851989:OWT852032 PGP851989:PGP852032 PQL851989:PQL852032 QAH851989:QAH852032 QKD851989:QKD852032 QTZ851989:QTZ852032 RDV851989:RDV852032 RNR851989:RNR852032 RXN851989:RXN852032 SHJ851989:SHJ852032 SRF851989:SRF852032 TBB851989:TBB852032 TKX851989:TKX852032 TUT851989:TUT852032 UEP851989:UEP852032 UOL851989:UOL852032 UYH851989:UYH852032 VID851989:VID852032 VRZ851989:VRZ852032 WBV851989:WBV852032 WLR851989:WLR852032 WVN851989:WVN852032 C917525:C917568 JB917525:JB917568 SX917525:SX917568 ACT917525:ACT917568 AMP917525:AMP917568 AWL917525:AWL917568 BGH917525:BGH917568 BQD917525:BQD917568 BZZ917525:BZZ917568 CJV917525:CJV917568 CTR917525:CTR917568 DDN917525:DDN917568 DNJ917525:DNJ917568 DXF917525:DXF917568 EHB917525:EHB917568 EQX917525:EQX917568 FAT917525:FAT917568 FKP917525:FKP917568 FUL917525:FUL917568 GEH917525:GEH917568 GOD917525:GOD917568 GXZ917525:GXZ917568 HHV917525:HHV917568 HRR917525:HRR917568 IBN917525:IBN917568 ILJ917525:ILJ917568 IVF917525:IVF917568 JFB917525:JFB917568 JOX917525:JOX917568 JYT917525:JYT917568 KIP917525:KIP917568 KSL917525:KSL917568 LCH917525:LCH917568 LMD917525:LMD917568 LVZ917525:LVZ917568 MFV917525:MFV917568 MPR917525:MPR917568 MZN917525:MZN917568 NJJ917525:NJJ917568 NTF917525:NTF917568 ODB917525:ODB917568 OMX917525:OMX917568 OWT917525:OWT917568 PGP917525:PGP917568 PQL917525:PQL917568 QAH917525:QAH917568 QKD917525:QKD917568 QTZ917525:QTZ917568 RDV917525:RDV917568 RNR917525:RNR917568 RXN917525:RXN917568 SHJ917525:SHJ917568 SRF917525:SRF917568 TBB917525:TBB917568 TKX917525:TKX917568 TUT917525:TUT917568 UEP917525:UEP917568 UOL917525:UOL917568 UYH917525:UYH917568 VID917525:VID917568 VRZ917525:VRZ917568 WBV917525:WBV917568 WLR917525:WLR917568 WVN917525:WVN917568 C983061:C983104 JB983061:JB983104 SX983061:SX983104 ACT983061:ACT983104 AMP983061:AMP983104 AWL983061:AWL983104 BGH983061:BGH983104 BQD983061:BQD983104 BZZ983061:BZZ983104 CJV983061:CJV983104 CTR983061:CTR983104 DDN983061:DDN983104 DNJ983061:DNJ983104 DXF983061:DXF983104 EHB983061:EHB983104 EQX983061:EQX983104 FAT983061:FAT983104 FKP983061:FKP983104 FUL983061:FUL983104 GEH983061:GEH983104 GOD983061:GOD983104 GXZ983061:GXZ983104 HHV983061:HHV983104 HRR983061:HRR983104 IBN983061:IBN983104 ILJ983061:ILJ983104 IVF983061:IVF983104 JFB983061:JFB983104 JOX983061:JOX983104 JYT983061:JYT983104 KIP983061:KIP983104 KSL983061:KSL983104 LCH983061:LCH983104 LMD983061:LMD983104 LVZ983061:LVZ983104 MFV983061:MFV983104 MPR983061:MPR983104 MZN983061:MZN983104 NJJ983061:NJJ983104 NTF983061:NTF983104 ODB983061:ODB983104 OMX983061:OMX983104 OWT983061:OWT983104 PGP983061:PGP983104 PQL983061:PQL983104 QAH983061:QAH983104 QKD983061:QKD983104 QTZ983061:QTZ983104 RDV983061:RDV983104 RNR983061:RNR983104 RXN983061:RXN983104 SHJ983061:SHJ983104 SRF983061:SRF983104 TBB983061:TBB983104 TKX983061:TKX983104 TUT983061:TUT983104 UEP983061:UEP983104 UOL983061:UOL983104 UYH983061:UYH983104 VID983061:VID983104 VRZ983061:VRZ983104 WBV983061:WBV983104 WLR983061:WLR983104 WVN20:WVN64 WLR20:WLR64 WBV20:WBV64 VRZ20:VRZ64 VID20:VID64 UYH20:UYH64 UOL20:UOL64 UEP20:UEP64 TUT20:TUT64 TKX20:TKX64 TBB20:TBB64 SRF20:SRF64 SHJ20:SHJ64 RXN20:RXN64 RNR20:RNR64 RDV20:RDV64 QTZ20:QTZ64 QKD20:QKD64 QAH20:QAH64 PQL20:PQL64 PGP20:PGP64 OWT20:OWT64 OMX20:OMX64 ODB20:ODB64 NTF20:NTF64 NJJ20:NJJ64 MZN20:MZN64 MPR20:MPR64 MFV20:MFV64 LVZ20:LVZ64 LMD20:LMD64 LCH20:LCH64 KSL20:KSL64 KIP20:KIP64 JYT20:JYT64 JOX20:JOX64 JFB20:JFB64 IVF20:IVF64 ILJ20:ILJ64 IBN20:IBN64 HRR20:HRR64 HHV20:HHV64 GXZ20:GXZ64 GOD20:GOD64 GEH20:GEH64 FUL20:FUL64 FKP20:FKP64 FAT20:FAT64 EQX20:EQX64 EHB20:EHB64 DXF20:DXF64 DNJ20:DNJ64 DDN20:DDN64 CTR20:CTR64 CJV20:CJV64 BZZ20:BZZ64 BQD20:BQD64 BGH20:BGH64 AWL20:AWL64 AMP20:AMP64 ACT20:ACT64 SX20:SX64 JB20:JB64 C20:C64 WVN74:WVN118 WLR74:WLR118 WBV74:WBV118 VRZ74:VRZ118 VID74:VID118 UYH74:UYH118 UOL74:UOL118 UEP74:UEP118 TUT74:TUT118 TKX74:TKX118 TBB74:TBB118 SRF74:SRF118 SHJ74:SHJ118 RXN74:RXN118 RNR74:RNR118 RDV74:RDV118 QTZ74:QTZ118 QKD74:QKD118 QAH74:QAH118 PQL74:PQL118 PGP74:PGP118 OWT74:OWT118 OMX74:OMX118 ODB74:ODB118 NTF74:NTF118 NJJ74:NJJ118 MZN74:MZN118 MPR74:MPR118 MFV74:MFV118 LVZ74:LVZ118 LMD74:LMD118 LCH74:LCH118 KSL74:KSL118 KIP74:KIP118 JYT74:JYT118 JOX74:JOX118 JFB74:JFB118 IVF74:IVF118 ILJ74:ILJ118 IBN74:IBN118 HRR74:HRR118 HHV74:HHV118 GXZ74:GXZ118 GOD74:GOD118 GEH74:GEH118 FUL74:FUL118 FKP74:FKP118 FAT74:FAT118 EQX74:EQX118 EHB74:EHB118 DXF74:DXF118 DNJ74:DNJ118 DDN74:DDN118 CTR74:CTR118 CJV74:CJV118 BZZ74:BZZ118 BQD74:BQD118 BGH74:BGH118 AWL74:AWL118 AMP74:AMP118 ACT74:ACT118 SX74:SX118 JB74:JB118 C74:C118" xr:uid="{39F96CCE-99A0-4721-8A51-992E164ED1F5}">
      <formula1>0</formula1>
    </dataValidation>
  </dataValidations>
  <pageMargins left="0.74803149606299213" right="0.74803149606299213" top="0.98425196850393704" bottom="0.98425196850393704" header="0.51181102362204722" footer="0.51181102362204722"/>
  <pageSetup paperSize="8" scale="75" fitToWidth="3" fitToHeight="3"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9" id="{C09E5AA6-EF81-4C9E-AC40-BECF039DFD99}">
            <xm:f>TITELBLAD!$F$16="ex-ante"</xm:f>
            <x14:dxf>
              <fill>
                <patternFill patternType="lightUp"/>
              </fill>
            </x14:dxf>
          </x14:cfRule>
          <xm:sqref>A71:E121 G71:H121 J71:J121</xm:sqref>
        </x14:conditionalFormatting>
        <x14:conditionalFormatting xmlns:xm="http://schemas.microsoft.com/office/excel/2006/main">
          <x14:cfRule type="expression" priority="6" id="{7196D945-135A-4049-B9B3-9F8DAAAC8B4E}">
            <xm:f>TITELBLAD!$F$16="ex-ante"</xm:f>
            <x14:dxf>
              <fill>
                <patternFill patternType="lightUp"/>
              </fill>
            </x14:dxf>
          </x14:cfRule>
          <xm:sqref>F71:F121</xm:sqref>
        </x14:conditionalFormatting>
        <x14:conditionalFormatting xmlns:xm="http://schemas.microsoft.com/office/excel/2006/main">
          <x14:cfRule type="expression" priority="3" id="{8D41CE05-6EA6-40E1-80C0-FA93299633A0}">
            <xm:f>TITELBLAD!$F$16="ex-ante"</xm:f>
            <x14:dxf>
              <fill>
                <patternFill patternType="lightUp"/>
              </fill>
            </x14:dxf>
          </x14:cfRule>
          <xm:sqref>I71:I121</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1B4EA-53D4-45D5-BD9E-2B67749CD754}">
  <dimension ref="A1:N79"/>
  <sheetViews>
    <sheetView topLeftCell="B1" zoomScale="80" zoomScaleNormal="80" workbookViewId="0">
      <selection activeCell="H15" sqref="H15"/>
    </sheetView>
  </sheetViews>
  <sheetFormatPr defaultColWidth="9.140625" defaultRowHeight="12.75" x14ac:dyDescent="0.2"/>
  <cols>
    <col min="1" max="1" width="47.5703125" style="167" customWidth="1"/>
    <col min="2" max="2" width="29.5703125" style="167" customWidth="1"/>
    <col min="3" max="7" width="31" style="167" customWidth="1"/>
    <col min="8" max="9" width="31" style="1130" customWidth="1"/>
    <col min="10" max="17" width="31" style="167" customWidth="1"/>
    <col min="18" max="18" width="8.85546875" style="167" customWidth="1"/>
    <col min="19" max="45" width="9.140625" style="167" customWidth="1"/>
    <col min="46" max="259" width="9.140625" style="167"/>
    <col min="260" max="260" width="47.5703125" style="167" customWidth="1"/>
    <col min="261" max="261" width="29.5703125" style="167" customWidth="1"/>
    <col min="262" max="273" width="31" style="167" customWidth="1"/>
    <col min="274" max="274" width="8.85546875" style="167" customWidth="1"/>
    <col min="275" max="515" width="9.140625" style="167"/>
    <col min="516" max="516" width="47.5703125" style="167" customWidth="1"/>
    <col min="517" max="517" width="29.5703125" style="167" customWidth="1"/>
    <col min="518" max="529" width="31" style="167" customWidth="1"/>
    <col min="530" max="530" width="8.85546875" style="167" customWidth="1"/>
    <col min="531" max="771" width="9.140625" style="167"/>
    <col min="772" max="772" width="47.5703125" style="167" customWidth="1"/>
    <col min="773" max="773" width="29.5703125" style="167" customWidth="1"/>
    <col min="774" max="785" width="31" style="167" customWidth="1"/>
    <col min="786" max="786" width="8.85546875" style="167" customWidth="1"/>
    <col min="787" max="1027" width="9.140625" style="167"/>
    <col min="1028" max="1028" width="47.5703125" style="167" customWidth="1"/>
    <col min="1029" max="1029" width="29.5703125" style="167" customWidth="1"/>
    <col min="1030" max="1041" width="31" style="167" customWidth="1"/>
    <col min="1042" max="1042" width="8.85546875" style="167" customWidth="1"/>
    <col min="1043" max="1283" width="9.140625" style="167"/>
    <col min="1284" max="1284" width="47.5703125" style="167" customWidth="1"/>
    <col min="1285" max="1285" width="29.5703125" style="167" customWidth="1"/>
    <col min="1286" max="1297" width="31" style="167" customWidth="1"/>
    <col min="1298" max="1298" width="8.85546875" style="167" customWidth="1"/>
    <col min="1299" max="1539" width="9.140625" style="167"/>
    <col min="1540" max="1540" width="47.5703125" style="167" customWidth="1"/>
    <col min="1541" max="1541" width="29.5703125" style="167" customWidth="1"/>
    <col min="1542" max="1553" width="31" style="167" customWidth="1"/>
    <col min="1554" max="1554" width="8.85546875" style="167" customWidth="1"/>
    <col min="1555" max="1795" width="9.140625" style="167"/>
    <col min="1796" max="1796" width="47.5703125" style="167" customWidth="1"/>
    <col min="1797" max="1797" width="29.5703125" style="167" customWidth="1"/>
    <col min="1798" max="1809" width="31" style="167" customWidth="1"/>
    <col min="1810" max="1810" width="8.85546875" style="167" customWidth="1"/>
    <col min="1811" max="2051" width="9.140625" style="167"/>
    <col min="2052" max="2052" width="47.5703125" style="167" customWidth="1"/>
    <col min="2053" max="2053" width="29.5703125" style="167" customWidth="1"/>
    <col min="2054" max="2065" width="31" style="167" customWidth="1"/>
    <col min="2066" max="2066" width="8.85546875" style="167" customWidth="1"/>
    <col min="2067" max="2307" width="9.140625" style="167"/>
    <col min="2308" max="2308" width="47.5703125" style="167" customWidth="1"/>
    <col min="2309" max="2309" width="29.5703125" style="167" customWidth="1"/>
    <col min="2310" max="2321" width="31" style="167" customWidth="1"/>
    <col min="2322" max="2322" width="8.85546875" style="167" customWidth="1"/>
    <col min="2323" max="2563" width="9.140625" style="167"/>
    <col min="2564" max="2564" width="47.5703125" style="167" customWidth="1"/>
    <col min="2565" max="2565" width="29.5703125" style="167" customWidth="1"/>
    <col min="2566" max="2577" width="31" style="167" customWidth="1"/>
    <col min="2578" max="2578" width="8.85546875" style="167" customWidth="1"/>
    <col min="2579" max="2819" width="9.140625" style="167"/>
    <col min="2820" max="2820" width="47.5703125" style="167" customWidth="1"/>
    <col min="2821" max="2821" width="29.5703125" style="167" customWidth="1"/>
    <col min="2822" max="2833" width="31" style="167" customWidth="1"/>
    <col min="2834" max="2834" width="8.85546875" style="167" customWidth="1"/>
    <col min="2835" max="3075" width="9.140625" style="167"/>
    <col min="3076" max="3076" width="47.5703125" style="167" customWidth="1"/>
    <col min="3077" max="3077" width="29.5703125" style="167" customWidth="1"/>
    <col min="3078" max="3089" width="31" style="167" customWidth="1"/>
    <col min="3090" max="3090" width="8.85546875" style="167" customWidth="1"/>
    <col min="3091" max="3331" width="9.140625" style="167"/>
    <col min="3332" max="3332" width="47.5703125" style="167" customWidth="1"/>
    <col min="3333" max="3333" width="29.5703125" style="167" customWidth="1"/>
    <col min="3334" max="3345" width="31" style="167" customWidth="1"/>
    <col min="3346" max="3346" width="8.85546875" style="167" customWidth="1"/>
    <col min="3347" max="3587" width="9.140625" style="167"/>
    <col min="3588" max="3588" width="47.5703125" style="167" customWidth="1"/>
    <col min="3589" max="3589" width="29.5703125" style="167" customWidth="1"/>
    <col min="3590" max="3601" width="31" style="167" customWidth="1"/>
    <col min="3602" max="3602" width="8.85546875" style="167" customWidth="1"/>
    <col min="3603" max="3843" width="9.140625" style="167"/>
    <col min="3844" max="3844" width="47.5703125" style="167" customWidth="1"/>
    <col min="3845" max="3845" width="29.5703125" style="167" customWidth="1"/>
    <col min="3846" max="3857" width="31" style="167" customWidth="1"/>
    <col min="3858" max="3858" width="8.85546875" style="167" customWidth="1"/>
    <col min="3859" max="4099" width="9.140625" style="167"/>
    <col min="4100" max="4100" width="47.5703125" style="167" customWidth="1"/>
    <col min="4101" max="4101" width="29.5703125" style="167" customWidth="1"/>
    <col min="4102" max="4113" width="31" style="167" customWidth="1"/>
    <col min="4114" max="4114" width="8.85546875" style="167" customWidth="1"/>
    <col min="4115" max="4355" width="9.140625" style="167"/>
    <col min="4356" max="4356" width="47.5703125" style="167" customWidth="1"/>
    <col min="4357" max="4357" width="29.5703125" style="167" customWidth="1"/>
    <col min="4358" max="4369" width="31" style="167" customWidth="1"/>
    <col min="4370" max="4370" width="8.85546875" style="167" customWidth="1"/>
    <col min="4371" max="4611" width="9.140625" style="167"/>
    <col min="4612" max="4612" width="47.5703125" style="167" customWidth="1"/>
    <col min="4613" max="4613" width="29.5703125" style="167" customWidth="1"/>
    <col min="4614" max="4625" width="31" style="167" customWidth="1"/>
    <col min="4626" max="4626" width="8.85546875" style="167" customWidth="1"/>
    <col min="4627" max="4867" width="9.140625" style="167"/>
    <col min="4868" max="4868" width="47.5703125" style="167" customWidth="1"/>
    <col min="4869" max="4869" width="29.5703125" style="167" customWidth="1"/>
    <col min="4870" max="4881" width="31" style="167" customWidth="1"/>
    <col min="4882" max="4882" width="8.85546875" style="167" customWidth="1"/>
    <col min="4883" max="5123" width="9.140625" style="167"/>
    <col min="5124" max="5124" width="47.5703125" style="167" customWidth="1"/>
    <col min="5125" max="5125" width="29.5703125" style="167" customWidth="1"/>
    <col min="5126" max="5137" width="31" style="167" customWidth="1"/>
    <col min="5138" max="5138" width="8.85546875" style="167" customWidth="1"/>
    <col min="5139" max="5379" width="9.140625" style="167"/>
    <col min="5380" max="5380" width="47.5703125" style="167" customWidth="1"/>
    <col min="5381" max="5381" width="29.5703125" style="167" customWidth="1"/>
    <col min="5382" max="5393" width="31" style="167" customWidth="1"/>
    <col min="5394" max="5394" width="8.85546875" style="167" customWidth="1"/>
    <col min="5395" max="5635" width="9.140625" style="167"/>
    <col min="5636" max="5636" width="47.5703125" style="167" customWidth="1"/>
    <col min="5637" max="5637" width="29.5703125" style="167" customWidth="1"/>
    <col min="5638" max="5649" width="31" style="167" customWidth="1"/>
    <col min="5650" max="5650" width="8.85546875" style="167" customWidth="1"/>
    <col min="5651" max="5891" width="9.140625" style="167"/>
    <col min="5892" max="5892" width="47.5703125" style="167" customWidth="1"/>
    <col min="5893" max="5893" width="29.5703125" style="167" customWidth="1"/>
    <col min="5894" max="5905" width="31" style="167" customWidth="1"/>
    <col min="5906" max="5906" width="8.85546875" style="167" customWidth="1"/>
    <col min="5907" max="6147" width="9.140625" style="167"/>
    <col min="6148" max="6148" width="47.5703125" style="167" customWidth="1"/>
    <col min="6149" max="6149" width="29.5703125" style="167" customWidth="1"/>
    <col min="6150" max="6161" width="31" style="167" customWidth="1"/>
    <col min="6162" max="6162" width="8.85546875" style="167" customWidth="1"/>
    <col min="6163" max="6403" width="9.140625" style="167"/>
    <col min="6404" max="6404" width="47.5703125" style="167" customWidth="1"/>
    <col min="6405" max="6405" width="29.5703125" style="167" customWidth="1"/>
    <col min="6406" max="6417" width="31" style="167" customWidth="1"/>
    <col min="6418" max="6418" width="8.85546875" style="167" customWidth="1"/>
    <col min="6419" max="6659" width="9.140625" style="167"/>
    <col min="6660" max="6660" width="47.5703125" style="167" customWidth="1"/>
    <col min="6661" max="6661" width="29.5703125" style="167" customWidth="1"/>
    <col min="6662" max="6673" width="31" style="167" customWidth="1"/>
    <col min="6674" max="6674" width="8.85546875" style="167" customWidth="1"/>
    <col min="6675" max="6915" width="9.140625" style="167"/>
    <col min="6916" max="6916" width="47.5703125" style="167" customWidth="1"/>
    <col min="6917" max="6917" width="29.5703125" style="167" customWidth="1"/>
    <col min="6918" max="6929" width="31" style="167" customWidth="1"/>
    <col min="6930" max="6930" width="8.85546875" style="167" customWidth="1"/>
    <col min="6931" max="7171" width="9.140625" style="167"/>
    <col min="7172" max="7172" width="47.5703125" style="167" customWidth="1"/>
    <col min="7173" max="7173" width="29.5703125" style="167" customWidth="1"/>
    <col min="7174" max="7185" width="31" style="167" customWidth="1"/>
    <col min="7186" max="7186" width="8.85546875" style="167" customWidth="1"/>
    <col min="7187" max="7427" width="9.140625" style="167"/>
    <col min="7428" max="7428" width="47.5703125" style="167" customWidth="1"/>
    <col min="7429" max="7429" width="29.5703125" style="167" customWidth="1"/>
    <col min="7430" max="7441" width="31" style="167" customWidth="1"/>
    <col min="7442" max="7442" width="8.85546875" style="167" customWidth="1"/>
    <col min="7443" max="7683" width="9.140625" style="167"/>
    <col min="7684" max="7684" width="47.5703125" style="167" customWidth="1"/>
    <col min="7685" max="7685" width="29.5703125" style="167" customWidth="1"/>
    <col min="7686" max="7697" width="31" style="167" customWidth="1"/>
    <col min="7698" max="7698" width="8.85546875" style="167" customWidth="1"/>
    <col min="7699" max="7939" width="9.140625" style="167"/>
    <col min="7940" max="7940" width="47.5703125" style="167" customWidth="1"/>
    <col min="7941" max="7941" width="29.5703125" style="167" customWidth="1"/>
    <col min="7942" max="7953" width="31" style="167" customWidth="1"/>
    <col min="7954" max="7954" width="8.85546875" style="167" customWidth="1"/>
    <col min="7955" max="8195" width="9.140625" style="167"/>
    <col min="8196" max="8196" width="47.5703125" style="167" customWidth="1"/>
    <col min="8197" max="8197" width="29.5703125" style="167" customWidth="1"/>
    <col min="8198" max="8209" width="31" style="167" customWidth="1"/>
    <col min="8210" max="8210" width="8.85546875" style="167" customWidth="1"/>
    <col min="8211" max="8451" width="9.140625" style="167"/>
    <col min="8452" max="8452" width="47.5703125" style="167" customWidth="1"/>
    <col min="8453" max="8453" width="29.5703125" style="167" customWidth="1"/>
    <col min="8454" max="8465" width="31" style="167" customWidth="1"/>
    <col min="8466" max="8466" width="8.85546875" style="167" customWidth="1"/>
    <col min="8467" max="8707" width="9.140625" style="167"/>
    <col min="8708" max="8708" width="47.5703125" style="167" customWidth="1"/>
    <col min="8709" max="8709" width="29.5703125" style="167" customWidth="1"/>
    <col min="8710" max="8721" width="31" style="167" customWidth="1"/>
    <col min="8722" max="8722" width="8.85546875" style="167" customWidth="1"/>
    <col min="8723" max="8963" width="9.140625" style="167"/>
    <col min="8964" max="8964" width="47.5703125" style="167" customWidth="1"/>
    <col min="8965" max="8965" width="29.5703125" style="167" customWidth="1"/>
    <col min="8966" max="8977" width="31" style="167" customWidth="1"/>
    <col min="8978" max="8978" width="8.85546875" style="167" customWidth="1"/>
    <col min="8979" max="9219" width="9.140625" style="167"/>
    <col min="9220" max="9220" width="47.5703125" style="167" customWidth="1"/>
    <col min="9221" max="9221" width="29.5703125" style="167" customWidth="1"/>
    <col min="9222" max="9233" width="31" style="167" customWidth="1"/>
    <col min="9234" max="9234" width="8.85546875" style="167" customWidth="1"/>
    <col min="9235" max="9475" width="9.140625" style="167"/>
    <col min="9476" max="9476" width="47.5703125" style="167" customWidth="1"/>
    <col min="9477" max="9477" width="29.5703125" style="167" customWidth="1"/>
    <col min="9478" max="9489" width="31" style="167" customWidth="1"/>
    <col min="9490" max="9490" width="8.85546875" style="167" customWidth="1"/>
    <col min="9491" max="9731" width="9.140625" style="167"/>
    <col min="9732" max="9732" width="47.5703125" style="167" customWidth="1"/>
    <col min="9733" max="9733" width="29.5703125" style="167" customWidth="1"/>
    <col min="9734" max="9745" width="31" style="167" customWidth="1"/>
    <col min="9746" max="9746" width="8.85546875" style="167" customWidth="1"/>
    <col min="9747" max="9987" width="9.140625" style="167"/>
    <col min="9988" max="9988" width="47.5703125" style="167" customWidth="1"/>
    <col min="9989" max="9989" width="29.5703125" style="167" customWidth="1"/>
    <col min="9990" max="10001" width="31" style="167" customWidth="1"/>
    <col min="10002" max="10002" width="8.85546875" style="167" customWidth="1"/>
    <col min="10003" max="10243" width="9.140625" style="167"/>
    <col min="10244" max="10244" width="47.5703125" style="167" customWidth="1"/>
    <col min="10245" max="10245" width="29.5703125" style="167" customWidth="1"/>
    <col min="10246" max="10257" width="31" style="167" customWidth="1"/>
    <col min="10258" max="10258" width="8.85546875" style="167" customWidth="1"/>
    <col min="10259" max="10499" width="9.140625" style="167"/>
    <col min="10500" max="10500" width="47.5703125" style="167" customWidth="1"/>
    <col min="10501" max="10501" width="29.5703125" style="167" customWidth="1"/>
    <col min="10502" max="10513" width="31" style="167" customWidth="1"/>
    <col min="10514" max="10514" width="8.85546875" style="167" customWidth="1"/>
    <col min="10515" max="10755" width="9.140625" style="167"/>
    <col min="10756" max="10756" width="47.5703125" style="167" customWidth="1"/>
    <col min="10757" max="10757" width="29.5703125" style="167" customWidth="1"/>
    <col min="10758" max="10769" width="31" style="167" customWidth="1"/>
    <col min="10770" max="10770" width="8.85546875" style="167" customWidth="1"/>
    <col min="10771" max="11011" width="9.140625" style="167"/>
    <col min="11012" max="11012" width="47.5703125" style="167" customWidth="1"/>
    <col min="11013" max="11013" width="29.5703125" style="167" customWidth="1"/>
    <col min="11014" max="11025" width="31" style="167" customWidth="1"/>
    <col min="11026" max="11026" width="8.85546875" style="167" customWidth="1"/>
    <col min="11027" max="11267" width="9.140625" style="167"/>
    <col min="11268" max="11268" width="47.5703125" style="167" customWidth="1"/>
    <col min="11269" max="11269" width="29.5703125" style="167" customWidth="1"/>
    <col min="11270" max="11281" width="31" style="167" customWidth="1"/>
    <col min="11282" max="11282" width="8.85546875" style="167" customWidth="1"/>
    <col min="11283" max="11523" width="9.140625" style="167"/>
    <col min="11524" max="11524" width="47.5703125" style="167" customWidth="1"/>
    <col min="11525" max="11525" width="29.5703125" style="167" customWidth="1"/>
    <col min="11526" max="11537" width="31" style="167" customWidth="1"/>
    <col min="11538" max="11538" width="8.85546875" style="167" customWidth="1"/>
    <col min="11539" max="11779" width="9.140625" style="167"/>
    <col min="11780" max="11780" width="47.5703125" style="167" customWidth="1"/>
    <col min="11781" max="11781" width="29.5703125" style="167" customWidth="1"/>
    <col min="11782" max="11793" width="31" style="167" customWidth="1"/>
    <col min="11794" max="11794" width="8.85546875" style="167" customWidth="1"/>
    <col min="11795" max="12035" width="9.140625" style="167"/>
    <col min="12036" max="12036" width="47.5703125" style="167" customWidth="1"/>
    <col min="12037" max="12037" width="29.5703125" style="167" customWidth="1"/>
    <col min="12038" max="12049" width="31" style="167" customWidth="1"/>
    <col min="12050" max="12050" width="8.85546875" style="167" customWidth="1"/>
    <col min="12051" max="12291" width="9.140625" style="167"/>
    <col min="12292" max="12292" width="47.5703125" style="167" customWidth="1"/>
    <col min="12293" max="12293" width="29.5703125" style="167" customWidth="1"/>
    <col min="12294" max="12305" width="31" style="167" customWidth="1"/>
    <col min="12306" max="12306" width="8.85546875" style="167" customWidth="1"/>
    <col min="12307" max="12547" width="9.140625" style="167"/>
    <col min="12548" max="12548" width="47.5703125" style="167" customWidth="1"/>
    <col min="12549" max="12549" width="29.5703125" style="167" customWidth="1"/>
    <col min="12550" max="12561" width="31" style="167" customWidth="1"/>
    <col min="12562" max="12562" width="8.85546875" style="167" customWidth="1"/>
    <col min="12563" max="12803" width="9.140625" style="167"/>
    <col min="12804" max="12804" width="47.5703125" style="167" customWidth="1"/>
    <col min="12805" max="12805" width="29.5703125" style="167" customWidth="1"/>
    <col min="12806" max="12817" width="31" style="167" customWidth="1"/>
    <col min="12818" max="12818" width="8.85546875" style="167" customWidth="1"/>
    <col min="12819" max="13059" width="9.140625" style="167"/>
    <col min="13060" max="13060" width="47.5703125" style="167" customWidth="1"/>
    <col min="13061" max="13061" width="29.5703125" style="167" customWidth="1"/>
    <col min="13062" max="13073" width="31" style="167" customWidth="1"/>
    <col min="13074" max="13074" width="8.85546875" style="167" customWidth="1"/>
    <col min="13075" max="13315" width="9.140625" style="167"/>
    <col min="13316" max="13316" width="47.5703125" style="167" customWidth="1"/>
    <col min="13317" max="13317" width="29.5703125" style="167" customWidth="1"/>
    <col min="13318" max="13329" width="31" style="167" customWidth="1"/>
    <col min="13330" max="13330" width="8.85546875" style="167" customWidth="1"/>
    <col min="13331" max="13571" width="9.140625" style="167"/>
    <col min="13572" max="13572" width="47.5703125" style="167" customWidth="1"/>
    <col min="13573" max="13573" width="29.5703125" style="167" customWidth="1"/>
    <col min="13574" max="13585" width="31" style="167" customWidth="1"/>
    <col min="13586" max="13586" width="8.85546875" style="167" customWidth="1"/>
    <col min="13587" max="13827" width="9.140625" style="167"/>
    <col min="13828" max="13828" width="47.5703125" style="167" customWidth="1"/>
    <col min="13829" max="13829" width="29.5703125" style="167" customWidth="1"/>
    <col min="13830" max="13841" width="31" style="167" customWidth="1"/>
    <col min="13842" max="13842" width="8.85546875" style="167" customWidth="1"/>
    <col min="13843" max="14083" width="9.140625" style="167"/>
    <col min="14084" max="14084" width="47.5703125" style="167" customWidth="1"/>
    <col min="14085" max="14085" width="29.5703125" style="167" customWidth="1"/>
    <col min="14086" max="14097" width="31" style="167" customWidth="1"/>
    <col min="14098" max="14098" width="8.85546875" style="167" customWidth="1"/>
    <col min="14099" max="14339" width="9.140625" style="167"/>
    <col min="14340" max="14340" width="47.5703125" style="167" customWidth="1"/>
    <col min="14341" max="14341" width="29.5703125" style="167" customWidth="1"/>
    <col min="14342" max="14353" width="31" style="167" customWidth="1"/>
    <col min="14354" max="14354" width="8.85546875" style="167" customWidth="1"/>
    <col min="14355" max="14595" width="9.140625" style="167"/>
    <col min="14596" max="14596" width="47.5703125" style="167" customWidth="1"/>
    <col min="14597" max="14597" width="29.5703125" style="167" customWidth="1"/>
    <col min="14598" max="14609" width="31" style="167" customWidth="1"/>
    <col min="14610" max="14610" width="8.85546875" style="167" customWidth="1"/>
    <col min="14611" max="14851" width="9.140625" style="167"/>
    <col min="14852" max="14852" width="47.5703125" style="167" customWidth="1"/>
    <col min="14853" max="14853" width="29.5703125" style="167" customWidth="1"/>
    <col min="14854" max="14865" width="31" style="167" customWidth="1"/>
    <col min="14866" max="14866" width="8.85546875" style="167" customWidth="1"/>
    <col min="14867" max="15107" width="9.140625" style="167"/>
    <col min="15108" max="15108" width="47.5703125" style="167" customWidth="1"/>
    <col min="15109" max="15109" width="29.5703125" style="167" customWidth="1"/>
    <col min="15110" max="15121" width="31" style="167" customWidth="1"/>
    <col min="15122" max="15122" width="8.85546875" style="167" customWidth="1"/>
    <col min="15123" max="15363" width="9.140625" style="167"/>
    <col min="15364" max="15364" width="47.5703125" style="167" customWidth="1"/>
    <col min="15365" max="15365" width="29.5703125" style="167" customWidth="1"/>
    <col min="15366" max="15377" width="31" style="167" customWidth="1"/>
    <col min="15378" max="15378" width="8.85546875" style="167" customWidth="1"/>
    <col min="15379" max="15619" width="9.140625" style="167"/>
    <col min="15620" max="15620" width="47.5703125" style="167" customWidth="1"/>
    <col min="15621" max="15621" width="29.5703125" style="167" customWidth="1"/>
    <col min="15622" max="15633" width="31" style="167" customWidth="1"/>
    <col min="15634" max="15634" width="8.85546875" style="167" customWidth="1"/>
    <col min="15635" max="15875" width="9.140625" style="167"/>
    <col min="15876" max="15876" width="47.5703125" style="167" customWidth="1"/>
    <col min="15877" max="15877" width="29.5703125" style="167" customWidth="1"/>
    <col min="15878" max="15889" width="31" style="167" customWidth="1"/>
    <col min="15890" max="15890" width="8.85546875" style="167" customWidth="1"/>
    <col min="15891" max="16131" width="9.140625" style="167"/>
    <col min="16132" max="16132" width="47.5703125" style="167" customWidth="1"/>
    <col min="16133" max="16133" width="29.5703125" style="167" customWidth="1"/>
    <col min="16134" max="16145" width="31" style="167" customWidth="1"/>
    <col min="16146" max="16146" width="8.85546875" style="167" customWidth="1"/>
    <col min="16147" max="16384" width="9.140625" style="167"/>
  </cols>
  <sheetData>
    <row r="1" spans="1:14" ht="20.100000000000001" customHeight="1" thickBot="1" x14ac:dyDescent="0.25">
      <c r="A1" s="1371" t="s">
        <v>435</v>
      </c>
      <c r="B1" s="1372"/>
      <c r="C1" s="1372"/>
      <c r="D1" s="1372"/>
      <c r="E1" s="1372"/>
      <c r="F1" s="1372"/>
      <c r="G1" s="1372"/>
      <c r="H1" s="1372"/>
      <c r="I1" s="1372"/>
      <c r="J1" s="1373"/>
      <c r="K1" s="209" t="str">
        <f>+TITELBLAD!C10</f>
        <v>gas</v>
      </c>
      <c r="L1" s="296"/>
      <c r="M1" s="296"/>
      <c r="N1" s="296"/>
    </row>
    <row r="2" spans="1:14" x14ac:dyDescent="0.2">
      <c r="J2" s="296"/>
      <c r="K2" s="296"/>
      <c r="L2" s="296"/>
      <c r="M2" s="296"/>
      <c r="N2" s="296"/>
    </row>
    <row r="3" spans="1:14" x14ac:dyDescent="0.2">
      <c r="B3" s="296"/>
      <c r="C3" s="1063" t="s">
        <v>346</v>
      </c>
      <c r="D3" s="1063" t="s">
        <v>347</v>
      </c>
      <c r="J3" s="296"/>
      <c r="K3" s="296"/>
      <c r="L3" s="296"/>
      <c r="M3" s="296"/>
      <c r="N3" s="296"/>
    </row>
    <row r="4" spans="1:14" x14ac:dyDescent="0.2">
      <c r="A4" s="358" t="s">
        <v>440</v>
      </c>
      <c r="B4" s="1080">
        <f>+TITELBLAD!E16</f>
        <v>2021</v>
      </c>
      <c r="C4" s="1081">
        <f>-G45</f>
        <v>0</v>
      </c>
      <c r="D4" s="1081">
        <f>-G78</f>
        <v>0</v>
      </c>
      <c r="E4" s="1082"/>
      <c r="J4" s="296"/>
      <c r="K4" s="296"/>
      <c r="L4" s="296"/>
      <c r="M4" s="296"/>
      <c r="N4" s="296"/>
    </row>
    <row r="5" spans="1:14" x14ac:dyDescent="0.2">
      <c r="D5" s="1082"/>
      <c r="E5" s="1082"/>
      <c r="J5" s="296"/>
      <c r="K5" s="296"/>
      <c r="L5" s="296"/>
      <c r="M5" s="296"/>
      <c r="N5" s="296"/>
    </row>
    <row r="6" spans="1:14" x14ac:dyDescent="0.2">
      <c r="J6" s="296"/>
      <c r="K6" s="296"/>
      <c r="L6" s="296"/>
      <c r="M6" s="296"/>
      <c r="N6" s="296"/>
    </row>
    <row r="7" spans="1:14" x14ac:dyDescent="0.2">
      <c r="J7" s="296"/>
      <c r="K7" s="296"/>
      <c r="L7" s="296"/>
      <c r="M7" s="296"/>
      <c r="N7" s="296"/>
    </row>
    <row r="8" spans="1:14" x14ac:dyDescent="0.2">
      <c r="A8" s="358" t="s">
        <v>308</v>
      </c>
      <c r="J8" s="296"/>
      <c r="K8" s="296"/>
      <c r="L8" s="296"/>
      <c r="M8" s="296"/>
      <c r="N8" s="296"/>
    </row>
    <row r="9" spans="1:14" x14ac:dyDescent="0.2">
      <c r="A9" s="224" t="s">
        <v>309</v>
      </c>
      <c r="J9" s="296"/>
      <c r="K9" s="296"/>
      <c r="L9" s="296"/>
      <c r="M9" s="296"/>
      <c r="N9" s="296"/>
    </row>
    <row r="10" spans="1:14" x14ac:dyDescent="0.2">
      <c r="A10" s="1083" t="s">
        <v>310</v>
      </c>
      <c r="J10" s="296"/>
      <c r="K10" s="296"/>
      <c r="L10" s="296"/>
      <c r="M10" s="296"/>
      <c r="N10" s="296"/>
    </row>
    <row r="11" spans="1:14" x14ac:dyDescent="0.2">
      <c r="A11" s="1083" t="s">
        <v>311</v>
      </c>
      <c r="J11" s="296"/>
      <c r="K11" s="296"/>
      <c r="L11" s="296"/>
      <c r="M11" s="296"/>
      <c r="N11" s="296"/>
    </row>
    <row r="12" spans="1:14" x14ac:dyDescent="0.2">
      <c r="A12" s="1083"/>
      <c r="J12" s="296"/>
      <c r="K12" s="296"/>
      <c r="L12" s="296"/>
      <c r="M12" s="296"/>
      <c r="N12" s="296"/>
    </row>
    <row r="13" spans="1:14" x14ac:dyDescent="0.2">
      <c r="A13" s="1113" t="s">
        <v>427</v>
      </c>
      <c r="J13" s="296"/>
      <c r="K13" s="296"/>
      <c r="L13" s="296"/>
      <c r="M13" s="296"/>
      <c r="N13" s="296"/>
    </row>
    <row r="14" spans="1:14" ht="41.45" customHeight="1" x14ac:dyDescent="0.2">
      <c r="A14" s="1382" t="s">
        <v>428</v>
      </c>
      <c r="B14" s="1382"/>
      <c r="C14" s="1382"/>
      <c r="H14" s="1135" t="s">
        <v>458</v>
      </c>
      <c r="J14" s="296"/>
      <c r="K14" s="296"/>
      <c r="L14" s="296"/>
      <c r="M14" s="296"/>
      <c r="N14" s="296"/>
    </row>
    <row r="15" spans="1:14" x14ac:dyDescent="0.2">
      <c r="A15" s="1083"/>
      <c r="J15" s="296"/>
      <c r="K15" s="296"/>
      <c r="L15" s="296"/>
      <c r="M15" s="296"/>
      <c r="N15" s="296"/>
    </row>
    <row r="16" spans="1:14" ht="13.5" thickBot="1" x14ac:dyDescent="0.25">
      <c r="A16" s="1083"/>
    </row>
    <row r="17" spans="1:10" ht="18" customHeight="1" thickBot="1" x14ac:dyDescent="0.25">
      <c r="A17" s="1378" t="str">
        <f>"BUDGET "&amp;B4</f>
        <v>BUDGET 2021</v>
      </c>
      <c r="B17" s="1379"/>
      <c r="C17" s="1379"/>
      <c r="D17" s="1379"/>
      <c r="E17" s="1379"/>
      <c r="F17" s="1379"/>
      <c r="G17" s="1379"/>
      <c r="H17" s="1379"/>
      <c r="I17" s="1379"/>
      <c r="J17" s="1380"/>
    </row>
    <row r="18" spans="1:10" ht="58.5" customHeight="1" x14ac:dyDescent="0.2">
      <c r="A18" s="1084" t="s">
        <v>312</v>
      </c>
      <c r="B18" s="1085" t="s">
        <v>343</v>
      </c>
      <c r="C18" s="1086" t="str">
        <f>"Oorspronkelijke meerwaarde op basis van historische indexatie voor activa einde boekjaar "&amp;B4-1</f>
        <v>Oorspronkelijke meerwaarde op basis van historische indexatie voor activa einde boekjaar 2020</v>
      </c>
      <c r="D18" s="1086" t="str">
        <f>"Gecumuleerde afschrijvingen activa einde boekjaar "&amp; B4-1</f>
        <v>Gecumuleerde afschrijvingen activa einde boekjaar 2020</v>
      </c>
      <c r="E18" s="1086" t="str">
        <f>"Nettoboekwaarde meerwaarde op basis van historische indexatie einde boekjaar "&amp; B4-1</f>
        <v>Nettoboekwaarde meerwaarde op basis van historische indexatie einde boekjaar 2020</v>
      </c>
      <c r="F18" s="1086" t="str">
        <f>"Transfers boekjaar "&amp;B4</f>
        <v>Transfers boekjaar 2021</v>
      </c>
      <c r="G18" s="1086" t="str">
        <f>"Afschrijvingen boekjaar "&amp;B4</f>
        <v>Afschrijvingen boekjaar 2021</v>
      </c>
      <c r="H18" s="1136" t="str">
        <f>"Desinvesteringen boekjaar "&amp;B4&amp;" n.a.v. verkoop"</f>
        <v>Desinvesteringen boekjaar 2021 n.a.v. verkoop</v>
      </c>
      <c r="I18" s="1136" t="str">
        <f>"Desinvesteringen boekjaar "&amp;B4&amp;" n.a.v. structuurwijziging"</f>
        <v>Desinvesteringen boekjaar 2021 n.a.v. structuurwijziging</v>
      </c>
      <c r="J18" s="1086" t="str">
        <f>"Nettoboekwaarde meerwaarde op basis van historische indexatie einde boekjaar "&amp;B4</f>
        <v>Nettoboekwaarde meerwaarde op basis van historische indexatie einde boekjaar 2021</v>
      </c>
    </row>
    <row r="19" spans="1:10" ht="13.5" thickBot="1" x14ac:dyDescent="0.25">
      <c r="A19" s="1087"/>
      <c r="B19" s="1088"/>
      <c r="C19" s="1089" t="s">
        <v>4</v>
      </c>
      <c r="D19" s="1089" t="s">
        <v>8</v>
      </c>
      <c r="E19" s="1089"/>
      <c r="F19" s="1089" t="s">
        <v>4</v>
      </c>
      <c r="G19" s="1089" t="s">
        <v>8</v>
      </c>
      <c r="H19" s="1137" t="s">
        <v>8</v>
      </c>
      <c r="I19" s="1137" t="s">
        <v>8</v>
      </c>
      <c r="J19" s="1090"/>
    </row>
    <row r="20" spans="1:10" x14ac:dyDescent="0.2">
      <c r="A20" s="1091" t="s">
        <v>313</v>
      </c>
      <c r="B20" s="1375">
        <v>0.02</v>
      </c>
      <c r="C20" s="665">
        <v>0</v>
      </c>
      <c r="D20" s="665">
        <v>0</v>
      </c>
      <c r="E20" s="1092">
        <f t="shared" ref="E20:E39" si="0">+C20+D20</f>
        <v>0</v>
      </c>
      <c r="F20" s="665">
        <v>0</v>
      </c>
      <c r="G20" s="665">
        <v>0</v>
      </c>
      <c r="H20" s="1138">
        <v>0</v>
      </c>
      <c r="I20" s="1138">
        <v>0</v>
      </c>
      <c r="J20" s="1093">
        <f>+SUM(E20:I20)</f>
        <v>0</v>
      </c>
    </row>
    <row r="21" spans="1:10" x14ac:dyDescent="0.2">
      <c r="A21" s="1094" t="s">
        <v>314</v>
      </c>
      <c r="B21" s="1376"/>
      <c r="C21" s="666">
        <v>0</v>
      </c>
      <c r="D21" s="666">
        <v>0</v>
      </c>
      <c r="E21" s="1095">
        <f t="shared" si="0"/>
        <v>0</v>
      </c>
      <c r="F21" s="666">
        <v>0</v>
      </c>
      <c r="G21" s="666">
        <v>0</v>
      </c>
      <c r="H21" s="1139">
        <v>0</v>
      </c>
      <c r="I21" s="1139">
        <v>0</v>
      </c>
      <c r="J21" s="1096">
        <f t="shared" ref="J21:J43" si="1">+SUM(E21:I21)</f>
        <v>0</v>
      </c>
    </row>
    <row r="22" spans="1:10" x14ac:dyDescent="0.2">
      <c r="A22" s="1094" t="s">
        <v>315</v>
      </c>
      <c r="B22" s="1376"/>
      <c r="C22" s="666">
        <v>0</v>
      </c>
      <c r="D22" s="666">
        <v>0</v>
      </c>
      <c r="E22" s="1095">
        <f t="shared" si="0"/>
        <v>0</v>
      </c>
      <c r="F22" s="666">
        <v>0</v>
      </c>
      <c r="G22" s="666">
        <v>0</v>
      </c>
      <c r="H22" s="1139">
        <v>0</v>
      </c>
      <c r="I22" s="1139">
        <v>0</v>
      </c>
      <c r="J22" s="1096">
        <f t="shared" si="1"/>
        <v>0</v>
      </c>
    </row>
    <row r="23" spans="1:10" x14ac:dyDescent="0.2">
      <c r="A23" s="1094" t="s">
        <v>348</v>
      </c>
      <c r="B23" s="1376"/>
      <c r="C23" s="666">
        <v>0</v>
      </c>
      <c r="D23" s="666">
        <v>0</v>
      </c>
      <c r="E23" s="1095">
        <f t="shared" si="0"/>
        <v>0</v>
      </c>
      <c r="F23" s="666">
        <v>0</v>
      </c>
      <c r="G23" s="666">
        <v>0</v>
      </c>
      <c r="H23" s="1139">
        <v>0</v>
      </c>
      <c r="I23" s="1139">
        <v>0</v>
      </c>
      <c r="J23" s="1096">
        <f t="shared" si="1"/>
        <v>0</v>
      </c>
    </row>
    <row r="24" spans="1:10" x14ac:dyDescent="0.2">
      <c r="A24" s="1094" t="s">
        <v>349</v>
      </c>
      <c r="B24" s="1376"/>
      <c r="C24" s="666">
        <v>0</v>
      </c>
      <c r="D24" s="666">
        <v>0</v>
      </c>
      <c r="E24" s="1095">
        <f t="shared" si="0"/>
        <v>0</v>
      </c>
      <c r="F24" s="666">
        <v>0</v>
      </c>
      <c r="G24" s="666">
        <v>0</v>
      </c>
      <c r="H24" s="1139">
        <v>0</v>
      </c>
      <c r="I24" s="1139">
        <v>0</v>
      </c>
      <c r="J24" s="1096">
        <f t="shared" si="1"/>
        <v>0</v>
      </c>
    </row>
    <row r="25" spans="1:10" x14ac:dyDescent="0.2">
      <c r="A25" s="1094" t="s">
        <v>350</v>
      </c>
      <c r="B25" s="1376"/>
      <c r="C25" s="666">
        <v>0</v>
      </c>
      <c r="D25" s="666">
        <v>0</v>
      </c>
      <c r="E25" s="1095">
        <f t="shared" si="0"/>
        <v>0</v>
      </c>
      <c r="F25" s="666">
        <v>0</v>
      </c>
      <c r="G25" s="666">
        <v>0</v>
      </c>
      <c r="H25" s="1139">
        <v>0</v>
      </c>
      <c r="I25" s="1139">
        <v>0</v>
      </c>
      <c r="J25" s="1096">
        <f t="shared" si="1"/>
        <v>0</v>
      </c>
    </row>
    <row r="26" spans="1:10" x14ac:dyDescent="0.2">
      <c r="A26" s="1094" t="s">
        <v>351</v>
      </c>
      <c r="B26" s="1376"/>
      <c r="C26" s="666">
        <v>0</v>
      </c>
      <c r="D26" s="666">
        <v>0</v>
      </c>
      <c r="E26" s="1095">
        <f t="shared" si="0"/>
        <v>0</v>
      </c>
      <c r="F26" s="666">
        <v>0</v>
      </c>
      <c r="G26" s="666">
        <v>0</v>
      </c>
      <c r="H26" s="1139">
        <v>0</v>
      </c>
      <c r="I26" s="1139">
        <v>0</v>
      </c>
      <c r="J26" s="1096">
        <f t="shared" si="1"/>
        <v>0</v>
      </c>
    </row>
    <row r="27" spans="1:10" x14ac:dyDescent="0.2">
      <c r="A27" s="1094" t="s">
        <v>322</v>
      </c>
      <c r="B27" s="1376"/>
      <c r="C27" s="666">
        <v>0</v>
      </c>
      <c r="D27" s="666">
        <v>0</v>
      </c>
      <c r="E27" s="1095">
        <f>+C27+D27</f>
        <v>0</v>
      </c>
      <c r="F27" s="666">
        <v>0</v>
      </c>
      <c r="G27" s="666">
        <v>0</v>
      </c>
      <c r="H27" s="1139">
        <v>0</v>
      </c>
      <c r="I27" s="1139">
        <v>0</v>
      </c>
      <c r="J27" s="1096">
        <f t="shared" si="1"/>
        <v>0</v>
      </c>
    </row>
    <row r="28" spans="1:10" x14ac:dyDescent="0.2">
      <c r="A28" s="1094" t="s">
        <v>352</v>
      </c>
      <c r="B28" s="1376"/>
      <c r="C28" s="666">
        <v>0</v>
      </c>
      <c r="D28" s="666">
        <v>0</v>
      </c>
      <c r="E28" s="1095">
        <f t="shared" si="0"/>
        <v>0</v>
      </c>
      <c r="F28" s="666">
        <v>0</v>
      </c>
      <c r="G28" s="666">
        <v>0</v>
      </c>
      <c r="H28" s="1139">
        <v>0</v>
      </c>
      <c r="I28" s="1139">
        <v>0</v>
      </c>
      <c r="J28" s="1096">
        <f t="shared" si="1"/>
        <v>0</v>
      </c>
    </row>
    <row r="29" spans="1:10" x14ac:dyDescent="0.2">
      <c r="A29" s="1094" t="s">
        <v>353</v>
      </c>
      <c r="B29" s="1376"/>
      <c r="C29" s="666">
        <v>0</v>
      </c>
      <c r="D29" s="666">
        <v>0</v>
      </c>
      <c r="E29" s="1095">
        <f t="shared" si="0"/>
        <v>0</v>
      </c>
      <c r="F29" s="666">
        <v>0</v>
      </c>
      <c r="G29" s="666">
        <v>0</v>
      </c>
      <c r="H29" s="1139">
        <v>0</v>
      </c>
      <c r="I29" s="1139">
        <v>0</v>
      </c>
      <c r="J29" s="1096">
        <f t="shared" si="1"/>
        <v>0</v>
      </c>
    </row>
    <row r="30" spans="1:10" x14ac:dyDescent="0.2">
      <c r="A30" s="1094" t="s">
        <v>354</v>
      </c>
      <c r="B30" s="1376"/>
      <c r="C30" s="666">
        <v>0</v>
      </c>
      <c r="D30" s="666">
        <v>0</v>
      </c>
      <c r="E30" s="1095">
        <f t="shared" si="0"/>
        <v>0</v>
      </c>
      <c r="F30" s="666">
        <v>0</v>
      </c>
      <c r="G30" s="666">
        <v>0</v>
      </c>
      <c r="H30" s="1139">
        <v>0</v>
      </c>
      <c r="I30" s="1139">
        <v>0</v>
      </c>
      <c r="J30" s="1096">
        <f t="shared" si="1"/>
        <v>0</v>
      </c>
    </row>
    <row r="31" spans="1:10" x14ac:dyDescent="0.2">
      <c r="A31" s="1094" t="s">
        <v>355</v>
      </c>
      <c r="B31" s="1376"/>
      <c r="C31" s="666">
        <v>0</v>
      </c>
      <c r="D31" s="666">
        <v>0</v>
      </c>
      <c r="E31" s="1095">
        <f t="shared" si="0"/>
        <v>0</v>
      </c>
      <c r="F31" s="666">
        <v>0</v>
      </c>
      <c r="G31" s="666">
        <v>0</v>
      </c>
      <c r="H31" s="1139">
        <v>0</v>
      </c>
      <c r="I31" s="1139">
        <v>0</v>
      </c>
      <c r="J31" s="1096">
        <f t="shared" si="1"/>
        <v>0</v>
      </c>
    </row>
    <row r="32" spans="1:10" x14ac:dyDescent="0.2">
      <c r="A32" s="1094" t="s">
        <v>327</v>
      </c>
      <c r="B32" s="1376"/>
      <c r="C32" s="666">
        <v>0</v>
      </c>
      <c r="D32" s="666">
        <v>0</v>
      </c>
      <c r="E32" s="1095">
        <f t="shared" si="0"/>
        <v>0</v>
      </c>
      <c r="F32" s="666">
        <v>0</v>
      </c>
      <c r="G32" s="666">
        <v>0</v>
      </c>
      <c r="H32" s="1139">
        <v>0</v>
      </c>
      <c r="I32" s="1139">
        <v>0</v>
      </c>
      <c r="J32" s="1096">
        <f t="shared" si="1"/>
        <v>0</v>
      </c>
    </row>
    <row r="33" spans="1:10" x14ac:dyDescent="0.2">
      <c r="A33" s="1094" t="s">
        <v>344</v>
      </c>
      <c r="B33" s="1376"/>
      <c r="C33" s="666">
        <v>0</v>
      </c>
      <c r="D33" s="666">
        <v>0</v>
      </c>
      <c r="E33" s="1095">
        <f t="shared" ref="E33" si="2">+C33+D33</f>
        <v>0</v>
      </c>
      <c r="F33" s="666">
        <v>0</v>
      </c>
      <c r="G33" s="666">
        <v>0</v>
      </c>
      <c r="H33" s="1139">
        <v>0</v>
      </c>
      <c r="I33" s="1139">
        <v>0</v>
      </c>
      <c r="J33" s="1096">
        <f t="shared" si="1"/>
        <v>0</v>
      </c>
    </row>
    <row r="34" spans="1:10" x14ac:dyDescent="0.2">
      <c r="A34" s="1094" t="s">
        <v>328</v>
      </c>
      <c r="B34" s="1376"/>
      <c r="C34" s="666">
        <v>0</v>
      </c>
      <c r="D34" s="666">
        <v>0</v>
      </c>
      <c r="E34" s="1095">
        <f t="shared" si="0"/>
        <v>0</v>
      </c>
      <c r="F34" s="666">
        <v>0</v>
      </c>
      <c r="G34" s="666">
        <v>0</v>
      </c>
      <c r="H34" s="1139">
        <v>0</v>
      </c>
      <c r="I34" s="1139">
        <v>0</v>
      </c>
      <c r="J34" s="1096">
        <f t="shared" si="1"/>
        <v>0</v>
      </c>
    </row>
    <row r="35" spans="1:10" x14ac:dyDescent="0.2">
      <c r="A35" s="1094" t="s">
        <v>329</v>
      </c>
      <c r="B35" s="1376"/>
      <c r="C35" s="666">
        <v>0</v>
      </c>
      <c r="D35" s="666">
        <v>0</v>
      </c>
      <c r="E35" s="1095">
        <f t="shared" si="0"/>
        <v>0</v>
      </c>
      <c r="F35" s="666">
        <v>0</v>
      </c>
      <c r="G35" s="666">
        <v>0</v>
      </c>
      <c r="H35" s="1139">
        <v>0</v>
      </c>
      <c r="I35" s="1139">
        <v>0</v>
      </c>
      <c r="J35" s="1096">
        <f t="shared" si="1"/>
        <v>0</v>
      </c>
    </row>
    <row r="36" spans="1:10" x14ac:dyDescent="0.2">
      <c r="A36" s="1094" t="s">
        <v>330</v>
      </c>
      <c r="B36" s="1376"/>
      <c r="C36" s="666">
        <v>0</v>
      </c>
      <c r="D36" s="666">
        <v>0</v>
      </c>
      <c r="E36" s="1095">
        <f t="shared" si="0"/>
        <v>0</v>
      </c>
      <c r="F36" s="666">
        <v>0</v>
      </c>
      <c r="G36" s="666">
        <v>0</v>
      </c>
      <c r="H36" s="1139">
        <v>0</v>
      </c>
      <c r="I36" s="1139">
        <v>0</v>
      </c>
      <c r="J36" s="1096">
        <f t="shared" si="1"/>
        <v>0</v>
      </c>
    </row>
    <row r="37" spans="1:10" x14ac:dyDescent="0.2">
      <c r="A37" s="1094" t="s">
        <v>356</v>
      </c>
      <c r="B37" s="1376"/>
      <c r="C37" s="666">
        <v>0</v>
      </c>
      <c r="D37" s="666">
        <v>0</v>
      </c>
      <c r="E37" s="1095">
        <f t="shared" si="0"/>
        <v>0</v>
      </c>
      <c r="F37" s="666">
        <v>0</v>
      </c>
      <c r="G37" s="666">
        <v>0</v>
      </c>
      <c r="H37" s="1139">
        <v>0</v>
      </c>
      <c r="I37" s="1139">
        <v>0</v>
      </c>
      <c r="J37" s="1096">
        <f t="shared" si="1"/>
        <v>0</v>
      </c>
    </row>
    <row r="38" spans="1:10" x14ac:dyDescent="0.2">
      <c r="A38" s="1094" t="s">
        <v>332</v>
      </c>
      <c r="B38" s="1376"/>
      <c r="C38" s="666">
        <v>0</v>
      </c>
      <c r="D38" s="666">
        <v>0</v>
      </c>
      <c r="E38" s="1095">
        <f t="shared" si="0"/>
        <v>0</v>
      </c>
      <c r="F38" s="666">
        <v>0</v>
      </c>
      <c r="G38" s="666">
        <v>0</v>
      </c>
      <c r="H38" s="1139">
        <v>0</v>
      </c>
      <c r="I38" s="1139">
        <v>0</v>
      </c>
      <c r="J38" s="1096">
        <f t="shared" si="1"/>
        <v>0</v>
      </c>
    </row>
    <row r="39" spans="1:10" x14ac:dyDescent="0.2">
      <c r="A39" s="1094" t="s">
        <v>333</v>
      </c>
      <c r="B39" s="1376"/>
      <c r="C39" s="666">
        <v>0</v>
      </c>
      <c r="D39" s="666">
        <v>0</v>
      </c>
      <c r="E39" s="1095">
        <f t="shared" si="0"/>
        <v>0</v>
      </c>
      <c r="F39" s="666">
        <v>0</v>
      </c>
      <c r="G39" s="666">
        <v>0</v>
      </c>
      <c r="H39" s="1139">
        <v>0</v>
      </c>
      <c r="I39" s="1139">
        <v>0</v>
      </c>
      <c r="J39" s="1096">
        <f t="shared" si="1"/>
        <v>0</v>
      </c>
    </row>
    <row r="40" spans="1:10" x14ac:dyDescent="0.2">
      <c r="A40" s="1114" t="s">
        <v>334</v>
      </c>
      <c r="B40" s="1376"/>
      <c r="C40" s="670">
        <v>0</v>
      </c>
      <c r="D40" s="670">
        <v>0</v>
      </c>
      <c r="E40" s="1115">
        <f>+C40+D40</f>
        <v>0</v>
      </c>
      <c r="F40" s="670">
        <v>0</v>
      </c>
      <c r="G40" s="670">
        <v>0</v>
      </c>
      <c r="H40" s="1148">
        <v>0</v>
      </c>
      <c r="I40" s="1148">
        <v>0</v>
      </c>
      <c r="J40" s="1116">
        <f t="shared" si="1"/>
        <v>0</v>
      </c>
    </row>
    <row r="41" spans="1:10" x14ac:dyDescent="0.2">
      <c r="A41" s="1094" t="s">
        <v>336</v>
      </c>
      <c r="B41" s="1376"/>
      <c r="C41" s="670">
        <v>0</v>
      </c>
      <c r="D41" s="670">
        <v>0</v>
      </c>
      <c r="E41" s="1115">
        <f>+C41+D41</f>
        <v>0</v>
      </c>
      <c r="F41" s="670">
        <v>0</v>
      </c>
      <c r="G41" s="670">
        <v>0</v>
      </c>
      <c r="H41" s="1148">
        <v>0</v>
      </c>
      <c r="I41" s="1148">
        <v>0</v>
      </c>
      <c r="J41" s="1116">
        <f t="shared" si="1"/>
        <v>0</v>
      </c>
    </row>
    <row r="42" spans="1:10" x14ac:dyDescent="0.2">
      <c r="A42" s="1114" t="s">
        <v>339</v>
      </c>
      <c r="B42" s="1376"/>
      <c r="C42" s="670">
        <v>0</v>
      </c>
      <c r="D42" s="670">
        <v>0</v>
      </c>
      <c r="E42" s="1115">
        <f>+C42+D42</f>
        <v>0</v>
      </c>
      <c r="F42" s="670">
        <v>0</v>
      </c>
      <c r="G42" s="670">
        <v>0</v>
      </c>
      <c r="H42" s="1148">
        <v>0</v>
      </c>
      <c r="I42" s="1148">
        <v>0</v>
      </c>
      <c r="J42" s="1116">
        <f t="shared" si="1"/>
        <v>0</v>
      </c>
    </row>
    <row r="43" spans="1:10" ht="13.5" thickBot="1" x14ac:dyDescent="0.25">
      <c r="A43" s="1117" t="s">
        <v>341</v>
      </c>
      <c r="B43" s="1377"/>
      <c r="C43" s="671">
        <v>0</v>
      </c>
      <c r="D43" s="671">
        <v>0</v>
      </c>
      <c r="E43" s="1118">
        <f>+C43+D43</f>
        <v>0</v>
      </c>
      <c r="F43" s="671">
        <v>0</v>
      </c>
      <c r="G43" s="671">
        <v>0</v>
      </c>
      <c r="H43" s="1149">
        <v>0</v>
      </c>
      <c r="I43" s="1149">
        <v>0</v>
      </c>
      <c r="J43" s="1119">
        <f t="shared" si="1"/>
        <v>0</v>
      </c>
    </row>
    <row r="44" spans="1:10" x14ac:dyDescent="0.2">
      <c r="A44" s="1100"/>
      <c r="B44" s="1101"/>
      <c r="C44" s="1120"/>
      <c r="D44" s="1120"/>
      <c r="E44" s="1120"/>
      <c r="F44" s="1120"/>
      <c r="G44" s="1120"/>
      <c r="H44" s="1150"/>
      <c r="I44" s="1150"/>
      <c r="J44" s="1120"/>
    </row>
    <row r="45" spans="1:10" x14ac:dyDescent="0.2">
      <c r="A45" s="1100" t="s">
        <v>342</v>
      </c>
      <c r="B45" s="1101"/>
      <c r="C45" s="1103">
        <f t="shared" ref="C45:J45" si="3">SUM(C20:C43)</f>
        <v>0</v>
      </c>
      <c r="D45" s="1103">
        <f t="shared" si="3"/>
        <v>0</v>
      </c>
      <c r="E45" s="1103">
        <f t="shared" si="3"/>
        <v>0</v>
      </c>
      <c r="F45" s="1103">
        <f t="shared" ref="F45" si="4">SUM(F20:F43)</f>
        <v>0</v>
      </c>
      <c r="G45" s="1103">
        <f t="shared" si="3"/>
        <v>0</v>
      </c>
      <c r="H45" s="1142">
        <f t="shared" si="3"/>
        <v>0</v>
      </c>
      <c r="I45" s="1142">
        <f t="shared" ref="I45" si="5">SUM(I20:I43)</f>
        <v>0</v>
      </c>
      <c r="J45" s="1103">
        <f t="shared" si="3"/>
        <v>0</v>
      </c>
    </row>
    <row r="46" spans="1:10" ht="13.5" thickBot="1" x14ac:dyDescent="0.25">
      <c r="A46" s="1104"/>
      <c r="B46" s="1105"/>
      <c r="C46" s="1106"/>
      <c r="D46" s="1106"/>
      <c r="E46" s="1106"/>
      <c r="F46" s="1106"/>
      <c r="G46" s="1106"/>
      <c r="H46" s="1143"/>
      <c r="I46" s="1143"/>
      <c r="J46" s="1107"/>
    </row>
    <row r="49" spans="1:10" ht="13.5" thickBot="1" x14ac:dyDescent="0.25"/>
    <row r="50" spans="1:10" ht="18" customHeight="1" thickBot="1" x14ac:dyDescent="0.25">
      <c r="A50" s="1378" t="str">
        <f>"REALITEIT "&amp;B4</f>
        <v>REALITEIT 2021</v>
      </c>
      <c r="B50" s="1379"/>
      <c r="C50" s="1379"/>
      <c r="D50" s="1379"/>
      <c r="E50" s="1379"/>
      <c r="F50" s="1379"/>
      <c r="G50" s="1379"/>
      <c r="H50" s="1379"/>
      <c r="I50" s="1379"/>
      <c r="J50" s="1380"/>
    </row>
    <row r="51" spans="1:10" ht="58.5" customHeight="1" x14ac:dyDescent="0.2">
      <c r="A51" s="1084" t="s">
        <v>312</v>
      </c>
      <c r="B51" s="1085" t="s">
        <v>343</v>
      </c>
      <c r="C51" s="1086" t="str">
        <f>"Oorspronkelijke meerwaarde op basis van historische indexatie voor activa einde boekjaar "&amp;B4-1</f>
        <v>Oorspronkelijke meerwaarde op basis van historische indexatie voor activa einde boekjaar 2020</v>
      </c>
      <c r="D51" s="1086" t="str">
        <f>"Gecumuleerde afschrijvingen activa einde boekjaar "&amp; B4-1</f>
        <v>Gecumuleerde afschrijvingen activa einde boekjaar 2020</v>
      </c>
      <c r="E51" s="1086" t="str">
        <f>"Nettoboekwaarde meerwaarde op basis van historische indexatie einde boekjaar "&amp; B4-1</f>
        <v>Nettoboekwaarde meerwaarde op basis van historische indexatie einde boekjaar 2020</v>
      </c>
      <c r="F51" s="1086" t="str">
        <f>"Transfers boekjaar "&amp;B4</f>
        <v>Transfers boekjaar 2021</v>
      </c>
      <c r="G51" s="1086" t="str">
        <f>"Afschrijvingen boekjaar "&amp;B4</f>
        <v>Afschrijvingen boekjaar 2021</v>
      </c>
      <c r="H51" s="1136" t="str">
        <f>"Desinvesteringen boekjaar "&amp;B4&amp;" n.a.v. verkoop"</f>
        <v>Desinvesteringen boekjaar 2021 n.a.v. verkoop</v>
      </c>
      <c r="I51" s="1136" t="str">
        <f>"Desinvesteringen boekjaar "&amp;B4&amp;" n.a.v. structuurwijziging"</f>
        <v>Desinvesteringen boekjaar 2021 n.a.v. structuurwijziging</v>
      </c>
      <c r="J51" s="1086" t="str">
        <f>"Nettoboekwaarde meerwaarde op basis van historische indexatie einde boekjaar "&amp;B4</f>
        <v>Nettoboekwaarde meerwaarde op basis van historische indexatie einde boekjaar 2021</v>
      </c>
    </row>
    <row r="52" spans="1:10" ht="13.5" thickBot="1" x14ac:dyDescent="0.25">
      <c r="A52" s="1087"/>
      <c r="B52" s="1088"/>
      <c r="C52" s="1089" t="s">
        <v>4</v>
      </c>
      <c r="D52" s="1089" t="s">
        <v>8</v>
      </c>
      <c r="E52" s="1089"/>
      <c r="F52" s="1089" t="s">
        <v>4</v>
      </c>
      <c r="G52" s="1089" t="s">
        <v>8</v>
      </c>
      <c r="H52" s="1137" t="s">
        <v>8</v>
      </c>
      <c r="I52" s="1137" t="s">
        <v>8</v>
      </c>
      <c r="J52" s="1090"/>
    </row>
    <row r="53" spans="1:10" x14ac:dyDescent="0.2">
      <c r="A53" s="1091" t="s">
        <v>313</v>
      </c>
      <c r="B53" s="1375">
        <v>0.02</v>
      </c>
      <c r="C53" s="665">
        <v>0</v>
      </c>
      <c r="D53" s="665">
        <v>0</v>
      </c>
      <c r="E53" s="1092">
        <f t="shared" ref="E53:E59" si="6">+C53+D53</f>
        <v>0</v>
      </c>
      <c r="F53" s="665">
        <v>0</v>
      </c>
      <c r="G53" s="665">
        <v>0</v>
      </c>
      <c r="H53" s="1138">
        <v>0</v>
      </c>
      <c r="I53" s="1138">
        <v>0</v>
      </c>
      <c r="J53" s="1093">
        <f>+SUM(E53:I53)</f>
        <v>0</v>
      </c>
    </row>
    <row r="54" spans="1:10" x14ac:dyDescent="0.2">
      <c r="A54" s="1094" t="s">
        <v>314</v>
      </c>
      <c r="B54" s="1376"/>
      <c r="C54" s="666">
        <v>0</v>
      </c>
      <c r="D54" s="666">
        <v>0</v>
      </c>
      <c r="E54" s="1095">
        <f t="shared" si="6"/>
        <v>0</v>
      </c>
      <c r="F54" s="666">
        <v>0</v>
      </c>
      <c r="G54" s="666">
        <v>0</v>
      </c>
      <c r="H54" s="1139">
        <v>0</v>
      </c>
      <c r="I54" s="1139">
        <v>0</v>
      </c>
      <c r="J54" s="1096">
        <f t="shared" ref="J54:J76" si="7">+SUM(E54:I54)</f>
        <v>0</v>
      </c>
    </row>
    <row r="55" spans="1:10" x14ac:dyDescent="0.2">
      <c r="A55" s="1094" t="s">
        <v>315</v>
      </c>
      <c r="B55" s="1376"/>
      <c r="C55" s="666">
        <v>0</v>
      </c>
      <c r="D55" s="666">
        <v>0</v>
      </c>
      <c r="E55" s="1095">
        <f t="shared" si="6"/>
        <v>0</v>
      </c>
      <c r="F55" s="666">
        <v>0</v>
      </c>
      <c r="G55" s="666">
        <v>0</v>
      </c>
      <c r="H55" s="1139">
        <v>0</v>
      </c>
      <c r="I55" s="1139">
        <v>0</v>
      </c>
      <c r="J55" s="1096">
        <f t="shared" si="7"/>
        <v>0</v>
      </c>
    </row>
    <row r="56" spans="1:10" x14ac:dyDescent="0.2">
      <c r="A56" s="1094" t="s">
        <v>348</v>
      </c>
      <c r="B56" s="1376"/>
      <c r="C56" s="666">
        <v>0</v>
      </c>
      <c r="D56" s="666">
        <v>0</v>
      </c>
      <c r="E56" s="1095">
        <f t="shared" si="6"/>
        <v>0</v>
      </c>
      <c r="F56" s="666">
        <v>0</v>
      </c>
      <c r="G56" s="666">
        <v>0</v>
      </c>
      <c r="H56" s="1139">
        <v>0</v>
      </c>
      <c r="I56" s="1139">
        <v>0</v>
      </c>
      <c r="J56" s="1096">
        <f t="shared" si="7"/>
        <v>0</v>
      </c>
    </row>
    <row r="57" spans="1:10" x14ac:dyDescent="0.2">
      <c r="A57" s="1094" t="s">
        <v>349</v>
      </c>
      <c r="B57" s="1376"/>
      <c r="C57" s="666">
        <v>0</v>
      </c>
      <c r="D57" s="666">
        <v>0</v>
      </c>
      <c r="E57" s="1095">
        <f t="shared" si="6"/>
        <v>0</v>
      </c>
      <c r="F57" s="666">
        <v>0</v>
      </c>
      <c r="G57" s="666">
        <v>0</v>
      </c>
      <c r="H57" s="1139">
        <v>0</v>
      </c>
      <c r="I57" s="1139">
        <v>0</v>
      </c>
      <c r="J57" s="1096">
        <f t="shared" si="7"/>
        <v>0</v>
      </c>
    </row>
    <row r="58" spans="1:10" x14ac:dyDescent="0.2">
      <c r="A58" s="1094" t="s">
        <v>350</v>
      </c>
      <c r="B58" s="1376"/>
      <c r="C58" s="666">
        <v>0</v>
      </c>
      <c r="D58" s="666">
        <v>0</v>
      </c>
      <c r="E58" s="1095">
        <f t="shared" si="6"/>
        <v>0</v>
      </c>
      <c r="F58" s="666">
        <v>0</v>
      </c>
      <c r="G58" s="666">
        <v>0</v>
      </c>
      <c r="H58" s="1139">
        <v>0</v>
      </c>
      <c r="I58" s="1139">
        <v>0</v>
      </c>
      <c r="J58" s="1096">
        <f t="shared" si="7"/>
        <v>0</v>
      </c>
    </row>
    <row r="59" spans="1:10" x14ac:dyDescent="0.2">
      <c r="A59" s="1094" t="s">
        <v>351</v>
      </c>
      <c r="B59" s="1376"/>
      <c r="C59" s="666">
        <v>0</v>
      </c>
      <c r="D59" s="666">
        <v>0</v>
      </c>
      <c r="E59" s="1095">
        <f t="shared" si="6"/>
        <v>0</v>
      </c>
      <c r="F59" s="666">
        <v>0</v>
      </c>
      <c r="G59" s="666">
        <v>0</v>
      </c>
      <c r="H59" s="1139">
        <v>0</v>
      </c>
      <c r="I59" s="1139">
        <v>0</v>
      </c>
      <c r="J59" s="1096">
        <f t="shared" si="7"/>
        <v>0</v>
      </c>
    </row>
    <row r="60" spans="1:10" x14ac:dyDescent="0.2">
      <c r="A60" s="1094" t="s">
        <v>322</v>
      </c>
      <c r="B60" s="1376"/>
      <c r="C60" s="666">
        <v>0</v>
      </c>
      <c r="D60" s="666">
        <v>0</v>
      </c>
      <c r="E60" s="1095">
        <f>+C60+D60</f>
        <v>0</v>
      </c>
      <c r="F60" s="666">
        <v>0</v>
      </c>
      <c r="G60" s="666">
        <v>0</v>
      </c>
      <c r="H60" s="1139">
        <v>0</v>
      </c>
      <c r="I60" s="1139">
        <v>0</v>
      </c>
      <c r="J60" s="1096">
        <f t="shared" si="7"/>
        <v>0</v>
      </c>
    </row>
    <row r="61" spans="1:10" x14ac:dyDescent="0.2">
      <c r="A61" s="1094" t="s">
        <v>352</v>
      </c>
      <c r="B61" s="1376"/>
      <c r="C61" s="666">
        <v>0</v>
      </c>
      <c r="D61" s="666">
        <v>0</v>
      </c>
      <c r="E61" s="1095">
        <f t="shared" ref="E61:E72" si="8">+C61+D61</f>
        <v>0</v>
      </c>
      <c r="F61" s="666">
        <v>0</v>
      </c>
      <c r="G61" s="666">
        <v>0</v>
      </c>
      <c r="H61" s="1139">
        <v>0</v>
      </c>
      <c r="I61" s="1139">
        <v>0</v>
      </c>
      <c r="J61" s="1096">
        <f t="shared" si="7"/>
        <v>0</v>
      </c>
    </row>
    <row r="62" spans="1:10" x14ac:dyDescent="0.2">
      <c r="A62" s="1094" t="s">
        <v>353</v>
      </c>
      <c r="B62" s="1376"/>
      <c r="C62" s="666">
        <v>0</v>
      </c>
      <c r="D62" s="666">
        <v>0</v>
      </c>
      <c r="E62" s="1095">
        <f t="shared" si="8"/>
        <v>0</v>
      </c>
      <c r="F62" s="666">
        <v>0</v>
      </c>
      <c r="G62" s="666">
        <v>0</v>
      </c>
      <c r="H62" s="1139">
        <v>0</v>
      </c>
      <c r="I62" s="1139">
        <v>0</v>
      </c>
      <c r="J62" s="1096">
        <f t="shared" si="7"/>
        <v>0</v>
      </c>
    </row>
    <row r="63" spans="1:10" x14ac:dyDescent="0.2">
      <c r="A63" s="1094" t="s">
        <v>354</v>
      </c>
      <c r="B63" s="1376"/>
      <c r="C63" s="666">
        <v>0</v>
      </c>
      <c r="D63" s="666">
        <v>0</v>
      </c>
      <c r="E63" s="1095">
        <f t="shared" si="8"/>
        <v>0</v>
      </c>
      <c r="F63" s="666">
        <v>0</v>
      </c>
      <c r="G63" s="666">
        <v>0</v>
      </c>
      <c r="H63" s="1139">
        <v>0</v>
      </c>
      <c r="I63" s="1139">
        <v>0</v>
      </c>
      <c r="J63" s="1096">
        <f t="shared" si="7"/>
        <v>0</v>
      </c>
    </row>
    <row r="64" spans="1:10" x14ac:dyDescent="0.2">
      <c r="A64" s="1094" t="s">
        <v>355</v>
      </c>
      <c r="B64" s="1376"/>
      <c r="C64" s="666">
        <v>0</v>
      </c>
      <c r="D64" s="666">
        <v>0</v>
      </c>
      <c r="E64" s="1095">
        <f t="shared" si="8"/>
        <v>0</v>
      </c>
      <c r="F64" s="666">
        <v>0</v>
      </c>
      <c r="G64" s="666">
        <v>0</v>
      </c>
      <c r="H64" s="1139">
        <v>0</v>
      </c>
      <c r="I64" s="1139">
        <v>0</v>
      </c>
      <c r="J64" s="1096">
        <f t="shared" si="7"/>
        <v>0</v>
      </c>
    </row>
    <row r="65" spans="1:10" x14ac:dyDescent="0.2">
      <c r="A65" s="1094" t="s">
        <v>327</v>
      </c>
      <c r="B65" s="1376"/>
      <c r="C65" s="666">
        <v>0</v>
      </c>
      <c r="D65" s="666">
        <v>0</v>
      </c>
      <c r="E65" s="1095">
        <f t="shared" si="8"/>
        <v>0</v>
      </c>
      <c r="F65" s="666">
        <v>0</v>
      </c>
      <c r="G65" s="666">
        <v>0</v>
      </c>
      <c r="H65" s="1139">
        <v>0</v>
      </c>
      <c r="I65" s="1139">
        <v>0</v>
      </c>
      <c r="J65" s="1096">
        <f t="shared" si="7"/>
        <v>0</v>
      </c>
    </row>
    <row r="66" spans="1:10" x14ac:dyDescent="0.2">
      <c r="A66" s="1094" t="s">
        <v>344</v>
      </c>
      <c r="B66" s="1376"/>
      <c r="C66" s="666">
        <v>0</v>
      </c>
      <c r="D66" s="666">
        <v>0</v>
      </c>
      <c r="E66" s="1095">
        <f t="shared" si="8"/>
        <v>0</v>
      </c>
      <c r="F66" s="666">
        <v>0</v>
      </c>
      <c r="G66" s="666">
        <v>0</v>
      </c>
      <c r="H66" s="1139">
        <v>0</v>
      </c>
      <c r="I66" s="1139">
        <v>0</v>
      </c>
      <c r="J66" s="1096">
        <f t="shared" si="7"/>
        <v>0</v>
      </c>
    </row>
    <row r="67" spans="1:10" x14ac:dyDescent="0.2">
      <c r="A67" s="1094" t="s">
        <v>328</v>
      </c>
      <c r="B67" s="1376"/>
      <c r="C67" s="666">
        <v>0</v>
      </c>
      <c r="D67" s="666">
        <v>0</v>
      </c>
      <c r="E67" s="1095">
        <f t="shared" si="8"/>
        <v>0</v>
      </c>
      <c r="F67" s="666">
        <v>0</v>
      </c>
      <c r="G67" s="666">
        <v>0</v>
      </c>
      <c r="H67" s="1139">
        <v>0</v>
      </c>
      <c r="I67" s="1139">
        <v>0</v>
      </c>
      <c r="J67" s="1096">
        <f t="shared" si="7"/>
        <v>0</v>
      </c>
    </row>
    <row r="68" spans="1:10" x14ac:dyDescent="0.2">
      <c r="A68" s="1094" t="s">
        <v>329</v>
      </c>
      <c r="B68" s="1376"/>
      <c r="C68" s="666">
        <v>0</v>
      </c>
      <c r="D68" s="666">
        <v>0</v>
      </c>
      <c r="E68" s="1095">
        <f t="shared" si="8"/>
        <v>0</v>
      </c>
      <c r="F68" s="666">
        <v>0</v>
      </c>
      <c r="G68" s="666">
        <v>0</v>
      </c>
      <c r="H68" s="1139">
        <v>0</v>
      </c>
      <c r="I68" s="1139">
        <v>0</v>
      </c>
      <c r="J68" s="1096">
        <f t="shared" si="7"/>
        <v>0</v>
      </c>
    </row>
    <row r="69" spans="1:10" x14ac:dyDescent="0.2">
      <c r="A69" s="1094" t="s">
        <v>330</v>
      </c>
      <c r="B69" s="1376"/>
      <c r="C69" s="666">
        <v>0</v>
      </c>
      <c r="D69" s="666">
        <v>0</v>
      </c>
      <c r="E69" s="1095">
        <f t="shared" si="8"/>
        <v>0</v>
      </c>
      <c r="F69" s="666">
        <v>0</v>
      </c>
      <c r="G69" s="666">
        <v>0</v>
      </c>
      <c r="H69" s="1139">
        <v>0</v>
      </c>
      <c r="I69" s="1139">
        <v>0</v>
      </c>
      <c r="J69" s="1096">
        <f t="shared" si="7"/>
        <v>0</v>
      </c>
    </row>
    <row r="70" spans="1:10" x14ac:dyDescent="0.2">
      <c r="A70" s="1094" t="s">
        <v>356</v>
      </c>
      <c r="B70" s="1376"/>
      <c r="C70" s="666">
        <v>0</v>
      </c>
      <c r="D70" s="666">
        <v>0</v>
      </c>
      <c r="E70" s="1095">
        <f t="shared" si="8"/>
        <v>0</v>
      </c>
      <c r="F70" s="666">
        <v>0</v>
      </c>
      <c r="G70" s="666">
        <v>0</v>
      </c>
      <c r="H70" s="1139">
        <v>0</v>
      </c>
      <c r="I70" s="1139">
        <v>0</v>
      </c>
      <c r="J70" s="1096">
        <f t="shared" si="7"/>
        <v>0</v>
      </c>
    </row>
    <row r="71" spans="1:10" x14ac:dyDescent="0.2">
      <c r="A71" s="1094" t="s">
        <v>332</v>
      </c>
      <c r="B71" s="1376"/>
      <c r="C71" s="666">
        <v>0</v>
      </c>
      <c r="D71" s="666">
        <v>0</v>
      </c>
      <c r="E71" s="1095">
        <f t="shared" si="8"/>
        <v>0</v>
      </c>
      <c r="F71" s="666">
        <v>0</v>
      </c>
      <c r="G71" s="666">
        <v>0</v>
      </c>
      <c r="H71" s="1139">
        <v>0</v>
      </c>
      <c r="I71" s="1139">
        <v>0</v>
      </c>
      <c r="J71" s="1096">
        <f t="shared" si="7"/>
        <v>0</v>
      </c>
    </row>
    <row r="72" spans="1:10" x14ac:dyDescent="0.2">
      <c r="A72" s="1094" t="s">
        <v>333</v>
      </c>
      <c r="B72" s="1376"/>
      <c r="C72" s="666">
        <v>0</v>
      </c>
      <c r="D72" s="666">
        <v>0</v>
      </c>
      <c r="E72" s="1095">
        <f t="shared" si="8"/>
        <v>0</v>
      </c>
      <c r="F72" s="666">
        <v>0</v>
      </c>
      <c r="G72" s="666">
        <v>0</v>
      </c>
      <c r="H72" s="1139">
        <v>0</v>
      </c>
      <c r="I72" s="1139">
        <v>0</v>
      </c>
      <c r="J72" s="1096">
        <f t="shared" si="7"/>
        <v>0</v>
      </c>
    </row>
    <row r="73" spans="1:10" x14ac:dyDescent="0.2">
      <c r="A73" s="1114" t="s">
        <v>334</v>
      </c>
      <c r="B73" s="1376"/>
      <c r="C73" s="670">
        <v>0</v>
      </c>
      <c r="D73" s="670">
        <v>0</v>
      </c>
      <c r="E73" s="1115">
        <f>+C73+D73</f>
        <v>0</v>
      </c>
      <c r="F73" s="670">
        <v>0</v>
      </c>
      <c r="G73" s="670">
        <v>0</v>
      </c>
      <c r="H73" s="1148">
        <v>0</v>
      </c>
      <c r="I73" s="1148">
        <v>0</v>
      </c>
      <c r="J73" s="1116">
        <f t="shared" si="7"/>
        <v>0</v>
      </c>
    </row>
    <row r="74" spans="1:10" x14ac:dyDescent="0.2">
      <c r="A74" s="1094" t="s">
        <v>336</v>
      </c>
      <c r="B74" s="1376"/>
      <c r="C74" s="670">
        <v>0</v>
      </c>
      <c r="D74" s="670">
        <v>0</v>
      </c>
      <c r="E74" s="1115">
        <f>+C74+D74</f>
        <v>0</v>
      </c>
      <c r="F74" s="670">
        <v>0</v>
      </c>
      <c r="G74" s="670">
        <v>0</v>
      </c>
      <c r="H74" s="1148">
        <v>0</v>
      </c>
      <c r="I74" s="1148">
        <v>0</v>
      </c>
      <c r="J74" s="1116">
        <f t="shared" si="7"/>
        <v>0</v>
      </c>
    </row>
    <row r="75" spans="1:10" x14ac:dyDescent="0.2">
      <c r="A75" s="1114" t="s">
        <v>339</v>
      </c>
      <c r="B75" s="1376"/>
      <c r="C75" s="670">
        <v>0</v>
      </c>
      <c r="D75" s="670">
        <v>0</v>
      </c>
      <c r="E75" s="1115">
        <f>+C75+D75</f>
        <v>0</v>
      </c>
      <c r="F75" s="670">
        <v>0</v>
      </c>
      <c r="G75" s="670">
        <v>0</v>
      </c>
      <c r="H75" s="1148">
        <v>0</v>
      </c>
      <c r="I75" s="1148">
        <v>0</v>
      </c>
      <c r="J75" s="1116">
        <f t="shared" si="7"/>
        <v>0</v>
      </c>
    </row>
    <row r="76" spans="1:10" ht="13.5" thickBot="1" x14ac:dyDescent="0.25">
      <c r="A76" s="1117" t="s">
        <v>341</v>
      </c>
      <c r="B76" s="1377"/>
      <c r="C76" s="671">
        <v>0</v>
      </c>
      <c r="D76" s="671">
        <v>0</v>
      </c>
      <c r="E76" s="1118">
        <f>+C76+D76</f>
        <v>0</v>
      </c>
      <c r="F76" s="671">
        <v>0</v>
      </c>
      <c r="G76" s="671">
        <v>0</v>
      </c>
      <c r="H76" s="1149">
        <v>0</v>
      </c>
      <c r="I76" s="1149">
        <v>0</v>
      </c>
      <c r="J76" s="1119">
        <f t="shared" si="7"/>
        <v>0</v>
      </c>
    </row>
    <row r="77" spans="1:10" x14ac:dyDescent="0.2">
      <c r="A77" s="1100"/>
      <c r="B77" s="1101"/>
      <c r="C77" s="1120"/>
      <c r="D77" s="1120"/>
      <c r="E77" s="1120"/>
      <c r="F77" s="1120"/>
      <c r="G77" s="1120"/>
      <c r="H77" s="1150"/>
      <c r="I77" s="1150"/>
      <c r="J77" s="1120"/>
    </row>
    <row r="78" spans="1:10" x14ac:dyDescent="0.2">
      <c r="A78" s="1100" t="s">
        <v>342</v>
      </c>
      <c r="B78" s="1101"/>
      <c r="C78" s="1103">
        <f t="shared" ref="C78:J78" si="9">SUM(C53:C76)</f>
        <v>0</v>
      </c>
      <c r="D78" s="1103">
        <f t="shared" si="9"/>
        <v>0</v>
      </c>
      <c r="E78" s="1103">
        <f t="shared" si="9"/>
        <v>0</v>
      </c>
      <c r="F78" s="1103">
        <f t="shared" ref="F78" si="10">SUM(F53:F76)</f>
        <v>0</v>
      </c>
      <c r="G78" s="1103">
        <f t="shared" si="9"/>
        <v>0</v>
      </c>
      <c r="H78" s="1142">
        <f t="shared" si="9"/>
        <v>0</v>
      </c>
      <c r="I78" s="1142">
        <f t="shared" ref="I78" si="11">SUM(I53:I76)</f>
        <v>0</v>
      </c>
      <c r="J78" s="1103">
        <f t="shared" si="9"/>
        <v>0</v>
      </c>
    </row>
    <row r="79" spans="1:10" ht="13.5" thickBot="1" x14ac:dyDescent="0.25">
      <c r="A79" s="1104"/>
      <c r="B79" s="1105"/>
      <c r="C79" s="1106"/>
      <c r="D79" s="1106"/>
      <c r="E79" s="1106"/>
      <c r="F79" s="1106"/>
      <c r="G79" s="1106"/>
      <c r="H79" s="1143"/>
      <c r="I79" s="1143"/>
      <c r="J79" s="1107"/>
    </row>
  </sheetData>
  <sheetProtection algorithmName="SHA-512" hashValue="hmZ7FyTIccH3vw32gSWHxVhNKE6m0N8uN8P4yUskitCN8yUXuBlecSq3bjaSAkd1hffELLxIlY1aHsQTD5EeEA==" saltValue="gxorB+BAOeBf1J+Qxw3jfg==" spinCount="100000" sheet="1" objects="1" scenarios="1"/>
  <mergeCells count="6">
    <mergeCell ref="A50:J50"/>
    <mergeCell ref="B53:B76"/>
    <mergeCell ref="B20:B43"/>
    <mergeCell ref="A17:J17"/>
    <mergeCell ref="A1:J1"/>
    <mergeCell ref="A14:C14"/>
  </mergeCells>
  <conditionalFormatting sqref="A1:E13 A15:E1048576 A14 D14:E14 G1:XFD1048576">
    <cfRule type="expression" dxfId="8" priority="4">
      <formula>$K$1="elektriciteit"</formula>
    </cfRule>
  </conditionalFormatting>
  <conditionalFormatting sqref="F1:F1048576">
    <cfRule type="expression" dxfId="7" priority="2">
      <formula>$K$1="elektriciteit"</formula>
    </cfRule>
  </conditionalFormatting>
  <dataValidations count="3">
    <dataValidation type="decimal" operator="lessThanOrEqual" allowBlank="1" showInputMessage="1" showErrorMessage="1" errorTitle="Positief bedrag" error="Gelieve een negatief bedrag in te geven" sqref="D65526:D65548 JC65526:JC65548 SY65526:SY65548 ACU65526:ACU65548 AMQ65526:AMQ65548 AWM65526:AWM65548 BGI65526:BGI65548 BQE65526:BQE65548 CAA65526:CAA65548 CJW65526:CJW65548 CTS65526:CTS65548 DDO65526:DDO65548 DNK65526:DNK65548 DXG65526:DXG65548 EHC65526:EHC65548 EQY65526:EQY65548 FAU65526:FAU65548 FKQ65526:FKQ65548 FUM65526:FUM65548 GEI65526:GEI65548 GOE65526:GOE65548 GYA65526:GYA65548 HHW65526:HHW65548 HRS65526:HRS65548 IBO65526:IBO65548 ILK65526:ILK65548 IVG65526:IVG65548 JFC65526:JFC65548 JOY65526:JOY65548 JYU65526:JYU65548 KIQ65526:KIQ65548 KSM65526:KSM65548 LCI65526:LCI65548 LME65526:LME65548 LWA65526:LWA65548 MFW65526:MFW65548 MPS65526:MPS65548 MZO65526:MZO65548 NJK65526:NJK65548 NTG65526:NTG65548 ODC65526:ODC65548 OMY65526:OMY65548 OWU65526:OWU65548 PGQ65526:PGQ65548 PQM65526:PQM65548 QAI65526:QAI65548 QKE65526:QKE65548 QUA65526:QUA65548 RDW65526:RDW65548 RNS65526:RNS65548 RXO65526:RXO65548 SHK65526:SHK65548 SRG65526:SRG65548 TBC65526:TBC65548 TKY65526:TKY65548 TUU65526:TUU65548 UEQ65526:UEQ65548 UOM65526:UOM65548 UYI65526:UYI65548 VIE65526:VIE65548 VSA65526:VSA65548 WBW65526:WBW65548 WLS65526:WLS65548 WVO65526:WVO65548 D131062:D131084 JC131062:JC131084 SY131062:SY131084 ACU131062:ACU131084 AMQ131062:AMQ131084 AWM131062:AWM131084 BGI131062:BGI131084 BQE131062:BQE131084 CAA131062:CAA131084 CJW131062:CJW131084 CTS131062:CTS131084 DDO131062:DDO131084 DNK131062:DNK131084 DXG131062:DXG131084 EHC131062:EHC131084 EQY131062:EQY131084 FAU131062:FAU131084 FKQ131062:FKQ131084 FUM131062:FUM131084 GEI131062:GEI131084 GOE131062:GOE131084 GYA131062:GYA131084 HHW131062:HHW131084 HRS131062:HRS131084 IBO131062:IBO131084 ILK131062:ILK131084 IVG131062:IVG131084 JFC131062:JFC131084 JOY131062:JOY131084 JYU131062:JYU131084 KIQ131062:KIQ131084 KSM131062:KSM131084 LCI131062:LCI131084 LME131062:LME131084 LWA131062:LWA131084 MFW131062:MFW131084 MPS131062:MPS131084 MZO131062:MZO131084 NJK131062:NJK131084 NTG131062:NTG131084 ODC131062:ODC131084 OMY131062:OMY131084 OWU131062:OWU131084 PGQ131062:PGQ131084 PQM131062:PQM131084 QAI131062:QAI131084 QKE131062:QKE131084 QUA131062:QUA131084 RDW131062:RDW131084 RNS131062:RNS131084 RXO131062:RXO131084 SHK131062:SHK131084 SRG131062:SRG131084 TBC131062:TBC131084 TKY131062:TKY131084 TUU131062:TUU131084 UEQ131062:UEQ131084 UOM131062:UOM131084 UYI131062:UYI131084 VIE131062:VIE131084 VSA131062:VSA131084 WBW131062:WBW131084 WLS131062:WLS131084 WVO131062:WVO131084 D196598:D196620 JC196598:JC196620 SY196598:SY196620 ACU196598:ACU196620 AMQ196598:AMQ196620 AWM196598:AWM196620 BGI196598:BGI196620 BQE196598:BQE196620 CAA196598:CAA196620 CJW196598:CJW196620 CTS196598:CTS196620 DDO196598:DDO196620 DNK196598:DNK196620 DXG196598:DXG196620 EHC196598:EHC196620 EQY196598:EQY196620 FAU196598:FAU196620 FKQ196598:FKQ196620 FUM196598:FUM196620 GEI196598:GEI196620 GOE196598:GOE196620 GYA196598:GYA196620 HHW196598:HHW196620 HRS196598:HRS196620 IBO196598:IBO196620 ILK196598:ILK196620 IVG196598:IVG196620 JFC196598:JFC196620 JOY196598:JOY196620 JYU196598:JYU196620 KIQ196598:KIQ196620 KSM196598:KSM196620 LCI196598:LCI196620 LME196598:LME196620 LWA196598:LWA196620 MFW196598:MFW196620 MPS196598:MPS196620 MZO196598:MZO196620 NJK196598:NJK196620 NTG196598:NTG196620 ODC196598:ODC196620 OMY196598:OMY196620 OWU196598:OWU196620 PGQ196598:PGQ196620 PQM196598:PQM196620 QAI196598:QAI196620 QKE196598:QKE196620 QUA196598:QUA196620 RDW196598:RDW196620 RNS196598:RNS196620 RXO196598:RXO196620 SHK196598:SHK196620 SRG196598:SRG196620 TBC196598:TBC196620 TKY196598:TKY196620 TUU196598:TUU196620 UEQ196598:UEQ196620 UOM196598:UOM196620 UYI196598:UYI196620 VIE196598:VIE196620 VSA196598:VSA196620 WBW196598:WBW196620 WLS196598:WLS196620 WVO196598:WVO196620 D262134:D262156 JC262134:JC262156 SY262134:SY262156 ACU262134:ACU262156 AMQ262134:AMQ262156 AWM262134:AWM262156 BGI262134:BGI262156 BQE262134:BQE262156 CAA262134:CAA262156 CJW262134:CJW262156 CTS262134:CTS262156 DDO262134:DDO262156 DNK262134:DNK262156 DXG262134:DXG262156 EHC262134:EHC262156 EQY262134:EQY262156 FAU262134:FAU262156 FKQ262134:FKQ262156 FUM262134:FUM262156 GEI262134:GEI262156 GOE262134:GOE262156 GYA262134:GYA262156 HHW262134:HHW262156 HRS262134:HRS262156 IBO262134:IBO262156 ILK262134:ILK262156 IVG262134:IVG262156 JFC262134:JFC262156 JOY262134:JOY262156 JYU262134:JYU262156 KIQ262134:KIQ262156 KSM262134:KSM262156 LCI262134:LCI262156 LME262134:LME262156 LWA262134:LWA262156 MFW262134:MFW262156 MPS262134:MPS262156 MZO262134:MZO262156 NJK262134:NJK262156 NTG262134:NTG262156 ODC262134:ODC262156 OMY262134:OMY262156 OWU262134:OWU262156 PGQ262134:PGQ262156 PQM262134:PQM262156 QAI262134:QAI262156 QKE262134:QKE262156 QUA262134:QUA262156 RDW262134:RDW262156 RNS262134:RNS262156 RXO262134:RXO262156 SHK262134:SHK262156 SRG262134:SRG262156 TBC262134:TBC262156 TKY262134:TKY262156 TUU262134:TUU262156 UEQ262134:UEQ262156 UOM262134:UOM262156 UYI262134:UYI262156 VIE262134:VIE262156 VSA262134:VSA262156 WBW262134:WBW262156 WLS262134:WLS262156 WVO262134:WVO262156 D327670:D327692 JC327670:JC327692 SY327670:SY327692 ACU327670:ACU327692 AMQ327670:AMQ327692 AWM327670:AWM327692 BGI327670:BGI327692 BQE327670:BQE327692 CAA327670:CAA327692 CJW327670:CJW327692 CTS327670:CTS327692 DDO327670:DDO327692 DNK327670:DNK327692 DXG327670:DXG327692 EHC327670:EHC327692 EQY327670:EQY327692 FAU327670:FAU327692 FKQ327670:FKQ327692 FUM327670:FUM327692 GEI327670:GEI327692 GOE327670:GOE327692 GYA327670:GYA327692 HHW327670:HHW327692 HRS327670:HRS327692 IBO327670:IBO327692 ILK327670:ILK327692 IVG327670:IVG327692 JFC327670:JFC327692 JOY327670:JOY327692 JYU327670:JYU327692 KIQ327670:KIQ327692 KSM327670:KSM327692 LCI327670:LCI327692 LME327670:LME327692 LWA327670:LWA327692 MFW327670:MFW327692 MPS327670:MPS327692 MZO327670:MZO327692 NJK327670:NJK327692 NTG327670:NTG327692 ODC327670:ODC327692 OMY327670:OMY327692 OWU327670:OWU327692 PGQ327670:PGQ327692 PQM327670:PQM327692 QAI327670:QAI327692 QKE327670:QKE327692 QUA327670:QUA327692 RDW327670:RDW327692 RNS327670:RNS327692 RXO327670:RXO327692 SHK327670:SHK327692 SRG327670:SRG327692 TBC327670:TBC327692 TKY327670:TKY327692 TUU327670:TUU327692 UEQ327670:UEQ327692 UOM327670:UOM327692 UYI327670:UYI327692 VIE327670:VIE327692 VSA327670:VSA327692 WBW327670:WBW327692 WLS327670:WLS327692 WVO327670:WVO327692 D393206:D393228 JC393206:JC393228 SY393206:SY393228 ACU393206:ACU393228 AMQ393206:AMQ393228 AWM393206:AWM393228 BGI393206:BGI393228 BQE393206:BQE393228 CAA393206:CAA393228 CJW393206:CJW393228 CTS393206:CTS393228 DDO393206:DDO393228 DNK393206:DNK393228 DXG393206:DXG393228 EHC393206:EHC393228 EQY393206:EQY393228 FAU393206:FAU393228 FKQ393206:FKQ393228 FUM393206:FUM393228 GEI393206:GEI393228 GOE393206:GOE393228 GYA393206:GYA393228 HHW393206:HHW393228 HRS393206:HRS393228 IBO393206:IBO393228 ILK393206:ILK393228 IVG393206:IVG393228 JFC393206:JFC393228 JOY393206:JOY393228 JYU393206:JYU393228 KIQ393206:KIQ393228 KSM393206:KSM393228 LCI393206:LCI393228 LME393206:LME393228 LWA393206:LWA393228 MFW393206:MFW393228 MPS393206:MPS393228 MZO393206:MZO393228 NJK393206:NJK393228 NTG393206:NTG393228 ODC393206:ODC393228 OMY393206:OMY393228 OWU393206:OWU393228 PGQ393206:PGQ393228 PQM393206:PQM393228 QAI393206:QAI393228 QKE393206:QKE393228 QUA393206:QUA393228 RDW393206:RDW393228 RNS393206:RNS393228 RXO393206:RXO393228 SHK393206:SHK393228 SRG393206:SRG393228 TBC393206:TBC393228 TKY393206:TKY393228 TUU393206:TUU393228 UEQ393206:UEQ393228 UOM393206:UOM393228 UYI393206:UYI393228 VIE393206:VIE393228 VSA393206:VSA393228 WBW393206:WBW393228 WLS393206:WLS393228 WVO393206:WVO393228 D458742:D458764 JC458742:JC458764 SY458742:SY458764 ACU458742:ACU458764 AMQ458742:AMQ458764 AWM458742:AWM458764 BGI458742:BGI458764 BQE458742:BQE458764 CAA458742:CAA458764 CJW458742:CJW458764 CTS458742:CTS458764 DDO458742:DDO458764 DNK458742:DNK458764 DXG458742:DXG458764 EHC458742:EHC458764 EQY458742:EQY458764 FAU458742:FAU458764 FKQ458742:FKQ458764 FUM458742:FUM458764 GEI458742:GEI458764 GOE458742:GOE458764 GYA458742:GYA458764 HHW458742:HHW458764 HRS458742:HRS458764 IBO458742:IBO458764 ILK458742:ILK458764 IVG458742:IVG458764 JFC458742:JFC458764 JOY458742:JOY458764 JYU458742:JYU458764 KIQ458742:KIQ458764 KSM458742:KSM458764 LCI458742:LCI458764 LME458742:LME458764 LWA458742:LWA458764 MFW458742:MFW458764 MPS458742:MPS458764 MZO458742:MZO458764 NJK458742:NJK458764 NTG458742:NTG458764 ODC458742:ODC458764 OMY458742:OMY458764 OWU458742:OWU458764 PGQ458742:PGQ458764 PQM458742:PQM458764 QAI458742:QAI458764 QKE458742:QKE458764 QUA458742:QUA458764 RDW458742:RDW458764 RNS458742:RNS458764 RXO458742:RXO458764 SHK458742:SHK458764 SRG458742:SRG458764 TBC458742:TBC458764 TKY458742:TKY458764 TUU458742:TUU458764 UEQ458742:UEQ458764 UOM458742:UOM458764 UYI458742:UYI458764 VIE458742:VIE458764 VSA458742:VSA458764 WBW458742:WBW458764 WLS458742:WLS458764 WVO458742:WVO458764 D524278:D524300 JC524278:JC524300 SY524278:SY524300 ACU524278:ACU524300 AMQ524278:AMQ524300 AWM524278:AWM524300 BGI524278:BGI524300 BQE524278:BQE524300 CAA524278:CAA524300 CJW524278:CJW524300 CTS524278:CTS524300 DDO524278:DDO524300 DNK524278:DNK524300 DXG524278:DXG524300 EHC524278:EHC524300 EQY524278:EQY524300 FAU524278:FAU524300 FKQ524278:FKQ524300 FUM524278:FUM524300 GEI524278:GEI524300 GOE524278:GOE524300 GYA524278:GYA524300 HHW524278:HHW524300 HRS524278:HRS524300 IBO524278:IBO524300 ILK524278:ILK524300 IVG524278:IVG524300 JFC524278:JFC524300 JOY524278:JOY524300 JYU524278:JYU524300 KIQ524278:KIQ524300 KSM524278:KSM524300 LCI524278:LCI524300 LME524278:LME524300 LWA524278:LWA524300 MFW524278:MFW524300 MPS524278:MPS524300 MZO524278:MZO524300 NJK524278:NJK524300 NTG524278:NTG524300 ODC524278:ODC524300 OMY524278:OMY524300 OWU524278:OWU524300 PGQ524278:PGQ524300 PQM524278:PQM524300 QAI524278:QAI524300 QKE524278:QKE524300 QUA524278:QUA524300 RDW524278:RDW524300 RNS524278:RNS524300 RXO524278:RXO524300 SHK524278:SHK524300 SRG524278:SRG524300 TBC524278:TBC524300 TKY524278:TKY524300 TUU524278:TUU524300 UEQ524278:UEQ524300 UOM524278:UOM524300 UYI524278:UYI524300 VIE524278:VIE524300 VSA524278:VSA524300 WBW524278:WBW524300 WLS524278:WLS524300 WVO524278:WVO524300 D589814:D589836 JC589814:JC589836 SY589814:SY589836 ACU589814:ACU589836 AMQ589814:AMQ589836 AWM589814:AWM589836 BGI589814:BGI589836 BQE589814:BQE589836 CAA589814:CAA589836 CJW589814:CJW589836 CTS589814:CTS589836 DDO589814:DDO589836 DNK589814:DNK589836 DXG589814:DXG589836 EHC589814:EHC589836 EQY589814:EQY589836 FAU589814:FAU589836 FKQ589814:FKQ589836 FUM589814:FUM589836 GEI589814:GEI589836 GOE589814:GOE589836 GYA589814:GYA589836 HHW589814:HHW589836 HRS589814:HRS589836 IBO589814:IBO589836 ILK589814:ILK589836 IVG589814:IVG589836 JFC589814:JFC589836 JOY589814:JOY589836 JYU589814:JYU589836 KIQ589814:KIQ589836 KSM589814:KSM589836 LCI589814:LCI589836 LME589814:LME589836 LWA589814:LWA589836 MFW589814:MFW589836 MPS589814:MPS589836 MZO589814:MZO589836 NJK589814:NJK589836 NTG589814:NTG589836 ODC589814:ODC589836 OMY589814:OMY589836 OWU589814:OWU589836 PGQ589814:PGQ589836 PQM589814:PQM589836 QAI589814:QAI589836 QKE589814:QKE589836 QUA589814:QUA589836 RDW589814:RDW589836 RNS589814:RNS589836 RXO589814:RXO589836 SHK589814:SHK589836 SRG589814:SRG589836 TBC589814:TBC589836 TKY589814:TKY589836 TUU589814:TUU589836 UEQ589814:UEQ589836 UOM589814:UOM589836 UYI589814:UYI589836 VIE589814:VIE589836 VSA589814:VSA589836 WBW589814:WBW589836 WLS589814:WLS589836 WVO589814:WVO589836 D655350:D655372 JC655350:JC655372 SY655350:SY655372 ACU655350:ACU655372 AMQ655350:AMQ655372 AWM655350:AWM655372 BGI655350:BGI655372 BQE655350:BQE655372 CAA655350:CAA655372 CJW655350:CJW655372 CTS655350:CTS655372 DDO655350:DDO655372 DNK655350:DNK655372 DXG655350:DXG655372 EHC655350:EHC655372 EQY655350:EQY655372 FAU655350:FAU655372 FKQ655350:FKQ655372 FUM655350:FUM655372 GEI655350:GEI655372 GOE655350:GOE655372 GYA655350:GYA655372 HHW655350:HHW655372 HRS655350:HRS655372 IBO655350:IBO655372 ILK655350:ILK655372 IVG655350:IVG655372 JFC655350:JFC655372 JOY655350:JOY655372 JYU655350:JYU655372 KIQ655350:KIQ655372 KSM655350:KSM655372 LCI655350:LCI655372 LME655350:LME655372 LWA655350:LWA655372 MFW655350:MFW655372 MPS655350:MPS655372 MZO655350:MZO655372 NJK655350:NJK655372 NTG655350:NTG655372 ODC655350:ODC655372 OMY655350:OMY655372 OWU655350:OWU655372 PGQ655350:PGQ655372 PQM655350:PQM655372 QAI655350:QAI655372 QKE655350:QKE655372 QUA655350:QUA655372 RDW655350:RDW655372 RNS655350:RNS655372 RXO655350:RXO655372 SHK655350:SHK655372 SRG655350:SRG655372 TBC655350:TBC655372 TKY655350:TKY655372 TUU655350:TUU655372 UEQ655350:UEQ655372 UOM655350:UOM655372 UYI655350:UYI655372 VIE655350:VIE655372 VSA655350:VSA655372 WBW655350:WBW655372 WLS655350:WLS655372 WVO655350:WVO655372 D720886:D720908 JC720886:JC720908 SY720886:SY720908 ACU720886:ACU720908 AMQ720886:AMQ720908 AWM720886:AWM720908 BGI720886:BGI720908 BQE720886:BQE720908 CAA720886:CAA720908 CJW720886:CJW720908 CTS720886:CTS720908 DDO720886:DDO720908 DNK720886:DNK720908 DXG720886:DXG720908 EHC720886:EHC720908 EQY720886:EQY720908 FAU720886:FAU720908 FKQ720886:FKQ720908 FUM720886:FUM720908 GEI720886:GEI720908 GOE720886:GOE720908 GYA720886:GYA720908 HHW720886:HHW720908 HRS720886:HRS720908 IBO720886:IBO720908 ILK720886:ILK720908 IVG720886:IVG720908 JFC720886:JFC720908 JOY720886:JOY720908 JYU720886:JYU720908 KIQ720886:KIQ720908 KSM720886:KSM720908 LCI720886:LCI720908 LME720886:LME720908 LWA720886:LWA720908 MFW720886:MFW720908 MPS720886:MPS720908 MZO720886:MZO720908 NJK720886:NJK720908 NTG720886:NTG720908 ODC720886:ODC720908 OMY720886:OMY720908 OWU720886:OWU720908 PGQ720886:PGQ720908 PQM720886:PQM720908 QAI720886:QAI720908 QKE720886:QKE720908 QUA720886:QUA720908 RDW720886:RDW720908 RNS720886:RNS720908 RXO720886:RXO720908 SHK720886:SHK720908 SRG720886:SRG720908 TBC720886:TBC720908 TKY720886:TKY720908 TUU720886:TUU720908 UEQ720886:UEQ720908 UOM720886:UOM720908 UYI720886:UYI720908 VIE720886:VIE720908 VSA720886:VSA720908 WBW720886:WBW720908 WLS720886:WLS720908 WVO720886:WVO720908 D786422:D786444 JC786422:JC786444 SY786422:SY786444 ACU786422:ACU786444 AMQ786422:AMQ786444 AWM786422:AWM786444 BGI786422:BGI786444 BQE786422:BQE786444 CAA786422:CAA786444 CJW786422:CJW786444 CTS786422:CTS786444 DDO786422:DDO786444 DNK786422:DNK786444 DXG786422:DXG786444 EHC786422:EHC786444 EQY786422:EQY786444 FAU786422:FAU786444 FKQ786422:FKQ786444 FUM786422:FUM786444 GEI786422:GEI786444 GOE786422:GOE786444 GYA786422:GYA786444 HHW786422:HHW786444 HRS786422:HRS786444 IBO786422:IBO786444 ILK786422:ILK786444 IVG786422:IVG786444 JFC786422:JFC786444 JOY786422:JOY786444 JYU786422:JYU786444 KIQ786422:KIQ786444 KSM786422:KSM786444 LCI786422:LCI786444 LME786422:LME786444 LWA786422:LWA786444 MFW786422:MFW786444 MPS786422:MPS786444 MZO786422:MZO786444 NJK786422:NJK786444 NTG786422:NTG786444 ODC786422:ODC786444 OMY786422:OMY786444 OWU786422:OWU786444 PGQ786422:PGQ786444 PQM786422:PQM786444 QAI786422:QAI786444 QKE786422:QKE786444 QUA786422:QUA786444 RDW786422:RDW786444 RNS786422:RNS786444 RXO786422:RXO786444 SHK786422:SHK786444 SRG786422:SRG786444 TBC786422:TBC786444 TKY786422:TKY786444 TUU786422:TUU786444 UEQ786422:UEQ786444 UOM786422:UOM786444 UYI786422:UYI786444 VIE786422:VIE786444 VSA786422:VSA786444 WBW786422:WBW786444 WLS786422:WLS786444 WVO786422:WVO786444 D851958:D851980 JC851958:JC851980 SY851958:SY851980 ACU851958:ACU851980 AMQ851958:AMQ851980 AWM851958:AWM851980 BGI851958:BGI851980 BQE851958:BQE851980 CAA851958:CAA851980 CJW851958:CJW851980 CTS851958:CTS851980 DDO851958:DDO851980 DNK851958:DNK851980 DXG851958:DXG851980 EHC851958:EHC851980 EQY851958:EQY851980 FAU851958:FAU851980 FKQ851958:FKQ851980 FUM851958:FUM851980 GEI851958:GEI851980 GOE851958:GOE851980 GYA851958:GYA851980 HHW851958:HHW851980 HRS851958:HRS851980 IBO851958:IBO851980 ILK851958:ILK851980 IVG851958:IVG851980 JFC851958:JFC851980 JOY851958:JOY851980 JYU851958:JYU851980 KIQ851958:KIQ851980 KSM851958:KSM851980 LCI851958:LCI851980 LME851958:LME851980 LWA851958:LWA851980 MFW851958:MFW851980 MPS851958:MPS851980 MZO851958:MZO851980 NJK851958:NJK851980 NTG851958:NTG851980 ODC851958:ODC851980 OMY851958:OMY851980 OWU851958:OWU851980 PGQ851958:PGQ851980 PQM851958:PQM851980 QAI851958:QAI851980 QKE851958:QKE851980 QUA851958:QUA851980 RDW851958:RDW851980 RNS851958:RNS851980 RXO851958:RXO851980 SHK851958:SHK851980 SRG851958:SRG851980 TBC851958:TBC851980 TKY851958:TKY851980 TUU851958:TUU851980 UEQ851958:UEQ851980 UOM851958:UOM851980 UYI851958:UYI851980 VIE851958:VIE851980 VSA851958:VSA851980 WBW851958:WBW851980 WLS851958:WLS851980 WVO851958:WVO851980 D917494:D917516 JC917494:JC917516 SY917494:SY917516 ACU917494:ACU917516 AMQ917494:AMQ917516 AWM917494:AWM917516 BGI917494:BGI917516 BQE917494:BQE917516 CAA917494:CAA917516 CJW917494:CJW917516 CTS917494:CTS917516 DDO917494:DDO917516 DNK917494:DNK917516 DXG917494:DXG917516 EHC917494:EHC917516 EQY917494:EQY917516 FAU917494:FAU917516 FKQ917494:FKQ917516 FUM917494:FUM917516 GEI917494:GEI917516 GOE917494:GOE917516 GYA917494:GYA917516 HHW917494:HHW917516 HRS917494:HRS917516 IBO917494:IBO917516 ILK917494:ILK917516 IVG917494:IVG917516 JFC917494:JFC917516 JOY917494:JOY917516 JYU917494:JYU917516 KIQ917494:KIQ917516 KSM917494:KSM917516 LCI917494:LCI917516 LME917494:LME917516 LWA917494:LWA917516 MFW917494:MFW917516 MPS917494:MPS917516 MZO917494:MZO917516 NJK917494:NJK917516 NTG917494:NTG917516 ODC917494:ODC917516 OMY917494:OMY917516 OWU917494:OWU917516 PGQ917494:PGQ917516 PQM917494:PQM917516 QAI917494:QAI917516 QKE917494:QKE917516 QUA917494:QUA917516 RDW917494:RDW917516 RNS917494:RNS917516 RXO917494:RXO917516 SHK917494:SHK917516 SRG917494:SRG917516 TBC917494:TBC917516 TKY917494:TKY917516 TUU917494:TUU917516 UEQ917494:UEQ917516 UOM917494:UOM917516 UYI917494:UYI917516 VIE917494:VIE917516 VSA917494:VSA917516 WBW917494:WBW917516 WLS917494:WLS917516 WVO917494:WVO917516 D983030:D983052 JC983030:JC983052 SY983030:SY983052 ACU983030:ACU983052 AMQ983030:AMQ983052 AWM983030:AWM983052 BGI983030:BGI983052 BQE983030:BQE983052 CAA983030:CAA983052 CJW983030:CJW983052 CTS983030:CTS983052 DDO983030:DDO983052 DNK983030:DNK983052 DXG983030:DXG983052 EHC983030:EHC983052 EQY983030:EQY983052 FAU983030:FAU983052 FKQ983030:FKQ983052 FUM983030:FUM983052 GEI983030:GEI983052 GOE983030:GOE983052 GYA983030:GYA983052 HHW983030:HHW983052 HRS983030:HRS983052 IBO983030:IBO983052 ILK983030:ILK983052 IVG983030:IVG983052 JFC983030:JFC983052 JOY983030:JOY983052 JYU983030:JYU983052 KIQ983030:KIQ983052 KSM983030:KSM983052 LCI983030:LCI983052 LME983030:LME983052 LWA983030:LWA983052 MFW983030:MFW983052 MPS983030:MPS983052 MZO983030:MZO983052 NJK983030:NJK983052 NTG983030:NTG983052 ODC983030:ODC983052 OMY983030:OMY983052 OWU983030:OWU983052 PGQ983030:PGQ983052 PQM983030:PQM983052 QAI983030:QAI983052 QKE983030:QKE983052 QUA983030:QUA983052 RDW983030:RDW983052 RNS983030:RNS983052 RXO983030:RXO983052 SHK983030:SHK983052 SRG983030:SRG983052 TBC983030:TBC983052 TKY983030:TKY983052 TUU983030:TUU983052 UEQ983030:UEQ983052 UOM983030:UOM983052 UYI983030:UYI983052 VIE983030:VIE983052 VSA983030:VSA983052 WBW983030:WBW983052 WLS983030:WLS983052 WVO983030:WVO983052 P65526:P65548 JL65526:JL65548 TH65526:TH65548 ADD65526:ADD65548 AMZ65526:AMZ65548 AWV65526:AWV65548 BGR65526:BGR65548 BQN65526:BQN65548 CAJ65526:CAJ65548 CKF65526:CKF65548 CUB65526:CUB65548 DDX65526:DDX65548 DNT65526:DNT65548 DXP65526:DXP65548 EHL65526:EHL65548 ERH65526:ERH65548 FBD65526:FBD65548 FKZ65526:FKZ65548 FUV65526:FUV65548 GER65526:GER65548 GON65526:GON65548 GYJ65526:GYJ65548 HIF65526:HIF65548 HSB65526:HSB65548 IBX65526:IBX65548 ILT65526:ILT65548 IVP65526:IVP65548 JFL65526:JFL65548 JPH65526:JPH65548 JZD65526:JZD65548 KIZ65526:KIZ65548 KSV65526:KSV65548 LCR65526:LCR65548 LMN65526:LMN65548 LWJ65526:LWJ65548 MGF65526:MGF65548 MQB65526:MQB65548 MZX65526:MZX65548 NJT65526:NJT65548 NTP65526:NTP65548 ODL65526:ODL65548 ONH65526:ONH65548 OXD65526:OXD65548 PGZ65526:PGZ65548 PQV65526:PQV65548 QAR65526:QAR65548 QKN65526:QKN65548 QUJ65526:QUJ65548 REF65526:REF65548 ROB65526:ROB65548 RXX65526:RXX65548 SHT65526:SHT65548 SRP65526:SRP65548 TBL65526:TBL65548 TLH65526:TLH65548 TVD65526:TVD65548 UEZ65526:UEZ65548 UOV65526:UOV65548 UYR65526:UYR65548 VIN65526:VIN65548 VSJ65526:VSJ65548 WCF65526:WCF65548 WMB65526:WMB65548 WVX65526:WVX65548 P131062:P131084 JL131062:JL131084 TH131062:TH131084 ADD131062:ADD131084 AMZ131062:AMZ131084 AWV131062:AWV131084 BGR131062:BGR131084 BQN131062:BQN131084 CAJ131062:CAJ131084 CKF131062:CKF131084 CUB131062:CUB131084 DDX131062:DDX131084 DNT131062:DNT131084 DXP131062:DXP131084 EHL131062:EHL131084 ERH131062:ERH131084 FBD131062:FBD131084 FKZ131062:FKZ131084 FUV131062:FUV131084 GER131062:GER131084 GON131062:GON131084 GYJ131062:GYJ131084 HIF131062:HIF131084 HSB131062:HSB131084 IBX131062:IBX131084 ILT131062:ILT131084 IVP131062:IVP131084 JFL131062:JFL131084 JPH131062:JPH131084 JZD131062:JZD131084 KIZ131062:KIZ131084 KSV131062:KSV131084 LCR131062:LCR131084 LMN131062:LMN131084 LWJ131062:LWJ131084 MGF131062:MGF131084 MQB131062:MQB131084 MZX131062:MZX131084 NJT131062:NJT131084 NTP131062:NTP131084 ODL131062:ODL131084 ONH131062:ONH131084 OXD131062:OXD131084 PGZ131062:PGZ131084 PQV131062:PQV131084 QAR131062:QAR131084 QKN131062:QKN131084 QUJ131062:QUJ131084 REF131062:REF131084 ROB131062:ROB131084 RXX131062:RXX131084 SHT131062:SHT131084 SRP131062:SRP131084 TBL131062:TBL131084 TLH131062:TLH131084 TVD131062:TVD131084 UEZ131062:UEZ131084 UOV131062:UOV131084 UYR131062:UYR131084 VIN131062:VIN131084 VSJ131062:VSJ131084 WCF131062:WCF131084 WMB131062:WMB131084 WVX131062:WVX131084 P196598:P196620 JL196598:JL196620 TH196598:TH196620 ADD196598:ADD196620 AMZ196598:AMZ196620 AWV196598:AWV196620 BGR196598:BGR196620 BQN196598:BQN196620 CAJ196598:CAJ196620 CKF196598:CKF196620 CUB196598:CUB196620 DDX196598:DDX196620 DNT196598:DNT196620 DXP196598:DXP196620 EHL196598:EHL196620 ERH196598:ERH196620 FBD196598:FBD196620 FKZ196598:FKZ196620 FUV196598:FUV196620 GER196598:GER196620 GON196598:GON196620 GYJ196598:GYJ196620 HIF196598:HIF196620 HSB196598:HSB196620 IBX196598:IBX196620 ILT196598:ILT196620 IVP196598:IVP196620 JFL196598:JFL196620 JPH196598:JPH196620 JZD196598:JZD196620 KIZ196598:KIZ196620 KSV196598:KSV196620 LCR196598:LCR196620 LMN196598:LMN196620 LWJ196598:LWJ196620 MGF196598:MGF196620 MQB196598:MQB196620 MZX196598:MZX196620 NJT196598:NJT196620 NTP196598:NTP196620 ODL196598:ODL196620 ONH196598:ONH196620 OXD196598:OXD196620 PGZ196598:PGZ196620 PQV196598:PQV196620 QAR196598:QAR196620 QKN196598:QKN196620 QUJ196598:QUJ196620 REF196598:REF196620 ROB196598:ROB196620 RXX196598:RXX196620 SHT196598:SHT196620 SRP196598:SRP196620 TBL196598:TBL196620 TLH196598:TLH196620 TVD196598:TVD196620 UEZ196598:UEZ196620 UOV196598:UOV196620 UYR196598:UYR196620 VIN196598:VIN196620 VSJ196598:VSJ196620 WCF196598:WCF196620 WMB196598:WMB196620 WVX196598:WVX196620 P262134:P262156 JL262134:JL262156 TH262134:TH262156 ADD262134:ADD262156 AMZ262134:AMZ262156 AWV262134:AWV262156 BGR262134:BGR262156 BQN262134:BQN262156 CAJ262134:CAJ262156 CKF262134:CKF262156 CUB262134:CUB262156 DDX262134:DDX262156 DNT262134:DNT262156 DXP262134:DXP262156 EHL262134:EHL262156 ERH262134:ERH262156 FBD262134:FBD262156 FKZ262134:FKZ262156 FUV262134:FUV262156 GER262134:GER262156 GON262134:GON262156 GYJ262134:GYJ262156 HIF262134:HIF262156 HSB262134:HSB262156 IBX262134:IBX262156 ILT262134:ILT262156 IVP262134:IVP262156 JFL262134:JFL262156 JPH262134:JPH262156 JZD262134:JZD262156 KIZ262134:KIZ262156 KSV262134:KSV262156 LCR262134:LCR262156 LMN262134:LMN262156 LWJ262134:LWJ262156 MGF262134:MGF262156 MQB262134:MQB262156 MZX262134:MZX262156 NJT262134:NJT262156 NTP262134:NTP262156 ODL262134:ODL262156 ONH262134:ONH262156 OXD262134:OXD262156 PGZ262134:PGZ262156 PQV262134:PQV262156 QAR262134:QAR262156 QKN262134:QKN262156 QUJ262134:QUJ262156 REF262134:REF262156 ROB262134:ROB262156 RXX262134:RXX262156 SHT262134:SHT262156 SRP262134:SRP262156 TBL262134:TBL262156 TLH262134:TLH262156 TVD262134:TVD262156 UEZ262134:UEZ262156 UOV262134:UOV262156 UYR262134:UYR262156 VIN262134:VIN262156 VSJ262134:VSJ262156 WCF262134:WCF262156 WMB262134:WMB262156 WVX262134:WVX262156 P327670:P327692 JL327670:JL327692 TH327670:TH327692 ADD327670:ADD327692 AMZ327670:AMZ327692 AWV327670:AWV327692 BGR327670:BGR327692 BQN327670:BQN327692 CAJ327670:CAJ327692 CKF327670:CKF327692 CUB327670:CUB327692 DDX327670:DDX327692 DNT327670:DNT327692 DXP327670:DXP327692 EHL327670:EHL327692 ERH327670:ERH327692 FBD327670:FBD327692 FKZ327670:FKZ327692 FUV327670:FUV327692 GER327670:GER327692 GON327670:GON327692 GYJ327670:GYJ327692 HIF327670:HIF327692 HSB327670:HSB327692 IBX327670:IBX327692 ILT327670:ILT327692 IVP327670:IVP327692 JFL327670:JFL327692 JPH327670:JPH327692 JZD327670:JZD327692 KIZ327670:KIZ327692 KSV327670:KSV327692 LCR327670:LCR327692 LMN327670:LMN327692 LWJ327670:LWJ327692 MGF327670:MGF327692 MQB327670:MQB327692 MZX327670:MZX327692 NJT327670:NJT327692 NTP327670:NTP327692 ODL327670:ODL327692 ONH327670:ONH327692 OXD327670:OXD327692 PGZ327670:PGZ327692 PQV327670:PQV327692 QAR327670:QAR327692 QKN327670:QKN327692 QUJ327670:QUJ327692 REF327670:REF327692 ROB327670:ROB327692 RXX327670:RXX327692 SHT327670:SHT327692 SRP327670:SRP327692 TBL327670:TBL327692 TLH327670:TLH327692 TVD327670:TVD327692 UEZ327670:UEZ327692 UOV327670:UOV327692 UYR327670:UYR327692 VIN327670:VIN327692 VSJ327670:VSJ327692 WCF327670:WCF327692 WMB327670:WMB327692 WVX327670:WVX327692 P393206:P393228 JL393206:JL393228 TH393206:TH393228 ADD393206:ADD393228 AMZ393206:AMZ393228 AWV393206:AWV393228 BGR393206:BGR393228 BQN393206:BQN393228 CAJ393206:CAJ393228 CKF393206:CKF393228 CUB393206:CUB393228 DDX393206:DDX393228 DNT393206:DNT393228 DXP393206:DXP393228 EHL393206:EHL393228 ERH393206:ERH393228 FBD393206:FBD393228 FKZ393206:FKZ393228 FUV393206:FUV393228 GER393206:GER393228 GON393206:GON393228 GYJ393206:GYJ393228 HIF393206:HIF393228 HSB393206:HSB393228 IBX393206:IBX393228 ILT393206:ILT393228 IVP393206:IVP393228 JFL393206:JFL393228 JPH393206:JPH393228 JZD393206:JZD393228 KIZ393206:KIZ393228 KSV393206:KSV393228 LCR393206:LCR393228 LMN393206:LMN393228 LWJ393206:LWJ393228 MGF393206:MGF393228 MQB393206:MQB393228 MZX393206:MZX393228 NJT393206:NJT393228 NTP393206:NTP393228 ODL393206:ODL393228 ONH393206:ONH393228 OXD393206:OXD393228 PGZ393206:PGZ393228 PQV393206:PQV393228 QAR393206:QAR393228 QKN393206:QKN393228 QUJ393206:QUJ393228 REF393206:REF393228 ROB393206:ROB393228 RXX393206:RXX393228 SHT393206:SHT393228 SRP393206:SRP393228 TBL393206:TBL393228 TLH393206:TLH393228 TVD393206:TVD393228 UEZ393206:UEZ393228 UOV393206:UOV393228 UYR393206:UYR393228 VIN393206:VIN393228 VSJ393206:VSJ393228 WCF393206:WCF393228 WMB393206:WMB393228 WVX393206:WVX393228 P458742:P458764 JL458742:JL458764 TH458742:TH458764 ADD458742:ADD458764 AMZ458742:AMZ458764 AWV458742:AWV458764 BGR458742:BGR458764 BQN458742:BQN458764 CAJ458742:CAJ458764 CKF458742:CKF458764 CUB458742:CUB458764 DDX458742:DDX458764 DNT458742:DNT458764 DXP458742:DXP458764 EHL458742:EHL458764 ERH458742:ERH458764 FBD458742:FBD458764 FKZ458742:FKZ458764 FUV458742:FUV458764 GER458742:GER458764 GON458742:GON458764 GYJ458742:GYJ458764 HIF458742:HIF458764 HSB458742:HSB458764 IBX458742:IBX458764 ILT458742:ILT458764 IVP458742:IVP458764 JFL458742:JFL458764 JPH458742:JPH458764 JZD458742:JZD458764 KIZ458742:KIZ458764 KSV458742:KSV458764 LCR458742:LCR458764 LMN458742:LMN458764 LWJ458742:LWJ458764 MGF458742:MGF458764 MQB458742:MQB458764 MZX458742:MZX458764 NJT458742:NJT458764 NTP458742:NTP458764 ODL458742:ODL458764 ONH458742:ONH458764 OXD458742:OXD458764 PGZ458742:PGZ458764 PQV458742:PQV458764 QAR458742:QAR458764 QKN458742:QKN458764 QUJ458742:QUJ458764 REF458742:REF458764 ROB458742:ROB458764 RXX458742:RXX458764 SHT458742:SHT458764 SRP458742:SRP458764 TBL458742:TBL458764 TLH458742:TLH458764 TVD458742:TVD458764 UEZ458742:UEZ458764 UOV458742:UOV458764 UYR458742:UYR458764 VIN458742:VIN458764 VSJ458742:VSJ458764 WCF458742:WCF458764 WMB458742:WMB458764 WVX458742:WVX458764 P524278:P524300 JL524278:JL524300 TH524278:TH524300 ADD524278:ADD524300 AMZ524278:AMZ524300 AWV524278:AWV524300 BGR524278:BGR524300 BQN524278:BQN524300 CAJ524278:CAJ524300 CKF524278:CKF524300 CUB524278:CUB524300 DDX524278:DDX524300 DNT524278:DNT524300 DXP524278:DXP524300 EHL524278:EHL524300 ERH524278:ERH524300 FBD524278:FBD524300 FKZ524278:FKZ524300 FUV524278:FUV524300 GER524278:GER524300 GON524278:GON524300 GYJ524278:GYJ524300 HIF524278:HIF524300 HSB524278:HSB524300 IBX524278:IBX524300 ILT524278:ILT524300 IVP524278:IVP524300 JFL524278:JFL524300 JPH524278:JPH524300 JZD524278:JZD524300 KIZ524278:KIZ524300 KSV524278:KSV524300 LCR524278:LCR524300 LMN524278:LMN524300 LWJ524278:LWJ524300 MGF524278:MGF524300 MQB524278:MQB524300 MZX524278:MZX524300 NJT524278:NJT524300 NTP524278:NTP524300 ODL524278:ODL524300 ONH524278:ONH524300 OXD524278:OXD524300 PGZ524278:PGZ524300 PQV524278:PQV524300 QAR524278:QAR524300 QKN524278:QKN524300 QUJ524278:QUJ524300 REF524278:REF524300 ROB524278:ROB524300 RXX524278:RXX524300 SHT524278:SHT524300 SRP524278:SRP524300 TBL524278:TBL524300 TLH524278:TLH524300 TVD524278:TVD524300 UEZ524278:UEZ524300 UOV524278:UOV524300 UYR524278:UYR524300 VIN524278:VIN524300 VSJ524278:VSJ524300 WCF524278:WCF524300 WMB524278:WMB524300 WVX524278:WVX524300 P589814:P589836 JL589814:JL589836 TH589814:TH589836 ADD589814:ADD589836 AMZ589814:AMZ589836 AWV589814:AWV589836 BGR589814:BGR589836 BQN589814:BQN589836 CAJ589814:CAJ589836 CKF589814:CKF589836 CUB589814:CUB589836 DDX589814:DDX589836 DNT589814:DNT589836 DXP589814:DXP589836 EHL589814:EHL589836 ERH589814:ERH589836 FBD589814:FBD589836 FKZ589814:FKZ589836 FUV589814:FUV589836 GER589814:GER589836 GON589814:GON589836 GYJ589814:GYJ589836 HIF589814:HIF589836 HSB589814:HSB589836 IBX589814:IBX589836 ILT589814:ILT589836 IVP589814:IVP589836 JFL589814:JFL589836 JPH589814:JPH589836 JZD589814:JZD589836 KIZ589814:KIZ589836 KSV589814:KSV589836 LCR589814:LCR589836 LMN589814:LMN589836 LWJ589814:LWJ589836 MGF589814:MGF589836 MQB589814:MQB589836 MZX589814:MZX589836 NJT589814:NJT589836 NTP589814:NTP589836 ODL589814:ODL589836 ONH589814:ONH589836 OXD589814:OXD589836 PGZ589814:PGZ589836 PQV589814:PQV589836 QAR589814:QAR589836 QKN589814:QKN589836 QUJ589814:QUJ589836 REF589814:REF589836 ROB589814:ROB589836 RXX589814:RXX589836 SHT589814:SHT589836 SRP589814:SRP589836 TBL589814:TBL589836 TLH589814:TLH589836 TVD589814:TVD589836 UEZ589814:UEZ589836 UOV589814:UOV589836 UYR589814:UYR589836 VIN589814:VIN589836 VSJ589814:VSJ589836 WCF589814:WCF589836 WMB589814:WMB589836 WVX589814:WVX589836 P655350:P655372 JL655350:JL655372 TH655350:TH655372 ADD655350:ADD655372 AMZ655350:AMZ655372 AWV655350:AWV655372 BGR655350:BGR655372 BQN655350:BQN655372 CAJ655350:CAJ655372 CKF655350:CKF655372 CUB655350:CUB655372 DDX655350:DDX655372 DNT655350:DNT655372 DXP655350:DXP655372 EHL655350:EHL655372 ERH655350:ERH655372 FBD655350:FBD655372 FKZ655350:FKZ655372 FUV655350:FUV655372 GER655350:GER655372 GON655350:GON655372 GYJ655350:GYJ655372 HIF655350:HIF655372 HSB655350:HSB655372 IBX655350:IBX655372 ILT655350:ILT655372 IVP655350:IVP655372 JFL655350:JFL655372 JPH655350:JPH655372 JZD655350:JZD655372 KIZ655350:KIZ655372 KSV655350:KSV655372 LCR655350:LCR655372 LMN655350:LMN655372 LWJ655350:LWJ655372 MGF655350:MGF655372 MQB655350:MQB655372 MZX655350:MZX655372 NJT655350:NJT655372 NTP655350:NTP655372 ODL655350:ODL655372 ONH655350:ONH655372 OXD655350:OXD655372 PGZ655350:PGZ655372 PQV655350:PQV655372 QAR655350:QAR655372 QKN655350:QKN655372 QUJ655350:QUJ655372 REF655350:REF655372 ROB655350:ROB655372 RXX655350:RXX655372 SHT655350:SHT655372 SRP655350:SRP655372 TBL655350:TBL655372 TLH655350:TLH655372 TVD655350:TVD655372 UEZ655350:UEZ655372 UOV655350:UOV655372 UYR655350:UYR655372 VIN655350:VIN655372 VSJ655350:VSJ655372 WCF655350:WCF655372 WMB655350:WMB655372 WVX655350:WVX655372 P720886:P720908 JL720886:JL720908 TH720886:TH720908 ADD720886:ADD720908 AMZ720886:AMZ720908 AWV720886:AWV720908 BGR720886:BGR720908 BQN720886:BQN720908 CAJ720886:CAJ720908 CKF720886:CKF720908 CUB720886:CUB720908 DDX720886:DDX720908 DNT720886:DNT720908 DXP720886:DXP720908 EHL720886:EHL720908 ERH720886:ERH720908 FBD720886:FBD720908 FKZ720886:FKZ720908 FUV720886:FUV720908 GER720886:GER720908 GON720886:GON720908 GYJ720886:GYJ720908 HIF720886:HIF720908 HSB720886:HSB720908 IBX720886:IBX720908 ILT720886:ILT720908 IVP720886:IVP720908 JFL720886:JFL720908 JPH720886:JPH720908 JZD720886:JZD720908 KIZ720886:KIZ720908 KSV720886:KSV720908 LCR720886:LCR720908 LMN720886:LMN720908 LWJ720886:LWJ720908 MGF720886:MGF720908 MQB720886:MQB720908 MZX720886:MZX720908 NJT720886:NJT720908 NTP720886:NTP720908 ODL720886:ODL720908 ONH720886:ONH720908 OXD720886:OXD720908 PGZ720886:PGZ720908 PQV720886:PQV720908 QAR720886:QAR720908 QKN720886:QKN720908 QUJ720886:QUJ720908 REF720886:REF720908 ROB720886:ROB720908 RXX720886:RXX720908 SHT720886:SHT720908 SRP720886:SRP720908 TBL720886:TBL720908 TLH720886:TLH720908 TVD720886:TVD720908 UEZ720886:UEZ720908 UOV720886:UOV720908 UYR720886:UYR720908 VIN720886:VIN720908 VSJ720886:VSJ720908 WCF720886:WCF720908 WMB720886:WMB720908 WVX720886:WVX720908 P786422:P786444 JL786422:JL786444 TH786422:TH786444 ADD786422:ADD786444 AMZ786422:AMZ786444 AWV786422:AWV786444 BGR786422:BGR786444 BQN786422:BQN786444 CAJ786422:CAJ786444 CKF786422:CKF786444 CUB786422:CUB786444 DDX786422:DDX786444 DNT786422:DNT786444 DXP786422:DXP786444 EHL786422:EHL786444 ERH786422:ERH786444 FBD786422:FBD786444 FKZ786422:FKZ786444 FUV786422:FUV786444 GER786422:GER786444 GON786422:GON786444 GYJ786422:GYJ786444 HIF786422:HIF786444 HSB786422:HSB786444 IBX786422:IBX786444 ILT786422:ILT786444 IVP786422:IVP786444 JFL786422:JFL786444 JPH786422:JPH786444 JZD786422:JZD786444 KIZ786422:KIZ786444 KSV786422:KSV786444 LCR786422:LCR786444 LMN786422:LMN786444 LWJ786422:LWJ786444 MGF786422:MGF786444 MQB786422:MQB786444 MZX786422:MZX786444 NJT786422:NJT786444 NTP786422:NTP786444 ODL786422:ODL786444 ONH786422:ONH786444 OXD786422:OXD786444 PGZ786422:PGZ786444 PQV786422:PQV786444 QAR786422:QAR786444 QKN786422:QKN786444 QUJ786422:QUJ786444 REF786422:REF786444 ROB786422:ROB786444 RXX786422:RXX786444 SHT786422:SHT786444 SRP786422:SRP786444 TBL786422:TBL786444 TLH786422:TLH786444 TVD786422:TVD786444 UEZ786422:UEZ786444 UOV786422:UOV786444 UYR786422:UYR786444 VIN786422:VIN786444 VSJ786422:VSJ786444 WCF786422:WCF786444 WMB786422:WMB786444 WVX786422:WVX786444 P851958:P851980 JL851958:JL851980 TH851958:TH851980 ADD851958:ADD851980 AMZ851958:AMZ851980 AWV851958:AWV851980 BGR851958:BGR851980 BQN851958:BQN851980 CAJ851958:CAJ851980 CKF851958:CKF851980 CUB851958:CUB851980 DDX851958:DDX851980 DNT851958:DNT851980 DXP851958:DXP851980 EHL851958:EHL851980 ERH851958:ERH851980 FBD851958:FBD851980 FKZ851958:FKZ851980 FUV851958:FUV851980 GER851958:GER851980 GON851958:GON851980 GYJ851958:GYJ851980 HIF851958:HIF851980 HSB851958:HSB851980 IBX851958:IBX851980 ILT851958:ILT851980 IVP851958:IVP851980 JFL851958:JFL851980 JPH851958:JPH851980 JZD851958:JZD851980 KIZ851958:KIZ851980 KSV851958:KSV851980 LCR851958:LCR851980 LMN851958:LMN851980 LWJ851958:LWJ851980 MGF851958:MGF851980 MQB851958:MQB851980 MZX851958:MZX851980 NJT851958:NJT851980 NTP851958:NTP851980 ODL851958:ODL851980 ONH851958:ONH851980 OXD851958:OXD851980 PGZ851958:PGZ851980 PQV851958:PQV851980 QAR851958:QAR851980 QKN851958:QKN851980 QUJ851958:QUJ851980 REF851958:REF851980 ROB851958:ROB851980 RXX851958:RXX851980 SHT851958:SHT851980 SRP851958:SRP851980 TBL851958:TBL851980 TLH851958:TLH851980 TVD851958:TVD851980 UEZ851958:UEZ851980 UOV851958:UOV851980 UYR851958:UYR851980 VIN851958:VIN851980 VSJ851958:VSJ851980 WCF851958:WCF851980 WMB851958:WMB851980 WVX851958:WVX851980 P917494:P917516 JL917494:JL917516 TH917494:TH917516 ADD917494:ADD917516 AMZ917494:AMZ917516 AWV917494:AWV917516 BGR917494:BGR917516 BQN917494:BQN917516 CAJ917494:CAJ917516 CKF917494:CKF917516 CUB917494:CUB917516 DDX917494:DDX917516 DNT917494:DNT917516 DXP917494:DXP917516 EHL917494:EHL917516 ERH917494:ERH917516 FBD917494:FBD917516 FKZ917494:FKZ917516 FUV917494:FUV917516 GER917494:GER917516 GON917494:GON917516 GYJ917494:GYJ917516 HIF917494:HIF917516 HSB917494:HSB917516 IBX917494:IBX917516 ILT917494:ILT917516 IVP917494:IVP917516 JFL917494:JFL917516 JPH917494:JPH917516 JZD917494:JZD917516 KIZ917494:KIZ917516 KSV917494:KSV917516 LCR917494:LCR917516 LMN917494:LMN917516 LWJ917494:LWJ917516 MGF917494:MGF917516 MQB917494:MQB917516 MZX917494:MZX917516 NJT917494:NJT917516 NTP917494:NTP917516 ODL917494:ODL917516 ONH917494:ONH917516 OXD917494:OXD917516 PGZ917494:PGZ917516 PQV917494:PQV917516 QAR917494:QAR917516 QKN917494:QKN917516 QUJ917494:QUJ917516 REF917494:REF917516 ROB917494:ROB917516 RXX917494:RXX917516 SHT917494:SHT917516 SRP917494:SRP917516 TBL917494:TBL917516 TLH917494:TLH917516 TVD917494:TVD917516 UEZ917494:UEZ917516 UOV917494:UOV917516 UYR917494:UYR917516 VIN917494:VIN917516 VSJ917494:VSJ917516 WCF917494:WCF917516 WMB917494:WMB917516 WVX917494:WVX917516 P983030:P983052 JL983030:JL983052 TH983030:TH983052 ADD983030:ADD983052 AMZ983030:AMZ983052 AWV983030:AWV983052 BGR983030:BGR983052 BQN983030:BQN983052 CAJ983030:CAJ983052 CKF983030:CKF983052 CUB983030:CUB983052 DDX983030:DDX983052 DNT983030:DNT983052 DXP983030:DXP983052 EHL983030:EHL983052 ERH983030:ERH983052 FBD983030:FBD983052 FKZ983030:FKZ983052 FUV983030:FUV983052 GER983030:GER983052 GON983030:GON983052 GYJ983030:GYJ983052 HIF983030:HIF983052 HSB983030:HSB983052 IBX983030:IBX983052 ILT983030:ILT983052 IVP983030:IVP983052 JFL983030:JFL983052 JPH983030:JPH983052 JZD983030:JZD983052 KIZ983030:KIZ983052 KSV983030:KSV983052 LCR983030:LCR983052 LMN983030:LMN983052 LWJ983030:LWJ983052 MGF983030:MGF983052 MQB983030:MQB983052 MZX983030:MZX983052 NJT983030:NJT983052 NTP983030:NTP983052 ODL983030:ODL983052 ONH983030:ONH983052 OXD983030:OXD983052 PGZ983030:PGZ983052 PQV983030:PQV983052 QAR983030:QAR983052 QKN983030:QKN983052 QUJ983030:QUJ983052 REF983030:REF983052 ROB983030:ROB983052 RXX983030:RXX983052 SHT983030:SHT983052 SRP983030:SRP983052 TBL983030:TBL983052 TLH983030:TLH983052 TVD983030:TVD983052 UEZ983030:UEZ983052 UOV983030:UOV983052 UYR983030:UYR983052 VIN983030:VIN983052 VSJ983030:VSJ983052 WCF983030:WCF983052 WMB983030:WMB983052 WVX983030:WVX983052 K65526:M65548 JG65526:JI65548 TC65526:TE65548 ACY65526:ADA65548 AMU65526:AMW65548 AWQ65526:AWS65548 BGM65526:BGO65548 BQI65526:BQK65548 CAE65526:CAG65548 CKA65526:CKC65548 CTW65526:CTY65548 DDS65526:DDU65548 DNO65526:DNQ65548 DXK65526:DXM65548 EHG65526:EHI65548 ERC65526:ERE65548 FAY65526:FBA65548 FKU65526:FKW65548 FUQ65526:FUS65548 GEM65526:GEO65548 GOI65526:GOK65548 GYE65526:GYG65548 HIA65526:HIC65548 HRW65526:HRY65548 IBS65526:IBU65548 ILO65526:ILQ65548 IVK65526:IVM65548 JFG65526:JFI65548 JPC65526:JPE65548 JYY65526:JZA65548 KIU65526:KIW65548 KSQ65526:KSS65548 LCM65526:LCO65548 LMI65526:LMK65548 LWE65526:LWG65548 MGA65526:MGC65548 MPW65526:MPY65548 MZS65526:MZU65548 NJO65526:NJQ65548 NTK65526:NTM65548 ODG65526:ODI65548 ONC65526:ONE65548 OWY65526:OXA65548 PGU65526:PGW65548 PQQ65526:PQS65548 QAM65526:QAO65548 QKI65526:QKK65548 QUE65526:QUG65548 REA65526:REC65548 RNW65526:RNY65548 RXS65526:RXU65548 SHO65526:SHQ65548 SRK65526:SRM65548 TBG65526:TBI65548 TLC65526:TLE65548 TUY65526:TVA65548 UEU65526:UEW65548 UOQ65526:UOS65548 UYM65526:UYO65548 VII65526:VIK65548 VSE65526:VSG65548 WCA65526:WCC65548 WLW65526:WLY65548 WVS65526:WVU65548 K131062:M131084 JG131062:JI131084 TC131062:TE131084 ACY131062:ADA131084 AMU131062:AMW131084 AWQ131062:AWS131084 BGM131062:BGO131084 BQI131062:BQK131084 CAE131062:CAG131084 CKA131062:CKC131084 CTW131062:CTY131084 DDS131062:DDU131084 DNO131062:DNQ131084 DXK131062:DXM131084 EHG131062:EHI131084 ERC131062:ERE131084 FAY131062:FBA131084 FKU131062:FKW131084 FUQ131062:FUS131084 GEM131062:GEO131084 GOI131062:GOK131084 GYE131062:GYG131084 HIA131062:HIC131084 HRW131062:HRY131084 IBS131062:IBU131084 ILO131062:ILQ131084 IVK131062:IVM131084 JFG131062:JFI131084 JPC131062:JPE131084 JYY131062:JZA131084 KIU131062:KIW131084 KSQ131062:KSS131084 LCM131062:LCO131084 LMI131062:LMK131084 LWE131062:LWG131084 MGA131062:MGC131084 MPW131062:MPY131084 MZS131062:MZU131084 NJO131062:NJQ131084 NTK131062:NTM131084 ODG131062:ODI131084 ONC131062:ONE131084 OWY131062:OXA131084 PGU131062:PGW131084 PQQ131062:PQS131084 QAM131062:QAO131084 QKI131062:QKK131084 QUE131062:QUG131084 REA131062:REC131084 RNW131062:RNY131084 RXS131062:RXU131084 SHO131062:SHQ131084 SRK131062:SRM131084 TBG131062:TBI131084 TLC131062:TLE131084 TUY131062:TVA131084 UEU131062:UEW131084 UOQ131062:UOS131084 UYM131062:UYO131084 VII131062:VIK131084 VSE131062:VSG131084 WCA131062:WCC131084 WLW131062:WLY131084 WVS131062:WVU131084 K196598:M196620 JG196598:JI196620 TC196598:TE196620 ACY196598:ADA196620 AMU196598:AMW196620 AWQ196598:AWS196620 BGM196598:BGO196620 BQI196598:BQK196620 CAE196598:CAG196620 CKA196598:CKC196620 CTW196598:CTY196620 DDS196598:DDU196620 DNO196598:DNQ196620 DXK196598:DXM196620 EHG196598:EHI196620 ERC196598:ERE196620 FAY196598:FBA196620 FKU196598:FKW196620 FUQ196598:FUS196620 GEM196598:GEO196620 GOI196598:GOK196620 GYE196598:GYG196620 HIA196598:HIC196620 HRW196598:HRY196620 IBS196598:IBU196620 ILO196598:ILQ196620 IVK196598:IVM196620 JFG196598:JFI196620 JPC196598:JPE196620 JYY196598:JZA196620 KIU196598:KIW196620 KSQ196598:KSS196620 LCM196598:LCO196620 LMI196598:LMK196620 LWE196598:LWG196620 MGA196598:MGC196620 MPW196598:MPY196620 MZS196598:MZU196620 NJO196598:NJQ196620 NTK196598:NTM196620 ODG196598:ODI196620 ONC196598:ONE196620 OWY196598:OXA196620 PGU196598:PGW196620 PQQ196598:PQS196620 QAM196598:QAO196620 QKI196598:QKK196620 QUE196598:QUG196620 REA196598:REC196620 RNW196598:RNY196620 RXS196598:RXU196620 SHO196598:SHQ196620 SRK196598:SRM196620 TBG196598:TBI196620 TLC196598:TLE196620 TUY196598:TVA196620 UEU196598:UEW196620 UOQ196598:UOS196620 UYM196598:UYO196620 VII196598:VIK196620 VSE196598:VSG196620 WCA196598:WCC196620 WLW196598:WLY196620 WVS196598:WVU196620 K262134:M262156 JG262134:JI262156 TC262134:TE262156 ACY262134:ADA262156 AMU262134:AMW262156 AWQ262134:AWS262156 BGM262134:BGO262156 BQI262134:BQK262156 CAE262134:CAG262156 CKA262134:CKC262156 CTW262134:CTY262156 DDS262134:DDU262156 DNO262134:DNQ262156 DXK262134:DXM262156 EHG262134:EHI262156 ERC262134:ERE262156 FAY262134:FBA262156 FKU262134:FKW262156 FUQ262134:FUS262156 GEM262134:GEO262156 GOI262134:GOK262156 GYE262134:GYG262156 HIA262134:HIC262156 HRW262134:HRY262156 IBS262134:IBU262156 ILO262134:ILQ262156 IVK262134:IVM262156 JFG262134:JFI262156 JPC262134:JPE262156 JYY262134:JZA262156 KIU262134:KIW262156 KSQ262134:KSS262156 LCM262134:LCO262156 LMI262134:LMK262156 LWE262134:LWG262156 MGA262134:MGC262156 MPW262134:MPY262156 MZS262134:MZU262156 NJO262134:NJQ262156 NTK262134:NTM262156 ODG262134:ODI262156 ONC262134:ONE262156 OWY262134:OXA262156 PGU262134:PGW262156 PQQ262134:PQS262156 QAM262134:QAO262156 QKI262134:QKK262156 QUE262134:QUG262156 REA262134:REC262156 RNW262134:RNY262156 RXS262134:RXU262156 SHO262134:SHQ262156 SRK262134:SRM262156 TBG262134:TBI262156 TLC262134:TLE262156 TUY262134:TVA262156 UEU262134:UEW262156 UOQ262134:UOS262156 UYM262134:UYO262156 VII262134:VIK262156 VSE262134:VSG262156 WCA262134:WCC262156 WLW262134:WLY262156 WVS262134:WVU262156 K327670:M327692 JG327670:JI327692 TC327670:TE327692 ACY327670:ADA327692 AMU327670:AMW327692 AWQ327670:AWS327692 BGM327670:BGO327692 BQI327670:BQK327692 CAE327670:CAG327692 CKA327670:CKC327692 CTW327670:CTY327692 DDS327670:DDU327692 DNO327670:DNQ327692 DXK327670:DXM327692 EHG327670:EHI327692 ERC327670:ERE327692 FAY327670:FBA327692 FKU327670:FKW327692 FUQ327670:FUS327692 GEM327670:GEO327692 GOI327670:GOK327692 GYE327670:GYG327692 HIA327670:HIC327692 HRW327670:HRY327692 IBS327670:IBU327692 ILO327670:ILQ327692 IVK327670:IVM327692 JFG327670:JFI327692 JPC327670:JPE327692 JYY327670:JZA327692 KIU327670:KIW327692 KSQ327670:KSS327692 LCM327670:LCO327692 LMI327670:LMK327692 LWE327670:LWG327692 MGA327670:MGC327692 MPW327670:MPY327692 MZS327670:MZU327692 NJO327670:NJQ327692 NTK327670:NTM327692 ODG327670:ODI327692 ONC327670:ONE327692 OWY327670:OXA327692 PGU327670:PGW327692 PQQ327670:PQS327692 QAM327670:QAO327692 QKI327670:QKK327692 QUE327670:QUG327692 REA327670:REC327692 RNW327670:RNY327692 RXS327670:RXU327692 SHO327670:SHQ327692 SRK327670:SRM327692 TBG327670:TBI327692 TLC327670:TLE327692 TUY327670:TVA327692 UEU327670:UEW327692 UOQ327670:UOS327692 UYM327670:UYO327692 VII327670:VIK327692 VSE327670:VSG327692 WCA327670:WCC327692 WLW327670:WLY327692 WVS327670:WVU327692 K393206:M393228 JG393206:JI393228 TC393206:TE393228 ACY393206:ADA393228 AMU393206:AMW393228 AWQ393206:AWS393228 BGM393206:BGO393228 BQI393206:BQK393228 CAE393206:CAG393228 CKA393206:CKC393228 CTW393206:CTY393228 DDS393206:DDU393228 DNO393206:DNQ393228 DXK393206:DXM393228 EHG393206:EHI393228 ERC393206:ERE393228 FAY393206:FBA393228 FKU393206:FKW393228 FUQ393206:FUS393228 GEM393206:GEO393228 GOI393206:GOK393228 GYE393206:GYG393228 HIA393206:HIC393228 HRW393206:HRY393228 IBS393206:IBU393228 ILO393206:ILQ393228 IVK393206:IVM393228 JFG393206:JFI393228 JPC393206:JPE393228 JYY393206:JZA393228 KIU393206:KIW393228 KSQ393206:KSS393228 LCM393206:LCO393228 LMI393206:LMK393228 LWE393206:LWG393228 MGA393206:MGC393228 MPW393206:MPY393228 MZS393206:MZU393228 NJO393206:NJQ393228 NTK393206:NTM393228 ODG393206:ODI393228 ONC393206:ONE393228 OWY393206:OXA393228 PGU393206:PGW393228 PQQ393206:PQS393228 QAM393206:QAO393228 QKI393206:QKK393228 QUE393206:QUG393228 REA393206:REC393228 RNW393206:RNY393228 RXS393206:RXU393228 SHO393206:SHQ393228 SRK393206:SRM393228 TBG393206:TBI393228 TLC393206:TLE393228 TUY393206:TVA393228 UEU393206:UEW393228 UOQ393206:UOS393228 UYM393206:UYO393228 VII393206:VIK393228 VSE393206:VSG393228 WCA393206:WCC393228 WLW393206:WLY393228 WVS393206:WVU393228 K458742:M458764 JG458742:JI458764 TC458742:TE458764 ACY458742:ADA458764 AMU458742:AMW458764 AWQ458742:AWS458764 BGM458742:BGO458764 BQI458742:BQK458764 CAE458742:CAG458764 CKA458742:CKC458764 CTW458742:CTY458764 DDS458742:DDU458764 DNO458742:DNQ458764 DXK458742:DXM458764 EHG458742:EHI458764 ERC458742:ERE458764 FAY458742:FBA458764 FKU458742:FKW458764 FUQ458742:FUS458764 GEM458742:GEO458764 GOI458742:GOK458764 GYE458742:GYG458764 HIA458742:HIC458764 HRW458742:HRY458764 IBS458742:IBU458764 ILO458742:ILQ458764 IVK458742:IVM458764 JFG458742:JFI458764 JPC458742:JPE458764 JYY458742:JZA458764 KIU458742:KIW458764 KSQ458742:KSS458764 LCM458742:LCO458764 LMI458742:LMK458764 LWE458742:LWG458764 MGA458742:MGC458764 MPW458742:MPY458764 MZS458742:MZU458764 NJO458742:NJQ458764 NTK458742:NTM458764 ODG458742:ODI458764 ONC458742:ONE458764 OWY458742:OXA458764 PGU458742:PGW458764 PQQ458742:PQS458764 QAM458742:QAO458764 QKI458742:QKK458764 QUE458742:QUG458764 REA458742:REC458764 RNW458742:RNY458764 RXS458742:RXU458764 SHO458742:SHQ458764 SRK458742:SRM458764 TBG458742:TBI458764 TLC458742:TLE458764 TUY458742:TVA458764 UEU458742:UEW458764 UOQ458742:UOS458764 UYM458742:UYO458764 VII458742:VIK458764 VSE458742:VSG458764 WCA458742:WCC458764 WLW458742:WLY458764 WVS458742:WVU458764 K524278:M524300 JG524278:JI524300 TC524278:TE524300 ACY524278:ADA524300 AMU524278:AMW524300 AWQ524278:AWS524300 BGM524278:BGO524300 BQI524278:BQK524300 CAE524278:CAG524300 CKA524278:CKC524300 CTW524278:CTY524300 DDS524278:DDU524300 DNO524278:DNQ524300 DXK524278:DXM524300 EHG524278:EHI524300 ERC524278:ERE524300 FAY524278:FBA524300 FKU524278:FKW524300 FUQ524278:FUS524300 GEM524278:GEO524300 GOI524278:GOK524300 GYE524278:GYG524300 HIA524278:HIC524300 HRW524278:HRY524300 IBS524278:IBU524300 ILO524278:ILQ524300 IVK524278:IVM524300 JFG524278:JFI524300 JPC524278:JPE524300 JYY524278:JZA524300 KIU524278:KIW524300 KSQ524278:KSS524300 LCM524278:LCO524300 LMI524278:LMK524300 LWE524278:LWG524300 MGA524278:MGC524300 MPW524278:MPY524300 MZS524278:MZU524300 NJO524278:NJQ524300 NTK524278:NTM524300 ODG524278:ODI524300 ONC524278:ONE524300 OWY524278:OXA524300 PGU524278:PGW524300 PQQ524278:PQS524300 QAM524278:QAO524300 QKI524278:QKK524300 QUE524278:QUG524300 REA524278:REC524300 RNW524278:RNY524300 RXS524278:RXU524300 SHO524278:SHQ524300 SRK524278:SRM524300 TBG524278:TBI524300 TLC524278:TLE524300 TUY524278:TVA524300 UEU524278:UEW524300 UOQ524278:UOS524300 UYM524278:UYO524300 VII524278:VIK524300 VSE524278:VSG524300 WCA524278:WCC524300 WLW524278:WLY524300 WVS524278:WVU524300 K589814:M589836 JG589814:JI589836 TC589814:TE589836 ACY589814:ADA589836 AMU589814:AMW589836 AWQ589814:AWS589836 BGM589814:BGO589836 BQI589814:BQK589836 CAE589814:CAG589836 CKA589814:CKC589836 CTW589814:CTY589836 DDS589814:DDU589836 DNO589814:DNQ589836 DXK589814:DXM589836 EHG589814:EHI589836 ERC589814:ERE589836 FAY589814:FBA589836 FKU589814:FKW589836 FUQ589814:FUS589836 GEM589814:GEO589836 GOI589814:GOK589836 GYE589814:GYG589836 HIA589814:HIC589836 HRW589814:HRY589836 IBS589814:IBU589836 ILO589814:ILQ589836 IVK589814:IVM589836 JFG589814:JFI589836 JPC589814:JPE589836 JYY589814:JZA589836 KIU589814:KIW589836 KSQ589814:KSS589836 LCM589814:LCO589836 LMI589814:LMK589836 LWE589814:LWG589836 MGA589814:MGC589836 MPW589814:MPY589836 MZS589814:MZU589836 NJO589814:NJQ589836 NTK589814:NTM589836 ODG589814:ODI589836 ONC589814:ONE589836 OWY589814:OXA589836 PGU589814:PGW589836 PQQ589814:PQS589836 QAM589814:QAO589836 QKI589814:QKK589836 QUE589814:QUG589836 REA589814:REC589836 RNW589814:RNY589836 RXS589814:RXU589836 SHO589814:SHQ589836 SRK589814:SRM589836 TBG589814:TBI589836 TLC589814:TLE589836 TUY589814:TVA589836 UEU589814:UEW589836 UOQ589814:UOS589836 UYM589814:UYO589836 VII589814:VIK589836 VSE589814:VSG589836 WCA589814:WCC589836 WLW589814:WLY589836 WVS589814:WVU589836 K655350:M655372 JG655350:JI655372 TC655350:TE655372 ACY655350:ADA655372 AMU655350:AMW655372 AWQ655350:AWS655372 BGM655350:BGO655372 BQI655350:BQK655372 CAE655350:CAG655372 CKA655350:CKC655372 CTW655350:CTY655372 DDS655350:DDU655372 DNO655350:DNQ655372 DXK655350:DXM655372 EHG655350:EHI655372 ERC655350:ERE655372 FAY655350:FBA655372 FKU655350:FKW655372 FUQ655350:FUS655372 GEM655350:GEO655372 GOI655350:GOK655372 GYE655350:GYG655372 HIA655350:HIC655372 HRW655350:HRY655372 IBS655350:IBU655372 ILO655350:ILQ655372 IVK655350:IVM655372 JFG655350:JFI655372 JPC655350:JPE655372 JYY655350:JZA655372 KIU655350:KIW655372 KSQ655350:KSS655372 LCM655350:LCO655372 LMI655350:LMK655372 LWE655350:LWG655372 MGA655350:MGC655372 MPW655350:MPY655372 MZS655350:MZU655372 NJO655350:NJQ655372 NTK655350:NTM655372 ODG655350:ODI655372 ONC655350:ONE655372 OWY655350:OXA655372 PGU655350:PGW655372 PQQ655350:PQS655372 QAM655350:QAO655372 QKI655350:QKK655372 QUE655350:QUG655372 REA655350:REC655372 RNW655350:RNY655372 RXS655350:RXU655372 SHO655350:SHQ655372 SRK655350:SRM655372 TBG655350:TBI655372 TLC655350:TLE655372 TUY655350:TVA655372 UEU655350:UEW655372 UOQ655350:UOS655372 UYM655350:UYO655372 VII655350:VIK655372 VSE655350:VSG655372 WCA655350:WCC655372 WLW655350:WLY655372 WVS655350:WVU655372 K720886:M720908 JG720886:JI720908 TC720886:TE720908 ACY720886:ADA720908 AMU720886:AMW720908 AWQ720886:AWS720908 BGM720886:BGO720908 BQI720886:BQK720908 CAE720886:CAG720908 CKA720886:CKC720908 CTW720886:CTY720908 DDS720886:DDU720908 DNO720886:DNQ720908 DXK720886:DXM720908 EHG720886:EHI720908 ERC720886:ERE720908 FAY720886:FBA720908 FKU720886:FKW720908 FUQ720886:FUS720908 GEM720886:GEO720908 GOI720886:GOK720908 GYE720886:GYG720908 HIA720886:HIC720908 HRW720886:HRY720908 IBS720886:IBU720908 ILO720886:ILQ720908 IVK720886:IVM720908 JFG720886:JFI720908 JPC720886:JPE720908 JYY720886:JZA720908 KIU720886:KIW720908 KSQ720886:KSS720908 LCM720886:LCO720908 LMI720886:LMK720908 LWE720886:LWG720908 MGA720886:MGC720908 MPW720886:MPY720908 MZS720886:MZU720908 NJO720886:NJQ720908 NTK720886:NTM720908 ODG720886:ODI720908 ONC720886:ONE720908 OWY720886:OXA720908 PGU720886:PGW720908 PQQ720886:PQS720908 QAM720886:QAO720908 QKI720886:QKK720908 QUE720886:QUG720908 REA720886:REC720908 RNW720886:RNY720908 RXS720886:RXU720908 SHO720886:SHQ720908 SRK720886:SRM720908 TBG720886:TBI720908 TLC720886:TLE720908 TUY720886:TVA720908 UEU720886:UEW720908 UOQ720886:UOS720908 UYM720886:UYO720908 VII720886:VIK720908 VSE720886:VSG720908 WCA720886:WCC720908 WLW720886:WLY720908 WVS720886:WVU720908 K786422:M786444 JG786422:JI786444 TC786422:TE786444 ACY786422:ADA786444 AMU786422:AMW786444 AWQ786422:AWS786444 BGM786422:BGO786444 BQI786422:BQK786444 CAE786422:CAG786444 CKA786422:CKC786444 CTW786422:CTY786444 DDS786422:DDU786444 DNO786422:DNQ786444 DXK786422:DXM786444 EHG786422:EHI786444 ERC786422:ERE786444 FAY786422:FBA786444 FKU786422:FKW786444 FUQ786422:FUS786444 GEM786422:GEO786444 GOI786422:GOK786444 GYE786422:GYG786444 HIA786422:HIC786444 HRW786422:HRY786444 IBS786422:IBU786444 ILO786422:ILQ786444 IVK786422:IVM786444 JFG786422:JFI786444 JPC786422:JPE786444 JYY786422:JZA786444 KIU786422:KIW786444 KSQ786422:KSS786444 LCM786422:LCO786444 LMI786422:LMK786444 LWE786422:LWG786444 MGA786422:MGC786444 MPW786422:MPY786444 MZS786422:MZU786444 NJO786422:NJQ786444 NTK786422:NTM786444 ODG786422:ODI786444 ONC786422:ONE786444 OWY786422:OXA786444 PGU786422:PGW786444 PQQ786422:PQS786444 QAM786422:QAO786444 QKI786422:QKK786444 QUE786422:QUG786444 REA786422:REC786444 RNW786422:RNY786444 RXS786422:RXU786444 SHO786422:SHQ786444 SRK786422:SRM786444 TBG786422:TBI786444 TLC786422:TLE786444 TUY786422:TVA786444 UEU786422:UEW786444 UOQ786422:UOS786444 UYM786422:UYO786444 VII786422:VIK786444 VSE786422:VSG786444 WCA786422:WCC786444 WLW786422:WLY786444 WVS786422:WVU786444 K851958:M851980 JG851958:JI851980 TC851958:TE851980 ACY851958:ADA851980 AMU851958:AMW851980 AWQ851958:AWS851980 BGM851958:BGO851980 BQI851958:BQK851980 CAE851958:CAG851980 CKA851958:CKC851980 CTW851958:CTY851980 DDS851958:DDU851980 DNO851958:DNQ851980 DXK851958:DXM851980 EHG851958:EHI851980 ERC851958:ERE851980 FAY851958:FBA851980 FKU851958:FKW851980 FUQ851958:FUS851980 GEM851958:GEO851980 GOI851958:GOK851980 GYE851958:GYG851980 HIA851958:HIC851980 HRW851958:HRY851980 IBS851958:IBU851980 ILO851958:ILQ851980 IVK851958:IVM851980 JFG851958:JFI851980 JPC851958:JPE851980 JYY851958:JZA851980 KIU851958:KIW851980 KSQ851958:KSS851980 LCM851958:LCO851980 LMI851958:LMK851980 LWE851958:LWG851980 MGA851958:MGC851980 MPW851958:MPY851980 MZS851958:MZU851980 NJO851958:NJQ851980 NTK851958:NTM851980 ODG851958:ODI851980 ONC851958:ONE851980 OWY851958:OXA851980 PGU851958:PGW851980 PQQ851958:PQS851980 QAM851958:QAO851980 QKI851958:QKK851980 QUE851958:QUG851980 REA851958:REC851980 RNW851958:RNY851980 RXS851958:RXU851980 SHO851958:SHQ851980 SRK851958:SRM851980 TBG851958:TBI851980 TLC851958:TLE851980 TUY851958:TVA851980 UEU851958:UEW851980 UOQ851958:UOS851980 UYM851958:UYO851980 VII851958:VIK851980 VSE851958:VSG851980 WCA851958:WCC851980 WLW851958:WLY851980 WVS851958:WVU851980 K917494:M917516 JG917494:JI917516 TC917494:TE917516 ACY917494:ADA917516 AMU917494:AMW917516 AWQ917494:AWS917516 BGM917494:BGO917516 BQI917494:BQK917516 CAE917494:CAG917516 CKA917494:CKC917516 CTW917494:CTY917516 DDS917494:DDU917516 DNO917494:DNQ917516 DXK917494:DXM917516 EHG917494:EHI917516 ERC917494:ERE917516 FAY917494:FBA917516 FKU917494:FKW917516 FUQ917494:FUS917516 GEM917494:GEO917516 GOI917494:GOK917516 GYE917494:GYG917516 HIA917494:HIC917516 HRW917494:HRY917516 IBS917494:IBU917516 ILO917494:ILQ917516 IVK917494:IVM917516 JFG917494:JFI917516 JPC917494:JPE917516 JYY917494:JZA917516 KIU917494:KIW917516 KSQ917494:KSS917516 LCM917494:LCO917516 LMI917494:LMK917516 LWE917494:LWG917516 MGA917494:MGC917516 MPW917494:MPY917516 MZS917494:MZU917516 NJO917494:NJQ917516 NTK917494:NTM917516 ODG917494:ODI917516 ONC917494:ONE917516 OWY917494:OXA917516 PGU917494:PGW917516 PQQ917494:PQS917516 QAM917494:QAO917516 QKI917494:QKK917516 QUE917494:QUG917516 REA917494:REC917516 RNW917494:RNY917516 RXS917494:RXU917516 SHO917494:SHQ917516 SRK917494:SRM917516 TBG917494:TBI917516 TLC917494:TLE917516 TUY917494:TVA917516 UEU917494:UEW917516 UOQ917494:UOS917516 UYM917494:UYO917516 VII917494:VIK917516 VSE917494:VSG917516 WCA917494:WCC917516 WLW917494:WLY917516 WVS917494:WVU917516 K983030:M983052 JG983030:JI983052 TC983030:TE983052 ACY983030:ADA983052 AMU983030:AMW983052 AWQ983030:AWS983052 BGM983030:BGO983052 BQI983030:BQK983052 CAE983030:CAG983052 CKA983030:CKC983052 CTW983030:CTY983052 DDS983030:DDU983052 DNO983030:DNQ983052 DXK983030:DXM983052 EHG983030:EHI983052 ERC983030:ERE983052 FAY983030:FBA983052 FKU983030:FKW983052 FUQ983030:FUS983052 GEM983030:GEO983052 GOI983030:GOK983052 GYE983030:GYG983052 HIA983030:HIC983052 HRW983030:HRY983052 IBS983030:IBU983052 ILO983030:ILQ983052 IVK983030:IVM983052 JFG983030:JFI983052 JPC983030:JPE983052 JYY983030:JZA983052 KIU983030:KIW983052 KSQ983030:KSS983052 LCM983030:LCO983052 LMI983030:LMK983052 LWE983030:LWG983052 MGA983030:MGC983052 MPW983030:MPY983052 MZS983030:MZU983052 NJO983030:NJQ983052 NTK983030:NTM983052 ODG983030:ODI983052 ONC983030:ONE983052 OWY983030:OXA983052 PGU983030:PGW983052 PQQ983030:PQS983052 QAM983030:QAO983052 QKI983030:QKK983052 QUE983030:QUG983052 REA983030:REC983052 RNW983030:RNY983052 RXS983030:RXU983052 SHO983030:SHQ983052 SRK983030:SRM983052 TBG983030:TBI983052 TLC983030:TLE983052 TUY983030:TVA983052 UEU983030:UEW983052 UOQ983030:UOS983052 UYM983030:UYO983052 VII983030:VIK983052 VSE983030:VSG983052 WCA983030:WCC983052 WLW983030:WLY983052 WVS983030:WVU983052 G20:I43 D20:D43 D53:D76 G53:I76" xr:uid="{B087FE4F-03DB-4B2D-BABD-0465B8AFA694}">
      <formula1>0</formula1>
    </dataValidation>
    <dataValidation type="decimal" operator="greaterThanOrEqual" allowBlank="1" showInputMessage="1" showErrorMessage="1" errorTitle="Negatieve waarde" error="Gelieve positieve waarde in te geven" sqref="JE65526:JF65548 TA65526:TB65548 ACW65526:ACX65548 AMS65526:AMT65548 AWO65526:AWP65548 BGK65526:BGL65548 BQG65526:BQH65548 CAC65526:CAD65548 CJY65526:CJZ65548 CTU65526:CTV65548 DDQ65526:DDR65548 DNM65526:DNN65548 DXI65526:DXJ65548 EHE65526:EHF65548 ERA65526:ERB65548 FAW65526:FAX65548 FKS65526:FKT65548 FUO65526:FUP65548 GEK65526:GEL65548 GOG65526:GOH65548 GYC65526:GYD65548 HHY65526:HHZ65548 HRU65526:HRV65548 IBQ65526:IBR65548 ILM65526:ILN65548 IVI65526:IVJ65548 JFE65526:JFF65548 JPA65526:JPB65548 JYW65526:JYX65548 KIS65526:KIT65548 KSO65526:KSP65548 LCK65526:LCL65548 LMG65526:LMH65548 LWC65526:LWD65548 MFY65526:MFZ65548 MPU65526:MPV65548 MZQ65526:MZR65548 NJM65526:NJN65548 NTI65526:NTJ65548 ODE65526:ODF65548 ONA65526:ONB65548 OWW65526:OWX65548 PGS65526:PGT65548 PQO65526:PQP65548 QAK65526:QAL65548 QKG65526:QKH65548 QUC65526:QUD65548 RDY65526:RDZ65548 RNU65526:RNV65548 RXQ65526:RXR65548 SHM65526:SHN65548 SRI65526:SRJ65548 TBE65526:TBF65548 TLA65526:TLB65548 TUW65526:TUX65548 UES65526:UET65548 UOO65526:UOP65548 UYK65526:UYL65548 VIG65526:VIH65548 VSC65526:VSD65548 WBY65526:WBZ65548 WLU65526:WLV65548 WVQ65526:WVR65548 JE131062:JF131084 TA131062:TB131084 ACW131062:ACX131084 AMS131062:AMT131084 AWO131062:AWP131084 BGK131062:BGL131084 BQG131062:BQH131084 CAC131062:CAD131084 CJY131062:CJZ131084 CTU131062:CTV131084 DDQ131062:DDR131084 DNM131062:DNN131084 DXI131062:DXJ131084 EHE131062:EHF131084 ERA131062:ERB131084 FAW131062:FAX131084 FKS131062:FKT131084 FUO131062:FUP131084 GEK131062:GEL131084 GOG131062:GOH131084 GYC131062:GYD131084 HHY131062:HHZ131084 HRU131062:HRV131084 IBQ131062:IBR131084 ILM131062:ILN131084 IVI131062:IVJ131084 JFE131062:JFF131084 JPA131062:JPB131084 JYW131062:JYX131084 KIS131062:KIT131084 KSO131062:KSP131084 LCK131062:LCL131084 LMG131062:LMH131084 LWC131062:LWD131084 MFY131062:MFZ131084 MPU131062:MPV131084 MZQ131062:MZR131084 NJM131062:NJN131084 NTI131062:NTJ131084 ODE131062:ODF131084 ONA131062:ONB131084 OWW131062:OWX131084 PGS131062:PGT131084 PQO131062:PQP131084 QAK131062:QAL131084 QKG131062:QKH131084 QUC131062:QUD131084 RDY131062:RDZ131084 RNU131062:RNV131084 RXQ131062:RXR131084 SHM131062:SHN131084 SRI131062:SRJ131084 TBE131062:TBF131084 TLA131062:TLB131084 TUW131062:TUX131084 UES131062:UET131084 UOO131062:UOP131084 UYK131062:UYL131084 VIG131062:VIH131084 VSC131062:VSD131084 WBY131062:WBZ131084 WLU131062:WLV131084 WVQ131062:WVR131084 JE196598:JF196620 TA196598:TB196620 ACW196598:ACX196620 AMS196598:AMT196620 AWO196598:AWP196620 BGK196598:BGL196620 BQG196598:BQH196620 CAC196598:CAD196620 CJY196598:CJZ196620 CTU196598:CTV196620 DDQ196598:DDR196620 DNM196598:DNN196620 DXI196598:DXJ196620 EHE196598:EHF196620 ERA196598:ERB196620 FAW196598:FAX196620 FKS196598:FKT196620 FUO196598:FUP196620 GEK196598:GEL196620 GOG196598:GOH196620 GYC196598:GYD196620 HHY196598:HHZ196620 HRU196598:HRV196620 IBQ196598:IBR196620 ILM196598:ILN196620 IVI196598:IVJ196620 JFE196598:JFF196620 JPA196598:JPB196620 JYW196598:JYX196620 KIS196598:KIT196620 KSO196598:KSP196620 LCK196598:LCL196620 LMG196598:LMH196620 LWC196598:LWD196620 MFY196598:MFZ196620 MPU196598:MPV196620 MZQ196598:MZR196620 NJM196598:NJN196620 NTI196598:NTJ196620 ODE196598:ODF196620 ONA196598:ONB196620 OWW196598:OWX196620 PGS196598:PGT196620 PQO196598:PQP196620 QAK196598:QAL196620 QKG196598:QKH196620 QUC196598:QUD196620 RDY196598:RDZ196620 RNU196598:RNV196620 RXQ196598:RXR196620 SHM196598:SHN196620 SRI196598:SRJ196620 TBE196598:TBF196620 TLA196598:TLB196620 TUW196598:TUX196620 UES196598:UET196620 UOO196598:UOP196620 UYK196598:UYL196620 VIG196598:VIH196620 VSC196598:VSD196620 WBY196598:WBZ196620 WLU196598:WLV196620 WVQ196598:WVR196620 JE262134:JF262156 TA262134:TB262156 ACW262134:ACX262156 AMS262134:AMT262156 AWO262134:AWP262156 BGK262134:BGL262156 BQG262134:BQH262156 CAC262134:CAD262156 CJY262134:CJZ262156 CTU262134:CTV262156 DDQ262134:DDR262156 DNM262134:DNN262156 DXI262134:DXJ262156 EHE262134:EHF262156 ERA262134:ERB262156 FAW262134:FAX262156 FKS262134:FKT262156 FUO262134:FUP262156 GEK262134:GEL262156 GOG262134:GOH262156 GYC262134:GYD262156 HHY262134:HHZ262156 HRU262134:HRV262156 IBQ262134:IBR262156 ILM262134:ILN262156 IVI262134:IVJ262156 JFE262134:JFF262156 JPA262134:JPB262156 JYW262134:JYX262156 KIS262134:KIT262156 KSO262134:KSP262156 LCK262134:LCL262156 LMG262134:LMH262156 LWC262134:LWD262156 MFY262134:MFZ262156 MPU262134:MPV262156 MZQ262134:MZR262156 NJM262134:NJN262156 NTI262134:NTJ262156 ODE262134:ODF262156 ONA262134:ONB262156 OWW262134:OWX262156 PGS262134:PGT262156 PQO262134:PQP262156 QAK262134:QAL262156 QKG262134:QKH262156 QUC262134:QUD262156 RDY262134:RDZ262156 RNU262134:RNV262156 RXQ262134:RXR262156 SHM262134:SHN262156 SRI262134:SRJ262156 TBE262134:TBF262156 TLA262134:TLB262156 TUW262134:TUX262156 UES262134:UET262156 UOO262134:UOP262156 UYK262134:UYL262156 VIG262134:VIH262156 VSC262134:VSD262156 WBY262134:WBZ262156 WLU262134:WLV262156 WVQ262134:WVR262156 JE327670:JF327692 TA327670:TB327692 ACW327670:ACX327692 AMS327670:AMT327692 AWO327670:AWP327692 BGK327670:BGL327692 BQG327670:BQH327692 CAC327670:CAD327692 CJY327670:CJZ327692 CTU327670:CTV327692 DDQ327670:DDR327692 DNM327670:DNN327692 DXI327670:DXJ327692 EHE327670:EHF327692 ERA327670:ERB327692 FAW327670:FAX327692 FKS327670:FKT327692 FUO327670:FUP327692 GEK327670:GEL327692 GOG327670:GOH327692 GYC327670:GYD327692 HHY327670:HHZ327692 HRU327670:HRV327692 IBQ327670:IBR327692 ILM327670:ILN327692 IVI327670:IVJ327692 JFE327670:JFF327692 JPA327670:JPB327692 JYW327670:JYX327692 KIS327670:KIT327692 KSO327670:KSP327692 LCK327670:LCL327692 LMG327670:LMH327692 LWC327670:LWD327692 MFY327670:MFZ327692 MPU327670:MPV327692 MZQ327670:MZR327692 NJM327670:NJN327692 NTI327670:NTJ327692 ODE327670:ODF327692 ONA327670:ONB327692 OWW327670:OWX327692 PGS327670:PGT327692 PQO327670:PQP327692 QAK327670:QAL327692 QKG327670:QKH327692 QUC327670:QUD327692 RDY327670:RDZ327692 RNU327670:RNV327692 RXQ327670:RXR327692 SHM327670:SHN327692 SRI327670:SRJ327692 TBE327670:TBF327692 TLA327670:TLB327692 TUW327670:TUX327692 UES327670:UET327692 UOO327670:UOP327692 UYK327670:UYL327692 VIG327670:VIH327692 VSC327670:VSD327692 WBY327670:WBZ327692 WLU327670:WLV327692 WVQ327670:WVR327692 JE393206:JF393228 TA393206:TB393228 ACW393206:ACX393228 AMS393206:AMT393228 AWO393206:AWP393228 BGK393206:BGL393228 BQG393206:BQH393228 CAC393206:CAD393228 CJY393206:CJZ393228 CTU393206:CTV393228 DDQ393206:DDR393228 DNM393206:DNN393228 DXI393206:DXJ393228 EHE393206:EHF393228 ERA393206:ERB393228 FAW393206:FAX393228 FKS393206:FKT393228 FUO393206:FUP393228 GEK393206:GEL393228 GOG393206:GOH393228 GYC393206:GYD393228 HHY393206:HHZ393228 HRU393206:HRV393228 IBQ393206:IBR393228 ILM393206:ILN393228 IVI393206:IVJ393228 JFE393206:JFF393228 JPA393206:JPB393228 JYW393206:JYX393228 KIS393206:KIT393228 KSO393206:KSP393228 LCK393206:LCL393228 LMG393206:LMH393228 LWC393206:LWD393228 MFY393206:MFZ393228 MPU393206:MPV393228 MZQ393206:MZR393228 NJM393206:NJN393228 NTI393206:NTJ393228 ODE393206:ODF393228 ONA393206:ONB393228 OWW393206:OWX393228 PGS393206:PGT393228 PQO393206:PQP393228 QAK393206:QAL393228 QKG393206:QKH393228 QUC393206:QUD393228 RDY393206:RDZ393228 RNU393206:RNV393228 RXQ393206:RXR393228 SHM393206:SHN393228 SRI393206:SRJ393228 TBE393206:TBF393228 TLA393206:TLB393228 TUW393206:TUX393228 UES393206:UET393228 UOO393206:UOP393228 UYK393206:UYL393228 VIG393206:VIH393228 VSC393206:VSD393228 WBY393206:WBZ393228 WLU393206:WLV393228 WVQ393206:WVR393228 JE458742:JF458764 TA458742:TB458764 ACW458742:ACX458764 AMS458742:AMT458764 AWO458742:AWP458764 BGK458742:BGL458764 BQG458742:BQH458764 CAC458742:CAD458764 CJY458742:CJZ458764 CTU458742:CTV458764 DDQ458742:DDR458764 DNM458742:DNN458764 DXI458742:DXJ458764 EHE458742:EHF458764 ERA458742:ERB458764 FAW458742:FAX458764 FKS458742:FKT458764 FUO458742:FUP458764 GEK458742:GEL458764 GOG458742:GOH458764 GYC458742:GYD458764 HHY458742:HHZ458764 HRU458742:HRV458764 IBQ458742:IBR458764 ILM458742:ILN458764 IVI458742:IVJ458764 JFE458742:JFF458764 JPA458742:JPB458764 JYW458742:JYX458764 KIS458742:KIT458764 KSO458742:KSP458764 LCK458742:LCL458764 LMG458742:LMH458764 LWC458742:LWD458764 MFY458742:MFZ458764 MPU458742:MPV458764 MZQ458742:MZR458764 NJM458742:NJN458764 NTI458742:NTJ458764 ODE458742:ODF458764 ONA458742:ONB458764 OWW458742:OWX458764 PGS458742:PGT458764 PQO458742:PQP458764 QAK458742:QAL458764 QKG458742:QKH458764 QUC458742:QUD458764 RDY458742:RDZ458764 RNU458742:RNV458764 RXQ458742:RXR458764 SHM458742:SHN458764 SRI458742:SRJ458764 TBE458742:TBF458764 TLA458742:TLB458764 TUW458742:TUX458764 UES458742:UET458764 UOO458742:UOP458764 UYK458742:UYL458764 VIG458742:VIH458764 VSC458742:VSD458764 WBY458742:WBZ458764 WLU458742:WLV458764 WVQ458742:WVR458764 JE524278:JF524300 TA524278:TB524300 ACW524278:ACX524300 AMS524278:AMT524300 AWO524278:AWP524300 BGK524278:BGL524300 BQG524278:BQH524300 CAC524278:CAD524300 CJY524278:CJZ524300 CTU524278:CTV524300 DDQ524278:DDR524300 DNM524278:DNN524300 DXI524278:DXJ524300 EHE524278:EHF524300 ERA524278:ERB524300 FAW524278:FAX524300 FKS524278:FKT524300 FUO524278:FUP524300 GEK524278:GEL524300 GOG524278:GOH524300 GYC524278:GYD524300 HHY524278:HHZ524300 HRU524278:HRV524300 IBQ524278:IBR524300 ILM524278:ILN524300 IVI524278:IVJ524300 JFE524278:JFF524300 JPA524278:JPB524300 JYW524278:JYX524300 KIS524278:KIT524300 KSO524278:KSP524300 LCK524278:LCL524300 LMG524278:LMH524300 LWC524278:LWD524300 MFY524278:MFZ524300 MPU524278:MPV524300 MZQ524278:MZR524300 NJM524278:NJN524300 NTI524278:NTJ524300 ODE524278:ODF524300 ONA524278:ONB524300 OWW524278:OWX524300 PGS524278:PGT524300 PQO524278:PQP524300 QAK524278:QAL524300 QKG524278:QKH524300 QUC524278:QUD524300 RDY524278:RDZ524300 RNU524278:RNV524300 RXQ524278:RXR524300 SHM524278:SHN524300 SRI524278:SRJ524300 TBE524278:TBF524300 TLA524278:TLB524300 TUW524278:TUX524300 UES524278:UET524300 UOO524278:UOP524300 UYK524278:UYL524300 VIG524278:VIH524300 VSC524278:VSD524300 WBY524278:WBZ524300 WLU524278:WLV524300 WVQ524278:WVR524300 JE589814:JF589836 TA589814:TB589836 ACW589814:ACX589836 AMS589814:AMT589836 AWO589814:AWP589836 BGK589814:BGL589836 BQG589814:BQH589836 CAC589814:CAD589836 CJY589814:CJZ589836 CTU589814:CTV589836 DDQ589814:DDR589836 DNM589814:DNN589836 DXI589814:DXJ589836 EHE589814:EHF589836 ERA589814:ERB589836 FAW589814:FAX589836 FKS589814:FKT589836 FUO589814:FUP589836 GEK589814:GEL589836 GOG589814:GOH589836 GYC589814:GYD589836 HHY589814:HHZ589836 HRU589814:HRV589836 IBQ589814:IBR589836 ILM589814:ILN589836 IVI589814:IVJ589836 JFE589814:JFF589836 JPA589814:JPB589836 JYW589814:JYX589836 KIS589814:KIT589836 KSO589814:KSP589836 LCK589814:LCL589836 LMG589814:LMH589836 LWC589814:LWD589836 MFY589814:MFZ589836 MPU589814:MPV589836 MZQ589814:MZR589836 NJM589814:NJN589836 NTI589814:NTJ589836 ODE589814:ODF589836 ONA589814:ONB589836 OWW589814:OWX589836 PGS589814:PGT589836 PQO589814:PQP589836 QAK589814:QAL589836 QKG589814:QKH589836 QUC589814:QUD589836 RDY589814:RDZ589836 RNU589814:RNV589836 RXQ589814:RXR589836 SHM589814:SHN589836 SRI589814:SRJ589836 TBE589814:TBF589836 TLA589814:TLB589836 TUW589814:TUX589836 UES589814:UET589836 UOO589814:UOP589836 UYK589814:UYL589836 VIG589814:VIH589836 VSC589814:VSD589836 WBY589814:WBZ589836 WLU589814:WLV589836 WVQ589814:WVR589836 JE655350:JF655372 TA655350:TB655372 ACW655350:ACX655372 AMS655350:AMT655372 AWO655350:AWP655372 BGK655350:BGL655372 BQG655350:BQH655372 CAC655350:CAD655372 CJY655350:CJZ655372 CTU655350:CTV655372 DDQ655350:DDR655372 DNM655350:DNN655372 DXI655350:DXJ655372 EHE655350:EHF655372 ERA655350:ERB655372 FAW655350:FAX655372 FKS655350:FKT655372 FUO655350:FUP655372 GEK655350:GEL655372 GOG655350:GOH655372 GYC655350:GYD655372 HHY655350:HHZ655372 HRU655350:HRV655372 IBQ655350:IBR655372 ILM655350:ILN655372 IVI655350:IVJ655372 JFE655350:JFF655372 JPA655350:JPB655372 JYW655350:JYX655372 KIS655350:KIT655372 KSO655350:KSP655372 LCK655350:LCL655372 LMG655350:LMH655372 LWC655350:LWD655372 MFY655350:MFZ655372 MPU655350:MPV655372 MZQ655350:MZR655372 NJM655350:NJN655372 NTI655350:NTJ655372 ODE655350:ODF655372 ONA655350:ONB655372 OWW655350:OWX655372 PGS655350:PGT655372 PQO655350:PQP655372 QAK655350:QAL655372 QKG655350:QKH655372 QUC655350:QUD655372 RDY655350:RDZ655372 RNU655350:RNV655372 RXQ655350:RXR655372 SHM655350:SHN655372 SRI655350:SRJ655372 TBE655350:TBF655372 TLA655350:TLB655372 TUW655350:TUX655372 UES655350:UET655372 UOO655350:UOP655372 UYK655350:UYL655372 VIG655350:VIH655372 VSC655350:VSD655372 WBY655350:WBZ655372 WLU655350:WLV655372 WVQ655350:WVR655372 JE720886:JF720908 TA720886:TB720908 ACW720886:ACX720908 AMS720886:AMT720908 AWO720886:AWP720908 BGK720886:BGL720908 BQG720886:BQH720908 CAC720886:CAD720908 CJY720886:CJZ720908 CTU720886:CTV720908 DDQ720886:DDR720908 DNM720886:DNN720908 DXI720886:DXJ720908 EHE720886:EHF720908 ERA720886:ERB720908 FAW720886:FAX720908 FKS720886:FKT720908 FUO720886:FUP720908 GEK720886:GEL720908 GOG720886:GOH720908 GYC720886:GYD720908 HHY720886:HHZ720908 HRU720886:HRV720908 IBQ720886:IBR720908 ILM720886:ILN720908 IVI720886:IVJ720908 JFE720886:JFF720908 JPA720886:JPB720908 JYW720886:JYX720908 KIS720886:KIT720908 KSO720886:KSP720908 LCK720886:LCL720908 LMG720886:LMH720908 LWC720886:LWD720908 MFY720886:MFZ720908 MPU720886:MPV720908 MZQ720886:MZR720908 NJM720886:NJN720908 NTI720886:NTJ720908 ODE720886:ODF720908 ONA720886:ONB720908 OWW720886:OWX720908 PGS720886:PGT720908 PQO720886:PQP720908 QAK720886:QAL720908 QKG720886:QKH720908 QUC720886:QUD720908 RDY720886:RDZ720908 RNU720886:RNV720908 RXQ720886:RXR720908 SHM720886:SHN720908 SRI720886:SRJ720908 TBE720886:TBF720908 TLA720886:TLB720908 TUW720886:TUX720908 UES720886:UET720908 UOO720886:UOP720908 UYK720886:UYL720908 VIG720886:VIH720908 VSC720886:VSD720908 WBY720886:WBZ720908 WLU720886:WLV720908 WVQ720886:WVR720908 JE786422:JF786444 TA786422:TB786444 ACW786422:ACX786444 AMS786422:AMT786444 AWO786422:AWP786444 BGK786422:BGL786444 BQG786422:BQH786444 CAC786422:CAD786444 CJY786422:CJZ786444 CTU786422:CTV786444 DDQ786422:DDR786444 DNM786422:DNN786444 DXI786422:DXJ786444 EHE786422:EHF786444 ERA786422:ERB786444 FAW786422:FAX786444 FKS786422:FKT786444 FUO786422:FUP786444 GEK786422:GEL786444 GOG786422:GOH786444 GYC786422:GYD786444 HHY786422:HHZ786444 HRU786422:HRV786444 IBQ786422:IBR786444 ILM786422:ILN786444 IVI786422:IVJ786444 JFE786422:JFF786444 JPA786422:JPB786444 JYW786422:JYX786444 KIS786422:KIT786444 KSO786422:KSP786444 LCK786422:LCL786444 LMG786422:LMH786444 LWC786422:LWD786444 MFY786422:MFZ786444 MPU786422:MPV786444 MZQ786422:MZR786444 NJM786422:NJN786444 NTI786422:NTJ786444 ODE786422:ODF786444 ONA786422:ONB786444 OWW786422:OWX786444 PGS786422:PGT786444 PQO786422:PQP786444 QAK786422:QAL786444 QKG786422:QKH786444 QUC786422:QUD786444 RDY786422:RDZ786444 RNU786422:RNV786444 RXQ786422:RXR786444 SHM786422:SHN786444 SRI786422:SRJ786444 TBE786422:TBF786444 TLA786422:TLB786444 TUW786422:TUX786444 UES786422:UET786444 UOO786422:UOP786444 UYK786422:UYL786444 VIG786422:VIH786444 VSC786422:VSD786444 WBY786422:WBZ786444 WLU786422:WLV786444 WVQ786422:WVR786444 JE851958:JF851980 TA851958:TB851980 ACW851958:ACX851980 AMS851958:AMT851980 AWO851958:AWP851980 BGK851958:BGL851980 BQG851958:BQH851980 CAC851958:CAD851980 CJY851958:CJZ851980 CTU851958:CTV851980 DDQ851958:DDR851980 DNM851958:DNN851980 DXI851958:DXJ851980 EHE851958:EHF851980 ERA851958:ERB851980 FAW851958:FAX851980 FKS851958:FKT851980 FUO851958:FUP851980 GEK851958:GEL851980 GOG851958:GOH851980 GYC851958:GYD851980 HHY851958:HHZ851980 HRU851958:HRV851980 IBQ851958:IBR851980 ILM851958:ILN851980 IVI851958:IVJ851980 JFE851958:JFF851980 JPA851958:JPB851980 JYW851958:JYX851980 KIS851958:KIT851980 KSO851958:KSP851980 LCK851958:LCL851980 LMG851958:LMH851980 LWC851958:LWD851980 MFY851958:MFZ851980 MPU851958:MPV851980 MZQ851958:MZR851980 NJM851958:NJN851980 NTI851958:NTJ851980 ODE851958:ODF851980 ONA851958:ONB851980 OWW851958:OWX851980 PGS851958:PGT851980 PQO851958:PQP851980 QAK851958:QAL851980 QKG851958:QKH851980 QUC851958:QUD851980 RDY851958:RDZ851980 RNU851958:RNV851980 RXQ851958:RXR851980 SHM851958:SHN851980 SRI851958:SRJ851980 TBE851958:TBF851980 TLA851958:TLB851980 TUW851958:TUX851980 UES851958:UET851980 UOO851958:UOP851980 UYK851958:UYL851980 VIG851958:VIH851980 VSC851958:VSD851980 WBY851958:WBZ851980 WLU851958:WLV851980 WVQ851958:WVR851980 JE917494:JF917516 TA917494:TB917516 ACW917494:ACX917516 AMS917494:AMT917516 AWO917494:AWP917516 BGK917494:BGL917516 BQG917494:BQH917516 CAC917494:CAD917516 CJY917494:CJZ917516 CTU917494:CTV917516 DDQ917494:DDR917516 DNM917494:DNN917516 DXI917494:DXJ917516 EHE917494:EHF917516 ERA917494:ERB917516 FAW917494:FAX917516 FKS917494:FKT917516 FUO917494:FUP917516 GEK917494:GEL917516 GOG917494:GOH917516 GYC917494:GYD917516 HHY917494:HHZ917516 HRU917494:HRV917516 IBQ917494:IBR917516 ILM917494:ILN917516 IVI917494:IVJ917516 JFE917494:JFF917516 JPA917494:JPB917516 JYW917494:JYX917516 KIS917494:KIT917516 KSO917494:KSP917516 LCK917494:LCL917516 LMG917494:LMH917516 LWC917494:LWD917516 MFY917494:MFZ917516 MPU917494:MPV917516 MZQ917494:MZR917516 NJM917494:NJN917516 NTI917494:NTJ917516 ODE917494:ODF917516 ONA917494:ONB917516 OWW917494:OWX917516 PGS917494:PGT917516 PQO917494:PQP917516 QAK917494:QAL917516 QKG917494:QKH917516 QUC917494:QUD917516 RDY917494:RDZ917516 RNU917494:RNV917516 RXQ917494:RXR917516 SHM917494:SHN917516 SRI917494:SRJ917516 TBE917494:TBF917516 TLA917494:TLB917516 TUW917494:TUX917516 UES917494:UET917516 UOO917494:UOP917516 UYK917494:UYL917516 VIG917494:VIH917516 VSC917494:VSD917516 WBY917494:WBZ917516 WLU917494:WLV917516 WVQ917494:WVR917516 WVV983030:WVV983052 JE983030:JF983052 TA983030:TB983052 ACW983030:ACX983052 AMS983030:AMT983052 AWO983030:AWP983052 BGK983030:BGL983052 BQG983030:BQH983052 CAC983030:CAD983052 CJY983030:CJZ983052 CTU983030:CTV983052 DDQ983030:DDR983052 DNM983030:DNN983052 DXI983030:DXJ983052 EHE983030:EHF983052 ERA983030:ERB983052 FAW983030:FAX983052 FKS983030:FKT983052 FUO983030:FUP983052 GEK983030:GEL983052 GOG983030:GOH983052 GYC983030:GYD983052 HHY983030:HHZ983052 HRU983030:HRV983052 IBQ983030:IBR983052 ILM983030:ILN983052 IVI983030:IVJ983052 JFE983030:JFF983052 JPA983030:JPB983052 JYW983030:JYX983052 KIS983030:KIT983052 KSO983030:KSP983052 LCK983030:LCL983052 LMG983030:LMH983052 LWC983030:LWD983052 MFY983030:MFZ983052 MPU983030:MPV983052 MZQ983030:MZR983052 NJM983030:NJN983052 NTI983030:NTJ983052 ODE983030:ODF983052 ONA983030:ONB983052 OWW983030:OWX983052 PGS983030:PGT983052 PQO983030:PQP983052 QAK983030:QAL983052 QKG983030:QKH983052 QUC983030:QUD983052 RDY983030:RDZ983052 RNU983030:RNV983052 RXQ983030:RXR983052 SHM983030:SHN983052 SRI983030:SRJ983052 TBE983030:TBF983052 TLA983030:TLB983052 TUW983030:TUX983052 UES983030:UET983052 UOO983030:UOP983052 UYK983030:UYL983052 VIG983030:VIH983052 VSC983030:VSD983052 WBY983030:WBZ983052 WLU983030:WLV983052 WVQ983030:WVR983052 C65526:C65548 JB65526:JB65548 SX65526:SX65548 ACT65526:ACT65548 AMP65526:AMP65548 AWL65526:AWL65548 BGH65526:BGH65548 BQD65526:BQD65548 BZZ65526:BZZ65548 CJV65526:CJV65548 CTR65526:CTR65548 DDN65526:DDN65548 DNJ65526:DNJ65548 DXF65526:DXF65548 EHB65526:EHB65548 EQX65526:EQX65548 FAT65526:FAT65548 FKP65526:FKP65548 FUL65526:FUL65548 GEH65526:GEH65548 GOD65526:GOD65548 GXZ65526:GXZ65548 HHV65526:HHV65548 HRR65526:HRR65548 IBN65526:IBN65548 ILJ65526:ILJ65548 IVF65526:IVF65548 JFB65526:JFB65548 JOX65526:JOX65548 JYT65526:JYT65548 KIP65526:KIP65548 KSL65526:KSL65548 LCH65526:LCH65548 LMD65526:LMD65548 LVZ65526:LVZ65548 MFV65526:MFV65548 MPR65526:MPR65548 MZN65526:MZN65548 NJJ65526:NJJ65548 NTF65526:NTF65548 ODB65526:ODB65548 OMX65526:OMX65548 OWT65526:OWT65548 PGP65526:PGP65548 PQL65526:PQL65548 QAH65526:QAH65548 QKD65526:QKD65548 QTZ65526:QTZ65548 RDV65526:RDV65548 RNR65526:RNR65548 RXN65526:RXN65548 SHJ65526:SHJ65548 SRF65526:SRF65548 TBB65526:TBB65548 TKX65526:TKX65548 TUT65526:TUT65548 UEP65526:UEP65548 UOL65526:UOL65548 UYH65526:UYH65548 VID65526:VID65548 VRZ65526:VRZ65548 WBV65526:WBV65548 WLR65526:WLR65548 WVN65526:WVN65548 C131062:C131084 JB131062:JB131084 SX131062:SX131084 ACT131062:ACT131084 AMP131062:AMP131084 AWL131062:AWL131084 BGH131062:BGH131084 BQD131062:BQD131084 BZZ131062:BZZ131084 CJV131062:CJV131084 CTR131062:CTR131084 DDN131062:DDN131084 DNJ131062:DNJ131084 DXF131062:DXF131084 EHB131062:EHB131084 EQX131062:EQX131084 FAT131062:FAT131084 FKP131062:FKP131084 FUL131062:FUL131084 GEH131062:GEH131084 GOD131062:GOD131084 GXZ131062:GXZ131084 HHV131062:HHV131084 HRR131062:HRR131084 IBN131062:IBN131084 ILJ131062:ILJ131084 IVF131062:IVF131084 JFB131062:JFB131084 JOX131062:JOX131084 JYT131062:JYT131084 KIP131062:KIP131084 KSL131062:KSL131084 LCH131062:LCH131084 LMD131062:LMD131084 LVZ131062:LVZ131084 MFV131062:MFV131084 MPR131062:MPR131084 MZN131062:MZN131084 NJJ131062:NJJ131084 NTF131062:NTF131084 ODB131062:ODB131084 OMX131062:OMX131084 OWT131062:OWT131084 PGP131062:PGP131084 PQL131062:PQL131084 QAH131062:QAH131084 QKD131062:QKD131084 QTZ131062:QTZ131084 RDV131062:RDV131084 RNR131062:RNR131084 RXN131062:RXN131084 SHJ131062:SHJ131084 SRF131062:SRF131084 TBB131062:TBB131084 TKX131062:TKX131084 TUT131062:TUT131084 UEP131062:UEP131084 UOL131062:UOL131084 UYH131062:UYH131084 VID131062:VID131084 VRZ131062:VRZ131084 WBV131062:WBV131084 WLR131062:WLR131084 WVN131062:WVN131084 C196598:C196620 JB196598:JB196620 SX196598:SX196620 ACT196598:ACT196620 AMP196598:AMP196620 AWL196598:AWL196620 BGH196598:BGH196620 BQD196598:BQD196620 BZZ196598:BZZ196620 CJV196598:CJV196620 CTR196598:CTR196620 DDN196598:DDN196620 DNJ196598:DNJ196620 DXF196598:DXF196620 EHB196598:EHB196620 EQX196598:EQX196620 FAT196598:FAT196620 FKP196598:FKP196620 FUL196598:FUL196620 GEH196598:GEH196620 GOD196598:GOD196620 GXZ196598:GXZ196620 HHV196598:HHV196620 HRR196598:HRR196620 IBN196598:IBN196620 ILJ196598:ILJ196620 IVF196598:IVF196620 JFB196598:JFB196620 JOX196598:JOX196620 JYT196598:JYT196620 KIP196598:KIP196620 KSL196598:KSL196620 LCH196598:LCH196620 LMD196598:LMD196620 LVZ196598:LVZ196620 MFV196598:MFV196620 MPR196598:MPR196620 MZN196598:MZN196620 NJJ196598:NJJ196620 NTF196598:NTF196620 ODB196598:ODB196620 OMX196598:OMX196620 OWT196598:OWT196620 PGP196598:PGP196620 PQL196598:PQL196620 QAH196598:QAH196620 QKD196598:QKD196620 QTZ196598:QTZ196620 RDV196598:RDV196620 RNR196598:RNR196620 RXN196598:RXN196620 SHJ196598:SHJ196620 SRF196598:SRF196620 TBB196598:TBB196620 TKX196598:TKX196620 TUT196598:TUT196620 UEP196598:UEP196620 UOL196598:UOL196620 UYH196598:UYH196620 VID196598:VID196620 VRZ196598:VRZ196620 WBV196598:WBV196620 WLR196598:WLR196620 WVN196598:WVN196620 C262134:C262156 JB262134:JB262156 SX262134:SX262156 ACT262134:ACT262156 AMP262134:AMP262156 AWL262134:AWL262156 BGH262134:BGH262156 BQD262134:BQD262156 BZZ262134:BZZ262156 CJV262134:CJV262156 CTR262134:CTR262156 DDN262134:DDN262156 DNJ262134:DNJ262156 DXF262134:DXF262156 EHB262134:EHB262156 EQX262134:EQX262156 FAT262134:FAT262156 FKP262134:FKP262156 FUL262134:FUL262156 GEH262134:GEH262156 GOD262134:GOD262156 GXZ262134:GXZ262156 HHV262134:HHV262156 HRR262134:HRR262156 IBN262134:IBN262156 ILJ262134:ILJ262156 IVF262134:IVF262156 JFB262134:JFB262156 JOX262134:JOX262156 JYT262134:JYT262156 KIP262134:KIP262156 KSL262134:KSL262156 LCH262134:LCH262156 LMD262134:LMD262156 LVZ262134:LVZ262156 MFV262134:MFV262156 MPR262134:MPR262156 MZN262134:MZN262156 NJJ262134:NJJ262156 NTF262134:NTF262156 ODB262134:ODB262156 OMX262134:OMX262156 OWT262134:OWT262156 PGP262134:PGP262156 PQL262134:PQL262156 QAH262134:QAH262156 QKD262134:QKD262156 QTZ262134:QTZ262156 RDV262134:RDV262156 RNR262134:RNR262156 RXN262134:RXN262156 SHJ262134:SHJ262156 SRF262134:SRF262156 TBB262134:TBB262156 TKX262134:TKX262156 TUT262134:TUT262156 UEP262134:UEP262156 UOL262134:UOL262156 UYH262134:UYH262156 VID262134:VID262156 VRZ262134:VRZ262156 WBV262134:WBV262156 WLR262134:WLR262156 WVN262134:WVN262156 C327670:C327692 JB327670:JB327692 SX327670:SX327692 ACT327670:ACT327692 AMP327670:AMP327692 AWL327670:AWL327692 BGH327670:BGH327692 BQD327670:BQD327692 BZZ327670:BZZ327692 CJV327670:CJV327692 CTR327670:CTR327692 DDN327670:DDN327692 DNJ327670:DNJ327692 DXF327670:DXF327692 EHB327670:EHB327692 EQX327670:EQX327692 FAT327670:FAT327692 FKP327670:FKP327692 FUL327670:FUL327692 GEH327670:GEH327692 GOD327670:GOD327692 GXZ327670:GXZ327692 HHV327670:HHV327692 HRR327670:HRR327692 IBN327670:IBN327692 ILJ327670:ILJ327692 IVF327670:IVF327692 JFB327670:JFB327692 JOX327670:JOX327692 JYT327670:JYT327692 KIP327670:KIP327692 KSL327670:KSL327692 LCH327670:LCH327692 LMD327670:LMD327692 LVZ327670:LVZ327692 MFV327670:MFV327692 MPR327670:MPR327692 MZN327670:MZN327692 NJJ327670:NJJ327692 NTF327670:NTF327692 ODB327670:ODB327692 OMX327670:OMX327692 OWT327670:OWT327692 PGP327670:PGP327692 PQL327670:PQL327692 QAH327670:QAH327692 QKD327670:QKD327692 QTZ327670:QTZ327692 RDV327670:RDV327692 RNR327670:RNR327692 RXN327670:RXN327692 SHJ327670:SHJ327692 SRF327670:SRF327692 TBB327670:TBB327692 TKX327670:TKX327692 TUT327670:TUT327692 UEP327670:UEP327692 UOL327670:UOL327692 UYH327670:UYH327692 VID327670:VID327692 VRZ327670:VRZ327692 WBV327670:WBV327692 WLR327670:WLR327692 WVN327670:WVN327692 C393206:C393228 JB393206:JB393228 SX393206:SX393228 ACT393206:ACT393228 AMP393206:AMP393228 AWL393206:AWL393228 BGH393206:BGH393228 BQD393206:BQD393228 BZZ393206:BZZ393228 CJV393206:CJV393228 CTR393206:CTR393228 DDN393206:DDN393228 DNJ393206:DNJ393228 DXF393206:DXF393228 EHB393206:EHB393228 EQX393206:EQX393228 FAT393206:FAT393228 FKP393206:FKP393228 FUL393206:FUL393228 GEH393206:GEH393228 GOD393206:GOD393228 GXZ393206:GXZ393228 HHV393206:HHV393228 HRR393206:HRR393228 IBN393206:IBN393228 ILJ393206:ILJ393228 IVF393206:IVF393228 JFB393206:JFB393228 JOX393206:JOX393228 JYT393206:JYT393228 KIP393206:KIP393228 KSL393206:KSL393228 LCH393206:LCH393228 LMD393206:LMD393228 LVZ393206:LVZ393228 MFV393206:MFV393228 MPR393206:MPR393228 MZN393206:MZN393228 NJJ393206:NJJ393228 NTF393206:NTF393228 ODB393206:ODB393228 OMX393206:OMX393228 OWT393206:OWT393228 PGP393206:PGP393228 PQL393206:PQL393228 QAH393206:QAH393228 QKD393206:QKD393228 QTZ393206:QTZ393228 RDV393206:RDV393228 RNR393206:RNR393228 RXN393206:RXN393228 SHJ393206:SHJ393228 SRF393206:SRF393228 TBB393206:TBB393228 TKX393206:TKX393228 TUT393206:TUT393228 UEP393206:UEP393228 UOL393206:UOL393228 UYH393206:UYH393228 VID393206:VID393228 VRZ393206:VRZ393228 WBV393206:WBV393228 WLR393206:WLR393228 WVN393206:WVN393228 C458742:C458764 JB458742:JB458764 SX458742:SX458764 ACT458742:ACT458764 AMP458742:AMP458764 AWL458742:AWL458764 BGH458742:BGH458764 BQD458742:BQD458764 BZZ458742:BZZ458764 CJV458742:CJV458764 CTR458742:CTR458764 DDN458742:DDN458764 DNJ458742:DNJ458764 DXF458742:DXF458764 EHB458742:EHB458764 EQX458742:EQX458764 FAT458742:FAT458764 FKP458742:FKP458764 FUL458742:FUL458764 GEH458742:GEH458764 GOD458742:GOD458764 GXZ458742:GXZ458764 HHV458742:HHV458764 HRR458742:HRR458764 IBN458742:IBN458764 ILJ458742:ILJ458764 IVF458742:IVF458764 JFB458742:JFB458764 JOX458742:JOX458764 JYT458742:JYT458764 KIP458742:KIP458764 KSL458742:KSL458764 LCH458742:LCH458764 LMD458742:LMD458764 LVZ458742:LVZ458764 MFV458742:MFV458764 MPR458742:MPR458764 MZN458742:MZN458764 NJJ458742:NJJ458764 NTF458742:NTF458764 ODB458742:ODB458764 OMX458742:OMX458764 OWT458742:OWT458764 PGP458742:PGP458764 PQL458742:PQL458764 QAH458742:QAH458764 QKD458742:QKD458764 QTZ458742:QTZ458764 RDV458742:RDV458764 RNR458742:RNR458764 RXN458742:RXN458764 SHJ458742:SHJ458764 SRF458742:SRF458764 TBB458742:TBB458764 TKX458742:TKX458764 TUT458742:TUT458764 UEP458742:UEP458764 UOL458742:UOL458764 UYH458742:UYH458764 VID458742:VID458764 VRZ458742:VRZ458764 WBV458742:WBV458764 WLR458742:WLR458764 WVN458742:WVN458764 C524278:C524300 JB524278:JB524300 SX524278:SX524300 ACT524278:ACT524300 AMP524278:AMP524300 AWL524278:AWL524300 BGH524278:BGH524300 BQD524278:BQD524300 BZZ524278:BZZ524300 CJV524278:CJV524300 CTR524278:CTR524300 DDN524278:DDN524300 DNJ524278:DNJ524300 DXF524278:DXF524300 EHB524278:EHB524300 EQX524278:EQX524300 FAT524278:FAT524300 FKP524278:FKP524300 FUL524278:FUL524300 GEH524278:GEH524300 GOD524278:GOD524300 GXZ524278:GXZ524300 HHV524278:HHV524300 HRR524278:HRR524300 IBN524278:IBN524300 ILJ524278:ILJ524300 IVF524278:IVF524300 JFB524278:JFB524300 JOX524278:JOX524300 JYT524278:JYT524300 KIP524278:KIP524300 KSL524278:KSL524300 LCH524278:LCH524300 LMD524278:LMD524300 LVZ524278:LVZ524300 MFV524278:MFV524300 MPR524278:MPR524300 MZN524278:MZN524300 NJJ524278:NJJ524300 NTF524278:NTF524300 ODB524278:ODB524300 OMX524278:OMX524300 OWT524278:OWT524300 PGP524278:PGP524300 PQL524278:PQL524300 QAH524278:QAH524300 QKD524278:QKD524300 QTZ524278:QTZ524300 RDV524278:RDV524300 RNR524278:RNR524300 RXN524278:RXN524300 SHJ524278:SHJ524300 SRF524278:SRF524300 TBB524278:TBB524300 TKX524278:TKX524300 TUT524278:TUT524300 UEP524278:UEP524300 UOL524278:UOL524300 UYH524278:UYH524300 VID524278:VID524300 VRZ524278:VRZ524300 WBV524278:WBV524300 WLR524278:WLR524300 WVN524278:WVN524300 C589814:C589836 JB589814:JB589836 SX589814:SX589836 ACT589814:ACT589836 AMP589814:AMP589836 AWL589814:AWL589836 BGH589814:BGH589836 BQD589814:BQD589836 BZZ589814:BZZ589836 CJV589814:CJV589836 CTR589814:CTR589836 DDN589814:DDN589836 DNJ589814:DNJ589836 DXF589814:DXF589836 EHB589814:EHB589836 EQX589814:EQX589836 FAT589814:FAT589836 FKP589814:FKP589836 FUL589814:FUL589836 GEH589814:GEH589836 GOD589814:GOD589836 GXZ589814:GXZ589836 HHV589814:HHV589836 HRR589814:HRR589836 IBN589814:IBN589836 ILJ589814:ILJ589836 IVF589814:IVF589836 JFB589814:JFB589836 JOX589814:JOX589836 JYT589814:JYT589836 KIP589814:KIP589836 KSL589814:KSL589836 LCH589814:LCH589836 LMD589814:LMD589836 LVZ589814:LVZ589836 MFV589814:MFV589836 MPR589814:MPR589836 MZN589814:MZN589836 NJJ589814:NJJ589836 NTF589814:NTF589836 ODB589814:ODB589836 OMX589814:OMX589836 OWT589814:OWT589836 PGP589814:PGP589836 PQL589814:PQL589836 QAH589814:QAH589836 QKD589814:QKD589836 QTZ589814:QTZ589836 RDV589814:RDV589836 RNR589814:RNR589836 RXN589814:RXN589836 SHJ589814:SHJ589836 SRF589814:SRF589836 TBB589814:TBB589836 TKX589814:TKX589836 TUT589814:TUT589836 UEP589814:UEP589836 UOL589814:UOL589836 UYH589814:UYH589836 VID589814:VID589836 VRZ589814:VRZ589836 WBV589814:WBV589836 WLR589814:WLR589836 WVN589814:WVN589836 C655350:C655372 JB655350:JB655372 SX655350:SX655372 ACT655350:ACT655372 AMP655350:AMP655372 AWL655350:AWL655372 BGH655350:BGH655372 BQD655350:BQD655372 BZZ655350:BZZ655372 CJV655350:CJV655372 CTR655350:CTR655372 DDN655350:DDN655372 DNJ655350:DNJ655372 DXF655350:DXF655372 EHB655350:EHB655372 EQX655350:EQX655372 FAT655350:FAT655372 FKP655350:FKP655372 FUL655350:FUL655372 GEH655350:GEH655372 GOD655350:GOD655372 GXZ655350:GXZ655372 HHV655350:HHV655372 HRR655350:HRR655372 IBN655350:IBN655372 ILJ655350:ILJ655372 IVF655350:IVF655372 JFB655350:JFB655372 JOX655350:JOX655372 JYT655350:JYT655372 KIP655350:KIP655372 KSL655350:KSL655372 LCH655350:LCH655372 LMD655350:LMD655372 LVZ655350:LVZ655372 MFV655350:MFV655372 MPR655350:MPR655372 MZN655350:MZN655372 NJJ655350:NJJ655372 NTF655350:NTF655372 ODB655350:ODB655372 OMX655350:OMX655372 OWT655350:OWT655372 PGP655350:PGP655372 PQL655350:PQL655372 QAH655350:QAH655372 QKD655350:QKD655372 QTZ655350:QTZ655372 RDV655350:RDV655372 RNR655350:RNR655372 RXN655350:RXN655372 SHJ655350:SHJ655372 SRF655350:SRF655372 TBB655350:TBB655372 TKX655350:TKX655372 TUT655350:TUT655372 UEP655350:UEP655372 UOL655350:UOL655372 UYH655350:UYH655372 VID655350:VID655372 VRZ655350:VRZ655372 WBV655350:WBV655372 WLR655350:WLR655372 WVN655350:WVN655372 C720886:C720908 JB720886:JB720908 SX720886:SX720908 ACT720886:ACT720908 AMP720886:AMP720908 AWL720886:AWL720908 BGH720886:BGH720908 BQD720886:BQD720908 BZZ720886:BZZ720908 CJV720886:CJV720908 CTR720886:CTR720908 DDN720886:DDN720908 DNJ720886:DNJ720908 DXF720886:DXF720908 EHB720886:EHB720908 EQX720886:EQX720908 FAT720886:FAT720908 FKP720886:FKP720908 FUL720886:FUL720908 GEH720886:GEH720908 GOD720886:GOD720908 GXZ720886:GXZ720908 HHV720886:HHV720908 HRR720886:HRR720908 IBN720886:IBN720908 ILJ720886:ILJ720908 IVF720886:IVF720908 JFB720886:JFB720908 JOX720886:JOX720908 JYT720886:JYT720908 KIP720886:KIP720908 KSL720886:KSL720908 LCH720886:LCH720908 LMD720886:LMD720908 LVZ720886:LVZ720908 MFV720886:MFV720908 MPR720886:MPR720908 MZN720886:MZN720908 NJJ720886:NJJ720908 NTF720886:NTF720908 ODB720886:ODB720908 OMX720886:OMX720908 OWT720886:OWT720908 PGP720886:PGP720908 PQL720886:PQL720908 QAH720886:QAH720908 QKD720886:QKD720908 QTZ720886:QTZ720908 RDV720886:RDV720908 RNR720886:RNR720908 RXN720886:RXN720908 SHJ720886:SHJ720908 SRF720886:SRF720908 TBB720886:TBB720908 TKX720886:TKX720908 TUT720886:TUT720908 UEP720886:UEP720908 UOL720886:UOL720908 UYH720886:UYH720908 VID720886:VID720908 VRZ720886:VRZ720908 WBV720886:WBV720908 WLR720886:WLR720908 WVN720886:WVN720908 C786422:C786444 JB786422:JB786444 SX786422:SX786444 ACT786422:ACT786444 AMP786422:AMP786444 AWL786422:AWL786444 BGH786422:BGH786444 BQD786422:BQD786444 BZZ786422:BZZ786444 CJV786422:CJV786444 CTR786422:CTR786444 DDN786422:DDN786444 DNJ786422:DNJ786444 DXF786422:DXF786444 EHB786422:EHB786444 EQX786422:EQX786444 FAT786422:FAT786444 FKP786422:FKP786444 FUL786422:FUL786444 GEH786422:GEH786444 GOD786422:GOD786444 GXZ786422:GXZ786444 HHV786422:HHV786444 HRR786422:HRR786444 IBN786422:IBN786444 ILJ786422:ILJ786444 IVF786422:IVF786444 JFB786422:JFB786444 JOX786422:JOX786444 JYT786422:JYT786444 KIP786422:KIP786444 KSL786422:KSL786444 LCH786422:LCH786444 LMD786422:LMD786444 LVZ786422:LVZ786444 MFV786422:MFV786444 MPR786422:MPR786444 MZN786422:MZN786444 NJJ786422:NJJ786444 NTF786422:NTF786444 ODB786422:ODB786444 OMX786422:OMX786444 OWT786422:OWT786444 PGP786422:PGP786444 PQL786422:PQL786444 QAH786422:QAH786444 QKD786422:QKD786444 QTZ786422:QTZ786444 RDV786422:RDV786444 RNR786422:RNR786444 RXN786422:RXN786444 SHJ786422:SHJ786444 SRF786422:SRF786444 TBB786422:TBB786444 TKX786422:TKX786444 TUT786422:TUT786444 UEP786422:UEP786444 UOL786422:UOL786444 UYH786422:UYH786444 VID786422:VID786444 VRZ786422:VRZ786444 WBV786422:WBV786444 WLR786422:WLR786444 WVN786422:WVN786444 C851958:C851980 JB851958:JB851980 SX851958:SX851980 ACT851958:ACT851980 AMP851958:AMP851980 AWL851958:AWL851980 BGH851958:BGH851980 BQD851958:BQD851980 BZZ851958:BZZ851980 CJV851958:CJV851980 CTR851958:CTR851980 DDN851958:DDN851980 DNJ851958:DNJ851980 DXF851958:DXF851980 EHB851958:EHB851980 EQX851958:EQX851980 FAT851958:FAT851980 FKP851958:FKP851980 FUL851958:FUL851980 GEH851958:GEH851980 GOD851958:GOD851980 GXZ851958:GXZ851980 HHV851958:HHV851980 HRR851958:HRR851980 IBN851958:IBN851980 ILJ851958:ILJ851980 IVF851958:IVF851980 JFB851958:JFB851980 JOX851958:JOX851980 JYT851958:JYT851980 KIP851958:KIP851980 KSL851958:KSL851980 LCH851958:LCH851980 LMD851958:LMD851980 LVZ851958:LVZ851980 MFV851958:MFV851980 MPR851958:MPR851980 MZN851958:MZN851980 NJJ851958:NJJ851980 NTF851958:NTF851980 ODB851958:ODB851980 OMX851958:OMX851980 OWT851958:OWT851980 PGP851958:PGP851980 PQL851958:PQL851980 QAH851958:QAH851980 QKD851958:QKD851980 QTZ851958:QTZ851980 RDV851958:RDV851980 RNR851958:RNR851980 RXN851958:RXN851980 SHJ851958:SHJ851980 SRF851958:SRF851980 TBB851958:TBB851980 TKX851958:TKX851980 TUT851958:TUT851980 UEP851958:UEP851980 UOL851958:UOL851980 UYH851958:UYH851980 VID851958:VID851980 VRZ851958:VRZ851980 WBV851958:WBV851980 WLR851958:WLR851980 WVN851958:WVN851980 C917494:C917516 JB917494:JB917516 SX917494:SX917516 ACT917494:ACT917516 AMP917494:AMP917516 AWL917494:AWL917516 BGH917494:BGH917516 BQD917494:BQD917516 BZZ917494:BZZ917516 CJV917494:CJV917516 CTR917494:CTR917516 DDN917494:DDN917516 DNJ917494:DNJ917516 DXF917494:DXF917516 EHB917494:EHB917516 EQX917494:EQX917516 FAT917494:FAT917516 FKP917494:FKP917516 FUL917494:FUL917516 GEH917494:GEH917516 GOD917494:GOD917516 GXZ917494:GXZ917516 HHV917494:HHV917516 HRR917494:HRR917516 IBN917494:IBN917516 ILJ917494:ILJ917516 IVF917494:IVF917516 JFB917494:JFB917516 JOX917494:JOX917516 JYT917494:JYT917516 KIP917494:KIP917516 KSL917494:KSL917516 LCH917494:LCH917516 LMD917494:LMD917516 LVZ917494:LVZ917516 MFV917494:MFV917516 MPR917494:MPR917516 MZN917494:MZN917516 NJJ917494:NJJ917516 NTF917494:NTF917516 ODB917494:ODB917516 OMX917494:OMX917516 OWT917494:OWT917516 PGP917494:PGP917516 PQL917494:PQL917516 QAH917494:QAH917516 QKD917494:QKD917516 QTZ917494:QTZ917516 RDV917494:RDV917516 RNR917494:RNR917516 RXN917494:RXN917516 SHJ917494:SHJ917516 SRF917494:SRF917516 TBB917494:TBB917516 TKX917494:TKX917516 TUT917494:TUT917516 UEP917494:UEP917516 UOL917494:UOL917516 UYH917494:UYH917516 VID917494:VID917516 VRZ917494:VRZ917516 WBV917494:WBV917516 WLR917494:WLR917516 WVN917494:WVN917516 C983030:C983052 JB983030:JB983052 SX983030:SX983052 ACT983030:ACT983052 AMP983030:AMP983052 AWL983030:AWL983052 BGH983030:BGH983052 BQD983030:BQD983052 BZZ983030:BZZ983052 CJV983030:CJV983052 CTR983030:CTR983052 DDN983030:DDN983052 DNJ983030:DNJ983052 DXF983030:DXF983052 EHB983030:EHB983052 EQX983030:EQX983052 FAT983030:FAT983052 FKP983030:FKP983052 FUL983030:FUL983052 GEH983030:GEH983052 GOD983030:GOD983052 GXZ983030:GXZ983052 HHV983030:HHV983052 HRR983030:HRR983052 IBN983030:IBN983052 ILJ983030:ILJ983052 IVF983030:IVF983052 JFB983030:JFB983052 JOX983030:JOX983052 JYT983030:JYT983052 KIP983030:KIP983052 KSL983030:KSL983052 LCH983030:LCH983052 LMD983030:LMD983052 LVZ983030:LVZ983052 MFV983030:MFV983052 MPR983030:MPR983052 MZN983030:MZN983052 NJJ983030:NJJ983052 NTF983030:NTF983052 ODB983030:ODB983052 OMX983030:OMX983052 OWT983030:OWT983052 PGP983030:PGP983052 PQL983030:PQL983052 QAH983030:QAH983052 QKD983030:QKD983052 QTZ983030:QTZ983052 RDV983030:RDV983052 RNR983030:RNR983052 RXN983030:RXN983052 SHJ983030:SHJ983052 SRF983030:SRF983052 TBB983030:TBB983052 TKX983030:TKX983052 TUT983030:TUT983052 UEP983030:UEP983052 UOL983030:UOL983052 UYH983030:UYH983052 VID983030:VID983052 VRZ983030:VRZ983052 WBV983030:WBV983052 WLR983030:WLR983052 WVN983030:WVN983052 N65526:N65548 JJ65526:JJ65548 TF65526:TF65548 ADB65526:ADB65548 AMX65526:AMX65548 AWT65526:AWT65548 BGP65526:BGP65548 BQL65526:BQL65548 CAH65526:CAH65548 CKD65526:CKD65548 CTZ65526:CTZ65548 DDV65526:DDV65548 DNR65526:DNR65548 DXN65526:DXN65548 EHJ65526:EHJ65548 ERF65526:ERF65548 FBB65526:FBB65548 FKX65526:FKX65548 FUT65526:FUT65548 GEP65526:GEP65548 GOL65526:GOL65548 GYH65526:GYH65548 HID65526:HID65548 HRZ65526:HRZ65548 IBV65526:IBV65548 ILR65526:ILR65548 IVN65526:IVN65548 JFJ65526:JFJ65548 JPF65526:JPF65548 JZB65526:JZB65548 KIX65526:KIX65548 KST65526:KST65548 LCP65526:LCP65548 LML65526:LML65548 LWH65526:LWH65548 MGD65526:MGD65548 MPZ65526:MPZ65548 MZV65526:MZV65548 NJR65526:NJR65548 NTN65526:NTN65548 ODJ65526:ODJ65548 ONF65526:ONF65548 OXB65526:OXB65548 PGX65526:PGX65548 PQT65526:PQT65548 QAP65526:QAP65548 QKL65526:QKL65548 QUH65526:QUH65548 RED65526:RED65548 RNZ65526:RNZ65548 RXV65526:RXV65548 SHR65526:SHR65548 SRN65526:SRN65548 TBJ65526:TBJ65548 TLF65526:TLF65548 TVB65526:TVB65548 UEX65526:UEX65548 UOT65526:UOT65548 UYP65526:UYP65548 VIL65526:VIL65548 VSH65526:VSH65548 WCD65526:WCD65548 WLZ65526:WLZ65548 WVV65526:WVV65548 N131062:N131084 JJ131062:JJ131084 TF131062:TF131084 ADB131062:ADB131084 AMX131062:AMX131084 AWT131062:AWT131084 BGP131062:BGP131084 BQL131062:BQL131084 CAH131062:CAH131084 CKD131062:CKD131084 CTZ131062:CTZ131084 DDV131062:DDV131084 DNR131062:DNR131084 DXN131062:DXN131084 EHJ131062:EHJ131084 ERF131062:ERF131084 FBB131062:FBB131084 FKX131062:FKX131084 FUT131062:FUT131084 GEP131062:GEP131084 GOL131062:GOL131084 GYH131062:GYH131084 HID131062:HID131084 HRZ131062:HRZ131084 IBV131062:IBV131084 ILR131062:ILR131084 IVN131062:IVN131084 JFJ131062:JFJ131084 JPF131062:JPF131084 JZB131062:JZB131084 KIX131062:KIX131084 KST131062:KST131084 LCP131062:LCP131084 LML131062:LML131084 LWH131062:LWH131084 MGD131062:MGD131084 MPZ131062:MPZ131084 MZV131062:MZV131084 NJR131062:NJR131084 NTN131062:NTN131084 ODJ131062:ODJ131084 ONF131062:ONF131084 OXB131062:OXB131084 PGX131062:PGX131084 PQT131062:PQT131084 QAP131062:QAP131084 QKL131062:QKL131084 QUH131062:QUH131084 RED131062:RED131084 RNZ131062:RNZ131084 RXV131062:RXV131084 SHR131062:SHR131084 SRN131062:SRN131084 TBJ131062:TBJ131084 TLF131062:TLF131084 TVB131062:TVB131084 UEX131062:UEX131084 UOT131062:UOT131084 UYP131062:UYP131084 VIL131062:VIL131084 VSH131062:VSH131084 WCD131062:WCD131084 WLZ131062:WLZ131084 WVV131062:WVV131084 N196598:N196620 JJ196598:JJ196620 TF196598:TF196620 ADB196598:ADB196620 AMX196598:AMX196620 AWT196598:AWT196620 BGP196598:BGP196620 BQL196598:BQL196620 CAH196598:CAH196620 CKD196598:CKD196620 CTZ196598:CTZ196620 DDV196598:DDV196620 DNR196598:DNR196620 DXN196598:DXN196620 EHJ196598:EHJ196620 ERF196598:ERF196620 FBB196598:FBB196620 FKX196598:FKX196620 FUT196598:FUT196620 GEP196598:GEP196620 GOL196598:GOL196620 GYH196598:GYH196620 HID196598:HID196620 HRZ196598:HRZ196620 IBV196598:IBV196620 ILR196598:ILR196620 IVN196598:IVN196620 JFJ196598:JFJ196620 JPF196598:JPF196620 JZB196598:JZB196620 KIX196598:KIX196620 KST196598:KST196620 LCP196598:LCP196620 LML196598:LML196620 LWH196598:LWH196620 MGD196598:MGD196620 MPZ196598:MPZ196620 MZV196598:MZV196620 NJR196598:NJR196620 NTN196598:NTN196620 ODJ196598:ODJ196620 ONF196598:ONF196620 OXB196598:OXB196620 PGX196598:PGX196620 PQT196598:PQT196620 QAP196598:QAP196620 QKL196598:QKL196620 QUH196598:QUH196620 RED196598:RED196620 RNZ196598:RNZ196620 RXV196598:RXV196620 SHR196598:SHR196620 SRN196598:SRN196620 TBJ196598:TBJ196620 TLF196598:TLF196620 TVB196598:TVB196620 UEX196598:UEX196620 UOT196598:UOT196620 UYP196598:UYP196620 VIL196598:VIL196620 VSH196598:VSH196620 WCD196598:WCD196620 WLZ196598:WLZ196620 WVV196598:WVV196620 N262134:N262156 JJ262134:JJ262156 TF262134:TF262156 ADB262134:ADB262156 AMX262134:AMX262156 AWT262134:AWT262156 BGP262134:BGP262156 BQL262134:BQL262156 CAH262134:CAH262156 CKD262134:CKD262156 CTZ262134:CTZ262156 DDV262134:DDV262156 DNR262134:DNR262156 DXN262134:DXN262156 EHJ262134:EHJ262156 ERF262134:ERF262156 FBB262134:FBB262156 FKX262134:FKX262156 FUT262134:FUT262156 GEP262134:GEP262156 GOL262134:GOL262156 GYH262134:GYH262156 HID262134:HID262156 HRZ262134:HRZ262156 IBV262134:IBV262156 ILR262134:ILR262156 IVN262134:IVN262156 JFJ262134:JFJ262156 JPF262134:JPF262156 JZB262134:JZB262156 KIX262134:KIX262156 KST262134:KST262156 LCP262134:LCP262156 LML262134:LML262156 LWH262134:LWH262156 MGD262134:MGD262156 MPZ262134:MPZ262156 MZV262134:MZV262156 NJR262134:NJR262156 NTN262134:NTN262156 ODJ262134:ODJ262156 ONF262134:ONF262156 OXB262134:OXB262156 PGX262134:PGX262156 PQT262134:PQT262156 QAP262134:QAP262156 QKL262134:QKL262156 QUH262134:QUH262156 RED262134:RED262156 RNZ262134:RNZ262156 RXV262134:RXV262156 SHR262134:SHR262156 SRN262134:SRN262156 TBJ262134:TBJ262156 TLF262134:TLF262156 TVB262134:TVB262156 UEX262134:UEX262156 UOT262134:UOT262156 UYP262134:UYP262156 VIL262134:VIL262156 VSH262134:VSH262156 WCD262134:WCD262156 WLZ262134:WLZ262156 WVV262134:WVV262156 N327670:N327692 JJ327670:JJ327692 TF327670:TF327692 ADB327670:ADB327692 AMX327670:AMX327692 AWT327670:AWT327692 BGP327670:BGP327692 BQL327670:BQL327692 CAH327670:CAH327692 CKD327670:CKD327692 CTZ327670:CTZ327692 DDV327670:DDV327692 DNR327670:DNR327692 DXN327670:DXN327692 EHJ327670:EHJ327692 ERF327670:ERF327692 FBB327670:FBB327692 FKX327670:FKX327692 FUT327670:FUT327692 GEP327670:GEP327692 GOL327670:GOL327692 GYH327670:GYH327692 HID327670:HID327692 HRZ327670:HRZ327692 IBV327670:IBV327692 ILR327670:ILR327692 IVN327670:IVN327692 JFJ327670:JFJ327692 JPF327670:JPF327692 JZB327670:JZB327692 KIX327670:KIX327692 KST327670:KST327692 LCP327670:LCP327692 LML327670:LML327692 LWH327670:LWH327692 MGD327670:MGD327692 MPZ327670:MPZ327692 MZV327670:MZV327692 NJR327670:NJR327692 NTN327670:NTN327692 ODJ327670:ODJ327692 ONF327670:ONF327692 OXB327670:OXB327692 PGX327670:PGX327692 PQT327670:PQT327692 QAP327670:QAP327692 QKL327670:QKL327692 QUH327670:QUH327692 RED327670:RED327692 RNZ327670:RNZ327692 RXV327670:RXV327692 SHR327670:SHR327692 SRN327670:SRN327692 TBJ327670:TBJ327692 TLF327670:TLF327692 TVB327670:TVB327692 UEX327670:UEX327692 UOT327670:UOT327692 UYP327670:UYP327692 VIL327670:VIL327692 VSH327670:VSH327692 WCD327670:WCD327692 WLZ327670:WLZ327692 WVV327670:WVV327692 N393206:N393228 JJ393206:JJ393228 TF393206:TF393228 ADB393206:ADB393228 AMX393206:AMX393228 AWT393206:AWT393228 BGP393206:BGP393228 BQL393206:BQL393228 CAH393206:CAH393228 CKD393206:CKD393228 CTZ393206:CTZ393228 DDV393206:DDV393228 DNR393206:DNR393228 DXN393206:DXN393228 EHJ393206:EHJ393228 ERF393206:ERF393228 FBB393206:FBB393228 FKX393206:FKX393228 FUT393206:FUT393228 GEP393206:GEP393228 GOL393206:GOL393228 GYH393206:GYH393228 HID393206:HID393228 HRZ393206:HRZ393228 IBV393206:IBV393228 ILR393206:ILR393228 IVN393206:IVN393228 JFJ393206:JFJ393228 JPF393206:JPF393228 JZB393206:JZB393228 KIX393206:KIX393228 KST393206:KST393228 LCP393206:LCP393228 LML393206:LML393228 LWH393206:LWH393228 MGD393206:MGD393228 MPZ393206:MPZ393228 MZV393206:MZV393228 NJR393206:NJR393228 NTN393206:NTN393228 ODJ393206:ODJ393228 ONF393206:ONF393228 OXB393206:OXB393228 PGX393206:PGX393228 PQT393206:PQT393228 QAP393206:QAP393228 QKL393206:QKL393228 QUH393206:QUH393228 RED393206:RED393228 RNZ393206:RNZ393228 RXV393206:RXV393228 SHR393206:SHR393228 SRN393206:SRN393228 TBJ393206:TBJ393228 TLF393206:TLF393228 TVB393206:TVB393228 UEX393206:UEX393228 UOT393206:UOT393228 UYP393206:UYP393228 VIL393206:VIL393228 VSH393206:VSH393228 WCD393206:WCD393228 WLZ393206:WLZ393228 WVV393206:WVV393228 N458742:N458764 JJ458742:JJ458764 TF458742:TF458764 ADB458742:ADB458764 AMX458742:AMX458764 AWT458742:AWT458764 BGP458742:BGP458764 BQL458742:BQL458764 CAH458742:CAH458764 CKD458742:CKD458764 CTZ458742:CTZ458764 DDV458742:DDV458764 DNR458742:DNR458764 DXN458742:DXN458764 EHJ458742:EHJ458764 ERF458742:ERF458764 FBB458742:FBB458764 FKX458742:FKX458764 FUT458742:FUT458764 GEP458742:GEP458764 GOL458742:GOL458764 GYH458742:GYH458764 HID458742:HID458764 HRZ458742:HRZ458764 IBV458742:IBV458764 ILR458742:ILR458764 IVN458742:IVN458764 JFJ458742:JFJ458764 JPF458742:JPF458764 JZB458742:JZB458764 KIX458742:KIX458764 KST458742:KST458764 LCP458742:LCP458764 LML458742:LML458764 LWH458742:LWH458764 MGD458742:MGD458764 MPZ458742:MPZ458764 MZV458742:MZV458764 NJR458742:NJR458764 NTN458742:NTN458764 ODJ458742:ODJ458764 ONF458742:ONF458764 OXB458742:OXB458764 PGX458742:PGX458764 PQT458742:PQT458764 QAP458742:QAP458764 QKL458742:QKL458764 QUH458742:QUH458764 RED458742:RED458764 RNZ458742:RNZ458764 RXV458742:RXV458764 SHR458742:SHR458764 SRN458742:SRN458764 TBJ458742:TBJ458764 TLF458742:TLF458764 TVB458742:TVB458764 UEX458742:UEX458764 UOT458742:UOT458764 UYP458742:UYP458764 VIL458742:VIL458764 VSH458742:VSH458764 WCD458742:WCD458764 WLZ458742:WLZ458764 WVV458742:WVV458764 N524278:N524300 JJ524278:JJ524300 TF524278:TF524300 ADB524278:ADB524300 AMX524278:AMX524300 AWT524278:AWT524300 BGP524278:BGP524300 BQL524278:BQL524300 CAH524278:CAH524300 CKD524278:CKD524300 CTZ524278:CTZ524300 DDV524278:DDV524300 DNR524278:DNR524300 DXN524278:DXN524300 EHJ524278:EHJ524300 ERF524278:ERF524300 FBB524278:FBB524300 FKX524278:FKX524300 FUT524278:FUT524300 GEP524278:GEP524300 GOL524278:GOL524300 GYH524278:GYH524300 HID524278:HID524300 HRZ524278:HRZ524300 IBV524278:IBV524300 ILR524278:ILR524300 IVN524278:IVN524300 JFJ524278:JFJ524300 JPF524278:JPF524300 JZB524278:JZB524300 KIX524278:KIX524300 KST524278:KST524300 LCP524278:LCP524300 LML524278:LML524300 LWH524278:LWH524300 MGD524278:MGD524300 MPZ524278:MPZ524300 MZV524278:MZV524300 NJR524278:NJR524300 NTN524278:NTN524300 ODJ524278:ODJ524300 ONF524278:ONF524300 OXB524278:OXB524300 PGX524278:PGX524300 PQT524278:PQT524300 QAP524278:QAP524300 QKL524278:QKL524300 QUH524278:QUH524300 RED524278:RED524300 RNZ524278:RNZ524300 RXV524278:RXV524300 SHR524278:SHR524300 SRN524278:SRN524300 TBJ524278:TBJ524300 TLF524278:TLF524300 TVB524278:TVB524300 UEX524278:UEX524300 UOT524278:UOT524300 UYP524278:UYP524300 VIL524278:VIL524300 VSH524278:VSH524300 WCD524278:WCD524300 WLZ524278:WLZ524300 WVV524278:WVV524300 N589814:N589836 JJ589814:JJ589836 TF589814:TF589836 ADB589814:ADB589836 AMX589814:AMX589836 AWT589814:AWT589836 BGP589814:BGP589836 BQL589814:BQL589836 CAH589814:CAH589836 CKD589814:CKD589836 CTZ589814:CTZ589836 DDV589814:DDV589836 DNR589814:DNR589836 DXN589814:DXN589836 EHJ589814:EHJ589836 ERF589814:ERF589836 FBB589814:FBB589836 FKX589814:FKX589836 FUT589814:FUT589836 GEP589814:GEP589836 GOL589814:GOL589836 GYH589814:GYH589836 HID589814:HID589836 HRZ589814:HRZ589836 IBV589814:IBV589836 ILR589814:ILR589836 IVN589814:IVN589836 JFJ589814:JFJ589836 JPF589814:JPF589836 JZB589814:JZB589836 KIX589814:KIX589836 KST589814:KST589836 LCP589814:LCP589836 LML589814:LML589836 LWH589814:LWH589836 MGD589814:MGD589836 MPZ589814:MPZ589836 MZV589814:MZV589836 NJR589814:NJR589836 NTN589814:NTN589836 ODJ589814:ODJ589836 ONF589814:ONF589836 OXB589814:OXB589836 PGX589814:PGX589836 PQT589814:PQT589836 QAP589814:QAP589836 QKL589814:QKL589836 QUH589814:QUH589836 RED589814:RED589836 RNZ589814:RNZ589836 RXV589814:RXV589836 SHR589814:SHR589836 SRN589814:SRN589836 TBJ589814:TBJ589836 TLF589814:TLF589836 TVB589814:TVB589836 UEX589814:UEX589836 UOT589814:UOT589836 UYP589814:UYP589836 VIL589814:VIL589836 VSH589814:VSH589836 WCD589814:WCD589836 WLZ589814:WLZ589836 WVV589814:WVV589836 N655350:N655372 JJ655350:JJ655372 TF655350:TF655372 ADB655350:ADB655372 AMX655350:AMX655372 AWT655350:AWT655372 BGP655350:BGP655372 BQL655350:BQL655372 CAH655350:CAH655372 CKD655350:CKD655372 CTZ655350:CTZ655372 DDV655350:DDV655372 DNR655350:DNR655372 DXN655350:DXN655372 EHJ655350:EHJ655372 ERF655350:ERF655372 FBB655350:FBB655372 FKX655350:FKX655372 FUT655350:FUT655372 GEP655350:GEP655372 GOL655350:GOL655372 GYH655350:GYH655372 HID655350:HID655372 HRZ655350:HRZ655372 IBV655350:IBV655372 ILR655350:ILR655372 IVN655350:IVN655372 JFJ655350:JFJ655372 JPF655350:JPF655372 JZB655350:JZB655372 KIX655350:KIX655372 KST655350:KST655372 LCP655350:LCP655372 LML655350:LML655372 LWH655350:LWH655372 MGD655350:MGD655372 MPZ655350:MPZ655372 MZV655350:MZV655372 NJR655350:NJR655372 NTN655350:NTN655372 ODJ655350:ODJ655372 ONF655350:ONF655372 OXB655350:OXB655372 PGX655350:PGX655372 PQT655350:PQT655372 QAP655350:QAP655372 QKL655350:QKL655372 QUH655350:QUH655372 RED655350:RED655372 RNZ655350:RNZ655372 RXV655350:RXV655372 SHR655350:SHR655372 SRN655350:SRN655372 TBJ655350:TBJ655372 TLF655350:TLF655372 TVB655350:TVB655372 UEX655350:UEX655372 UOT655350:UOT655372 UYP655350:UYP655372 VIL655350:VIL655372 VSH655350:VSH655372 WCD655350:WCD655372 WLZ655350:WLZ655372 WVV655350:WVV655372 N720886:N720908 JJ720886:JJ720908 TF720886:TF720908 ADB720886:ADB720908 AMX720886:AMX720908 AWT720886:AWT720908 BGP720886:BGP720908 BQL720886:BQL720908 CAH720886:CAH720908 CKD720886:CKD720908 CTZ720886:CTZ720908 DDV720886:DDV720908 DNR720886:DNR720908 DXN720886:DXN720908 EHJ720886:EHJ720908 ERF720886:ERF720908 FBB720886:FBB720908 FKX720886:FKX720908 FUT720886:FUT720908 GEP720886:GEP720908 GOL720886:GOL720908 GYH720886:GYH720908 HID720886:HID720908 HRZ720886:HRZ720908 IBV720886:IBV720908 ILR720886:ILR720908 IVN720886:IVN720908 JFJ720886:JFJ720908 JPF720886:JPF720908 JZB720886:JZB720908 KIX720886:KIX720908 KST720886:KST720908 LCP720886:LCP720908 LML720886:LML720908 LWH720886:LWH720908 MGD720886:MGD720908 MPZ720886:MPZ720908 MZV720886:MZV720908 NJR720886:NJR720908 NTN720886:NTN720908 ODJ720886:ODJ720908 ONF720886:ONF720908 OXB720886:OXB720908 PGX720886:PGX720908 PQT720886:PQT720908 QAP720886:QAP720908 QKL720886:QKL720908 QUH720886:QUH720908 RED720886:RED720908 RNZ720886:RNZ720908 RXV720886:RXV720908 SHR720886:SHR720908 SRN720886:SRN720908 TBJ720886:TBJ720908 TLF720886:TLF720908 TVB720886:TVB720908 UEX720886:UEX720908 UOT720886:UOT720908 UYP720886:UYP720908 VIL720886:VIL720908 VSH720886:VSH720908 WCD720886:WCD720908 WLZ720886:WLZ720908 WVV720886:WVV720908 N786422:N786444 JJ786422:JJ786444 TF786422:TF786444 ADB786422:ADB786444 AMX786422:AMX786444 AWT786422:AWT786444 BGP786422:BGP786444 BQL786422:BQL786444 CAH786422:CAH786444 CKD786422:CKD786444 CTZ786422:CTZ786444 DDV786422:DDV786444 DNR786422:DNR786444 DXN786422:DXN786444 EHJ786422:EHJ786444 ERF786422:ERF786444 FBB786422:FBB786444 FKX786422:FKX786444 FUT786422:FUT786444 GEP786422:GEP786444 GOL786422:GOL786444 GYH786422:GYH786444 HID786422:HID786444 HRZ786422:HRZ786444 IBV786422:IBV786444 ILR786422:ILR786444 IVN786422:IVN786444 JFJ786422:JFJ786444 JPF786422:JPF786444 JZB786422:JZB786444 KIX786422:KIX786444 KST786422:KST786444 LCP786422:LCP786444 LML786422:LML786444 LWH786422:LWH786444 MGD786422:MGD786444 MPZ786422:MPZ786444 MZV786422:MZV786444 NJR786422:NJR786444 NTN786422:NTN786444 ODJ786422:ODJ786444 ONF786422:ONF786444 OXB786422:OXB786444 PGX786422:PGX786444 PQT786422:PQT786444 QAP786422:QAP786444 QKL786422:QKL786444 QUH786422:QUH786444 RED786422:RED786444 RNZ786422:RNZ786444 RXV786422:RXV786444 SHR786422:SHR786444 SRN786422:SRN786444 TBJ786422:TBJ786444 TLF786422:TLF786444 TVB786422:TVB786444 UEX786422:UEX786444 UOT786422:UOT786444 UYP786422:UYP786444 VIL786422:VIL786444 VSH786422:VSH786444 WCD786422:WCD786444 WLZ786422:WLZ786444 WVV786422:WVV786444 N851958:N851980 JJ851958:JJ851980 TF851958:TF851980 ADB851958:ADB851980 AMX851958:AMX851980 AWT851958:AWT851980 BGP851958:BGP851980 BQL851958:BQL851980 CAH851958:CAH851980 CKD851958:CKD851980 CTZ851958:CTZ851980 DDV851958:DDV851980 DNR851958:DNR851980 DXN851958:DXN851980 EHJ851958:EHJ851980 ERF851958:ERF851980 FBB851958:FBB851980 FKX851958:FKX851980 FUT851958:FUT851980 GEP851958:GEP851980 GOL851958:GOL851980 GYH851958:GYH851980 HID851958:HID851980 HRZ851958:HRZ851980 IBV851958:IBV851980 ILR851958:ILR851980 IVN851958:IVN851980 JFJ851958:JFJ851980 JPF851958:JPF851980 JZB851958:JZB851980 KIX851958:KIX851980 KST851958:KST851980 LCP851958:LCP851980 LML851958:LML851980 LWH851958:LWH851980 MGD851958:MGD851980 MPZ851958:MPZ851980 MZV851958:MZV851980 NJR851958:NJR851980 NTN851958:NTN851980 ODJ851958:ODJ851980 ONF851958:ONF851980 OXB851958:OXB851980 PGX851958:PGX851980 PQT851958:PQT851980 QAP851958:QAP851980 QKL851958:QKL851980 QUH851958:QUH851980 RED851958:RED851980 RNZ851958:RNZ851980 RXV851958:RXV851980 SHR851958:SHR851980 SRN851958:SRN851980 TBJ851958:TBJ851980 TLF851958:TLF851980 TVB851958:TVB851980 UEX851958:UEX851980 UOT851958:UOT851980 UYP851958:UYP851980 VIL851958:VIL851980 VSH851958:VSH851980 WCD851958:WCD851980 WLZ851958:WLZ851980 WVV851958:WVV851980 N917494:N917516 JJ917494:JJ917516 TF917494:TF917516 ADB917494:ADB917516 AMX917494:AMX917516 AWT917494:AWT917516 BGP917494:BGP917516 BQL917494:BQL917516 CAH917494:CAH917516 CKD917494:CKD917516 CTZ917494:CTZ917516 DDV917494:DDV917516 DNR917494:DNR917516 DXN917494:DXN917516 EHJ917494:EHJ917516 ERF917494:ERF917516 FBB917494:FBB917516 FKX917494:FKX917516 FUT917494:FUT917516 GEP917494:GEP917516 GOL917494:GOL917516 GYH917494:GYH917516 HID917494:HID917516 HRZ917494:HRZ917516 IBV917494:IBV917516 ILR917494:ILR917516 IVN917494:IVN917516 JFJ917494:JFJ917516 JPF917494:JPF917516 JZB917494:JZB917516 KIX917494:KIX917516 KST917494:KST917516 LCP917494:LCP917516 LML917494:LML917516 LWH917494:LWH917516 MGD917494:MGD917516 MPZ917494:MPZ917516 MZV917494:MZV917516 NJR917494:NJR917516 NTN917494:NTN917516 ODJ917494:ODJ917516 ONF917494:ONF917516 OXB917494:OXB917516 PGX917494:PGX917516 PQT917494:PQT917516 QAP917494:QAP917516 QKL917494:QKL917516 QUH917494:QUH917516 RED917494:RED917516 RNZ917494:RNZ917516 RXV917494:RXV917516 SHR917494:SHR917516 SRN917494:SRN917516 TBJ917494:TBJ917516 TLF917494:TLF917516 TVB917494:TVB917516 UEX917494:UEX917516 UOT917494:UOT917516 UYP917494:UYP917516 VIL917494:VIL917516 VSH917494:VSH917516 WCD917494:WCD917516 WLZ917494:WLZ917516 WVV917494:WVV917516 N983030:N983052 JJ983030:JJ983052 TF983030:TF983052 ADB983030:ADB983052 AMX983030:AMX983052 AWT983030:AWT983052 BGP983030:BGP983052 BQL983030:BQL983052 CAH983030:CAH983052 CKD983030:CKD983052 CTZ983030:CTZ983052 DDV983030:DDV983052 DNR983030:DNR983052 DXN983030:DXN983052 EHJ983030:EHJ983052 ERF983030:ERF983052 FBB983030:FBB983052 FKX983030:FKX983052 FUT983030:FUT983052 GEP983030:GEP983052 GOL983030:GOL983052 GYH983030:GYH983052 HID983030:HID983052 HRZ983030:HRZ983052 IBV983030:IBV983052 ILR983030:ILR983052 IVN983030:IVN983052 JFJ983030:JFJ983052 JPF983030:JPF983052 JZB983030:JZB983052 KIX983030:KIX983052 KST983030:KST983052 LCP983030:LCP983052 LML983030:LML983052 LWH983030:LWH983052 MGD983030:MGD983052 MPZ983030:MPZ983052 MZV983030:MZV983052 NJR983030:NJR983052 NTN983030:NTN983052 ODJ983030:ODJ983052 ONF983030:ONF983052 OXB983030:OXB983052 PGX983030:PGX983052 PQT983030:PQT983052 QAP983030:QAP983052 QKL983030:QKL983052 QUH983030:QUH983052 RED983030:RED983052 RNZ983030:RNZ983052 RXV983030:RXV983052 SHR983030:SHR983052 SRN983030:SRN983052 TBJ983030:TBJ983052 TLF983030:TLF983052 TVB983030:TVB983052 UEX983030:UEX983052 UOT983030:UOT983052 UYP983030:UYP983052 VIL983030:VIL983052 VSH983030:VSH983052 WCD983030:WCD983052 WLZ983030:WLZ983052 F65526:J65548 F131062:J131084 F196598:J196620 F262134:J262156 F327670:J327692 F393206:J393228 F458742:J458764 F524278:J524300 F589814:J589836 F655350:J655372 F720886:J720908 F786422:J786444 F851958:J851980 F917494:J917516 F983030:J983052" xr:uid="{4570020C-069C-4226-9EE1-078DAB42C84A}">
      <formula1>0</formula1>
    </dataValidation>
    <dataValidation type="decimal" operator="greaterThanOrEqual" allowBlank="1" showInputMessage="1" showErrorMessage="1" errorTitle="Negatief bedrag" error="Gelieve een positieve waarde in te geven" sqref="C20:C43 C53:C76" xr:uid="{C71CA08F-53D2-477D-A148-606AB1840A6C}">
      <formula1>0</formula1>
    </dataValidation>
  </dataValidations>
  <pageMargins left="0.74803149606299213" right="0.74803149606299213" top="0.98425196850393704" bottom="0.98425196850393704" header="0.51181102362204722" footer="0.51181102362204722"/>
  <pageSetup paperSize="8" scale="43" fitToWidth="2" fitToHeight="2"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 id="{B13F9955-C5D1-40CE-A80B-4E78DDC79F1A}">
            <xm:f>TITELBLAD!$F$16="ex-ante"</xm:f>
            <x14:dxf>
              <fill>
                <patternFill patternType="lightUp"/>
              </fill>
            </x14:dxf>
          </x14:cfRule>
          <xm:sqref>A50:E79 G50:J79</xm:sqref>
        </x14:conditionalFormatting>
        <x14:conditionalFormatting xmlns:xm="http://schemas.microsoft.com/office/excel/2006/main">
          <x14:cfRule type="expression" priority="1" id="{B6111ED7-4992-4CC1-BBAF-8BB0E111EA66}">
            <xm:f>TITELBLAD!$F$16="ex-ante"</xm:f>
            <x14:dxf>
              <fill>
                <patternFill patternType="lightUp"/>
              </fill>
            </x14:dxf>
          </x14:cfRule>
          <xm:sqref>F50:F79</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B532E-8DC4-4063-A997-64A40902B99C}">
  <dimension ref="A1:N79"/>
  <sheetViews>
    <sheetView topLeftCell="B19" zoomScale="80" zoomScaleNormal="80" workbookViewId="0">
      <selection activeCell="H15" sqref="H15"/>
    </sheetView>
  </sheetViews>
  <sheetFormatPr defaultColWidth="9.140625" defaultRowHeight="12.75" x14ac:dyDescent="0.2"/>
  <cols>
    <col min="1" max="1" width="47.5703125" style="167" customWidth="1"/>
    <col min="2" max="2" width="29.5703125" style="167" customWidth="1"/>
    <col min="3" max="7" width="31" style="167" customWidth="1"/>
    <col min="8" max="9" width="31" style="1130" customWidth="1"/>
    <col min="10" max="17" width="31" style="167" customWidth="1"/>
    <col min="18" max="18" width="8.85546875" style="167" customWidth="1"/>
    <col min="19" max="45" width="9.140625" style="167" customWidth="1"/>
    <col min="46" max="259" width="9.140625" style="167"/>
    <col min="260" max="260" width="47.5703125" style="167" customWidth="1"/>
    <col min="261" max="261" width="29.5703125" style="167" customWidth="1"/>
    <col min="262" max="273" width="31" style="167" customWidth="1"/>
    <col min="274" max="274" width="8.85546875" style="167" customWidth="1"/>
    <col min="275" max="515" width="9.140625" style="167"/>
    <col min="516" max="516" width="47.5703125" style="167" customWidth="1"/>
    <col min="517" max="517" width="29.5703125" style="167" customWidth="1"/>
    <col min="518" max="529" width="31" style="167" customWidth="1"/>
    <col min="530" max="530" width="8.85546875" style="167" customWidth="1"/>
    <col min="531" max="771" width="9.140625" style="167"/>
    <col min="772" max="772" width="47.5703125" style="167" customWidth="1"/>
    <col min="773" max="773" width="29.5703125" style="167" customWidth="1"/>
    <col min="774" max="785" width="31" style="167" customWidth="1"/>
    <col min="786" max="786" width="8.85546875" style="167" customWidth="1"/>
    <col min="787" max="1027" width="9.140625" style="167"/>
    <col min="1028" max="1028" width="47.5703125" style="167" customWidth="1"/>
    <col min="1029" max="1029" width="29.5703125" style="167" customWidth="1"/>
    <col min="1030" max="1041" width="31" style="167" customWidth="1"/>
    <col min="1042" max="1042" width="8.85546875" style="167" customWidth="1"/>
    <col min="1043" max="1283" width="9.140625" style="167"/>
    <col min="1284" max="1284" width="47.5703125" style="167" customWidth="1"/>
    <col min="1285" max="1285" width="29.5703125" style="167" customWidth="1"/>
    <col min="1286" max="1297" width="31" style="167" customWidth="1"/>
    <col min="1298" max="1298" width="8.85546875" style="167" customWidth="1"/>
    <col min="1299" max="1539" width="9.140625" style="167"/>
    <col min="1540" max="1540" width="47.5703125" style="167" customWidth="1"/>
    <col min="1541" max="1541" width="29.5703125" style="167" customWidth="1"/>
    <col min="1542" max="1553" width="31" style="167" customWidth="1"/>
    <col min="1554" max="1554" width="8.85546875" style="167" customWidth="1"/>
    <col min="1555" max="1795" width="9.140625" style="167"/>
    <col min="1796" max="1796" width="47.5703125" style="167" customWidth="1"/>
    <col min="1797" max="1797" width="29.5703125" style="167" customWidth="1"/>
    <col min="1798" max="1809" width="31" style="167" customWidth="1"/>
    <col min="1810" max="1810" width="8.85546875" style="167" customWidth="1"/>
    <col min="1811" max="2051" width="9.140625" style="167"/>
    <col min="2052" max="2052" width="47.5703125" style="167" customWidth="1"/>
    <col min="2053" max="2053" width="29.5703125" style="167" customWidth="1"/>
    <col min="2054" max="2065" width="31" style="167" customWidth="1"/>
    <col min="2066" max="2066" width="8.85546875" style="167" customWidth="1"/>
    <col min="2067" max="2307" width="9.140625" style="167"/>
    <col min="2308" max="2308" width="47.5703125" style="167" customWidth="1"/>
    <col min="2309" max="2309" width="29.5703125" style="167" customWidth="1"/>
    <col min="2310" max="2321" width="31" style="167" customWidth="1"/>
    <col min="2322" max="2322" width="8.85546875" style="167" customWidth="1"/>
    <col min="2323" max="2563" width="9.140625" style="167"/>
    <col min="2564" max="2564" width="47.5703125" style="167" customWidth="1"/>
    <col min="2565" max="2565" width="29.5703125" style="167" customWidth="1"/>
    <col min="2566" max="2577" width="31" style="167" customWidth="1"/>
    <col min="2578" max="2578" width="8.85546875" style="167" customWidth="1"/>
    <col min="2579" max="2819" width="9.140625" style="167"/>
    <col min="2820" max="2820" width="47.5703125" style="167" customWidth="1"/>
    <col min="2821" max="2821" width="29.5703125" style="167" customWidth="1"/>
    <col min="2822" max="2833" width="31" style="167" customWidth="1"/>
    <col min="2834" max="2834" width="8.85546875" style="167" customWidth="1"/>
    <col min="2835" max="3075" width="9.140625" style="167"/>
    <col min="3076" max="3076" width="47.5703125" style="167" customWidth="1"/>
    <col min="3077" max="3077" width="29.5703125" style="167" customWidth="1"/>
    <col min="3078" max="3089" width="31" style="167" customWidth="1"/>
    <col min="3090" max="3090" width="8.85546875" style="167" customWidth="1"/>
    <col min="3091" max="3331" width="9.140625" style="167"/>
    <col min="3332" max="3332" width="47.5703125" style="167" customWidth="1"/>
    <col min="3333" max="3333" width="29.5703125" style="167" customWidth="1"/>
    <col min="3334" max="3345" width="31" style="167" customWidth="1"/>
    <col min="3346" max="3346" width="8.85546875" style="167" customWidth="1"/>
    <col min="3347" max="3587" width="9.140625" style="167"/>
    <col min="3588" max="3588" width="47.5703125" style="167" customWidth="1"/>
    <col min="3589" max="3589" width="29.5703125" style="167" customWidth="1"/>
    <col min="3590" max="3601" width="31" style="167" customWidth="1"/>
    <col min="3602" max="3602" width="8.85546875" style="167" customWidth="1"/>
    <col min="3603" max="3843" width="9.140625" style="167"/>
    <col min="3844" max="3844" width="47.5703125" style="167" customWidth="1"/>
    <col min="3845" max="3845" width="29.5703125" style="167" customWidth="1"/>
    <col min="3846" max="3857" width="31" style="167" customWidth="1"/>
    <col min="3858" max="3858" width="8.85546875" style="167" customWidth="1"/>
    <col min="3859" max="4099" width="9.140625" style="167"/>
    <col min="4100" max="4100" width="47.5703125" style="167" customWidth="1"/>
    <col min="4101" max="4101" width="29.5703125" style="167" customWidth="1"/>
    <col min="4102" max="4113" width="31" style="167" customWidth="1"/>
    <col min="4114" max="4114" width="8.85546875" style="167" customWidth="1"/>
    <col min="4115" max="4355" width="9.140625" style="167"/>
    <col min="4356" max="4356" width="47.5703125" style="167" customWidth="1"/>
    <col min="4357" max="4357" width="29.5703125" style="167" customWidth="1"/>
    <col min="4358" max="4369" width="31" style="167" customWidth="1"/>
    <col min="4370" max="4370" width="8.85546875" style="167" customWidth="1"/>
    <col min="4371" max="4611" width="9.140625" style="167"/>
    <col min="4612" max="4612" width="47.5703125" style="167" customWidth="1"/>
    <col min="4613" max="4613" width="29.5703125" style="167" customWidth="1"/>
    <col min="4614" max="4625" width="31" style="167" customWidth="1"/>
    <col min="4626" max="4626" width="8.85546875" style="167" customWidth="1"/>
    <col min="4627" max="4867" width="9.140625" style="167"/>
    <col min="4868" max="4868" width="47.5703125" style="167" customWidth="1"/>
    <col min="4869" max="4869" width="29.5703125" style="167" customWidth="1"/>
    <col min="4870" max="4881" width="31" style="167" customWidth="1"/>
    <col min="4882" max="4882" width="8.85546875" style="167" customWidth="1"/>
    <col min="4883" max="5123" width="9.140625" style="167"/>
    <col min="5124" max="5124" width="47.5703125" style="167" customWidth="1"/>
    <col min="5125" max="5125" width="29.5703125" style="167" customWidth="1"/>
    <col min="5126" max="5137" width="31" style="167" customWidth="1"/>
    <col min="5138" max="5138" width="8.85546875" style="167" customWidth="1"/>
    <col min="5139" max="5379" width="9.140625" style="167"/>
    <col min="5380" max="5380" width="47.5703125" style="167" customWidth="1"/>
    <col min="5381" max="5381" width="29.5703125" style="167" customWidth="1"/>
    <col min="5382" max="5393" width="31" style="167" customWidth="1"/>
    <col min="5394" max="5394" width="8.85546875" style="167" customWidth="1"/>
    <col min="5395" max="5635" width="9.140625" style="167"/>
    <col min="5636" max="5636" width="47.5703125" style="167" customWidth="1"/>
    <col min="5637" max="5637" width="29.5703125" style="167" customWidth="1"/>
    <col min="5638" max="5649" width="31" style="167" customWidth="1"/>
    <col min="5650" max="5650" width="8.85546875" style="167" customWidth="1"/>
    <col min="5651" max="5891" width="9.140625" style="167"/>
    <col min="5892" max="5892" width="47.5703125" style="167" customWidth="1"/>
    <col min="5893" max="5893" width="29.5703125" style="167" customWidth="1"/>
    <col min="5894" max="5905" width="31" style="167" customWidth="1"/>
    <col min="5906" max="5906" width="8.85546875" style="167" customWidth="1"/>
    <col min="5907" max="6147" width="9.140625" style="167"/>
    <col min="6148" max="6148" width="47.5703125" style="167" customWidth="1"/>
    <col min="6149" max="6149" width="29.5703125" style="167" customWidth="1"/>
    <col min="6150" max="6161" width="31" style="167" customWidth="1"/>
    <col min="6162" max="6162" width="8.85546875" style="167" customWidth="1"/>
    <col min="6163" max="6403" width="9.140625" style="167"/>
    <col min="6404" max="6404" width="47.5703125" style="167" customWidth="1"/>
    <col min="6405" max="6405" width="29.5703125" style="167" customWidth="1"/>
    <col min="6406" max="6417" width="31" style="167" customWidth="1"/>
    <col min="6418" max="6418" width="8.85546875" style="167" customWidth="1"/>
    <col min="6419" max="6659" width="9.140625" style="167"/>
    <col min="6660" max="6660" width="47.5703125" style="167" customWidth="1"/>
    <col min="6661" max="6661" width="29.5703125" style="167" customWidth="1"/>
    <col min="6662" max="6673" width="31" style="167" customWidth="1"/>
    <col min="6674" max="6674" width="8.85546875" style="167" customWidth="1"/>
    <col min="6675" max="6915" width="9.140625" style="167"/>
    <col min="6916" max="6916" width="47.5703125" style="167" customWidth="1"/>
    <col min="6917" max="6917" width="29.5703125" style="167" customWidth="1"/>
    <col min="6918" max="6929" width="31" style="167" customWidth="1"/>
    <col min="6930" max="6930" width="8.85546875" style="167" customWidth="1"/>
    <col min="6931" max="7171" width="9.140625" style="167"/>
    <col min="7172" max="7172" width="47.5703125" style="167" customWidth="1"/>
    <col min="7173" max="7173" width="29.5703125" style="167" customWidth="1"/>
    <col min="7174" max="7185" width="31" style="167" customWidth="1"/>
    <col min="7186" max="7186" width="8.85546875" style="167" customWidth="1"/>
    <col min="7187" max="7427" width="9.140625" style="167"/>
    <col min="7428" max="7428" width="47.5703125" style="167" customWidth="1"/>
    <col min="7429" max="7429" width="29.5703125" style="167" customWidth="1"/>
    <col min="7430" max="7441" width="31" style="167" customWidth="1"/>
    <col min="7442" max="7442" width="8.85546875" style="167" customWidth="1"/>
    <col min="7443" max="7683" width="9.140625" style="167"/>
    <col min="7684" max="7684" width="47.5703125" style="167" customWidth="1"/>
    <col min="7685" max="7685" width="29.5703125" style="167" customWidth="1"/>
    <col min="7686" max="7697" width="31" style="167" customWidth="1"/>
    <col min="7698" max="7698" width="8.85546875" style="167" customWidth="1"/>
    <col min="7699" max="7939" width="9.140625" style="167"/>
    <col min="7940" max="7940" width="47.5703125" style="167" customWidth="1"/>
    <col min="7941" max="7941" width="29.5703125" style="167" customWidth="1"/>
    <col min="7942" max="7953" width="31" style="167" customWidth="1"/>
    <col min="7954" max="7954" width="8.85546875" style="167" customWidth="1"/>
    <col min="7955" max="8195" width="9.140625" style="167"/>
    <col min="8196" max="8196" width="47.5703125" style="167" customWidth="1"/>
    <col min="8197" max="8197" width="29.5703125" style="167" customWidth="1"/>
    <col min="8198" max="8209" width="31" style="167" customWidth="1"/>
    <col min="8210" max="8210" width="8.85546875" style="167" customWidth="1"/>
    <col min="8211" max="8451" width="9.140625" style="167"/>
    <col min="8452" max="8452" width="47.5703125" style="167" customWidth="1"/>
    <col min="8453" max="8453" width="29.5703125" style="167" customWidth="1"/>
    <col min="8454" max="8465" width="31" style="167" customWidth="1"/>
    <col min="8466" max="8466" width="8.85546875" style="167" customWidth="1"/>
    <col min="8467" max="8707" width="9.140625" style="167"/>
    <col min="8708" max="8708" width="47.5703125" style="167" customWidth="1"/>
    <col min="8709" max="8709" width="29.5703125" style="167" customWidth="1"/>
    <col min="8710" max="8721" width="31" style="167" customWidth="1"/>
    <col min="8722" max="8722" width="8.85546875" style="167" customWidth="1"/>
    <col min="8723" max="8963" width="9.140625" style="167"/>
    <col min="8964" max="8964" width="47.5703125" style="167" customWidth="1"/>
    <col min="8965" max="8965" width="29.5703125" style="167" customWidth="1"/>
    <col min="8966" max="8977" width="31" style="167" customWidth="1"/>
    <col min="8978" max="8978" width="8.85546875" style="167" customWidth="1"/>
    <col min="8979" max="9219" width="9.140625" style="167"/>
    <col min="9220" max="9220" width="47.5703125" style="167" customWidth="1"/>
    <col min="9221" max="9221" width="29.5703125" style="167" customWidth="1"/>
    <col min="9222" max="9233" width="31" style="167" customWidth="1"/>
    <col min="9234" max="9234" width="8.85546875" style="167" customWidth="1"/>
    <col min="9235" max="9475" width="9.140625" style="167"/>
    <col min="9476" max="9476" width="47.5703125" style="167" customWidth="1"/>
    <col min="9477" max="9477" width="29.5703125" style="167" customWidth="1"/>
    <col min="9478" max="9489" width="31" style="167" customWidth="1"/>
    <col min="9490" max="9490" width="8.85546875" style="167" customWidth="1"/>
    <col min="9491" max="9731" width="9.140625" style="167"/>
    <col min="9732" max="9732" width="47.5703125" style="167" customWidth="1"/>
    <col min="9733" max="9733" width="29.5703125" style="167" customWidth="1"/>
    <col min="9734" max="9745" width="31" style="167" customWidth="1"/>
    <col min="9746" max="9746" width="8.85546875" style="167" customWidth="1"/>
    <col min="9747" max="9987" width="9.140625" style="167"/>
    <col min="9988" max="9988" width="47.5703125" style="167" customWidth="1"/>
    <col min="9989" max="9989" width="29.5703125" style="167" customWidth="1"/>
    <col min="9990" max="10001" width="31" style="167" customWidth="1"/>
    <col min="10002" max="10002" width="8.85546875" style="167" customWidth="1"/>
    <col min="10003" max="10243" width="9.140625" style="167"/>
    <col min="10244" max="10244" width="47.5703125" style="167" customWidth="1"/>
    <col min="10245" max="10245" width="29.5703125" style="167" customWidth="1"/>
    <col min="10246" max="10257" width="31" style="167" customWidth="1"/>
    <col min="10258" max="10258" width="8.85546875" style="167" customWidth="1"/>
    <col min="10259" max="10499" width="9.140625" style="167"/>
    <col min="10500" max="10500" width="47.5703125" style="167" customWidth="1"/>
    <col min="10501" max="10501" width="29.5703125" style="167" customWidth="1"/>
    <col min="10502" max="10513" width="31" style="167" customWidth="1"/>
    <col min="10514" max="10514" width="8.85546875" style="167" customWidth="1"/>
    <col min="10515" max="10755" width="9.140625" style="167"/>
    <col min="10756" max="10756" width="47.5703125" style="167" customWidth="1"/>
    <col min="10757" max="10757" width="29.5703125" style="167" customWidth="1"/>
    <col min="10758" max="10769" width="31" style="167" customWidth="1"/>
    <col min="10770" max="10770" width="8.85546875" style="167" customWidth="1"/>
    <col min="10771" max="11011" width="9.140625" style="167"/>
    <col min="11012" max="11012" width="47.5703125" style="167" customWidth="1"/>
    <col min="11013" max="11013" width="29.5703125" style="167" customWidth="1"/>
    <col min="11014" max="11025" width="31" style="167" customWidth="1"/>
    <col min="11026" max="11026" width="8.85546875" style="167" customWidth="1"/>
    <col min="11027" max="11267" width="9.140625" style="167"/>
    <col min="11268" max="11268" width="47.5703125" style="167" customWidth="1"/>
    <col min="11269" max="11269" width="29.5703125" style="167" customWidth="1"/>
    <col min="11270" max="11281" width="31" style="167" customWidth="1"/>
    <col min="11282" max="11282" width="8.85546875" style="167" customWidth="1"/>
    <col min="11283" max="11523" width="9.140625" style="167"/>
    <col min="11524" max="11524" width="47.5703125" style="167" customWidth="1"/>
    <col min="11525" max="11525" width="29.5703125" style="167" customWidth="1"/>
    <col min="11526" max="11537" width="31" style="167" customWidth="1"/>
    <col min="11538" max="11538" width="8.85546875" style="167" customWidth="1"/>
    <col min="11539" max="11779" width="9.140625" style="167"/>
    <col min="11780" max="11780" width="47.5703125" style="167" customWidth="1"/>
    <col min="11781" max="11781" width="29.5703125" style="167" customWidth="1"/>
    <col min="11782" max="11793" width="31" style="167" customWidth="1"/>
    <col min="11794" max="11794" width="8.85546875" style="167" customWidth="1"/>
    <col min="11795" max="12035" width="9.140625" style="167"/>
    <col min="12036" max="12036" width="47.5703125" style="167" customWidth="1"/>
    <col min="12037" max="12037" width="29.5703125" style="167" customWidth="1"/>
    <col min="12038" max="12049" width="31" style="167" customWidth="1"/>
    <col min="12050" max="12050" width="8.85546875" style="167" customWidth="1"/>
    <col min="12051" max="12291" width="9.140625" style="167"/>
    <col min="12292" max="12292" width="47.5703125" style="167" customWidth="1"/>
    <col min="12293" max="12293" width="29.5703125" style="167" customWidth="1"/>
    <col min="12294" max="12305" width="31" style="167" customWidth="1"/>
    <col min="12306" max="12306" width="8.85546875" style="167" customWidth="1"/>
    <col min="12307" max="12547" width="9.140625" style="167"/>
    <col min="12548" max="12548" width="47.5703125" style="167" customWidth="1"/>
    <col min="12549" max="12549" width="29.5703125" style="167" customWidth="1"/>
    <col min="12550" max="12561" width="31" style="167" customWidth="1"/>
    <col min="12562" max="12562" width="8.85546875" style="167" customWidth="1"/>
    <col min="12563" max="12803" width="9.140625" style="167"/>
    <col min="12804" max="12804" width="47.5703125" style="167" customWidth="1"/>
    <col min="12805" max="12805" width="29.5703125" style="167" customWidth="1"/>
    <col min="12806" max="12817" width="31" style="167" customWidth="1"/>
    <col min="12818" max="12818" width="8.85546875" style="167" customWidth="1"/>
    <col min="12819" max="13059" width="9.140625" style="167"/>
    <col min="13060" max="13060" width="47.5703125" style="167" customWidth="1"/>
    <col min="13061" max="13061" width="29.5703125" style="167" customWidth="1"/>
    <col min="13062" max="13073" width="31" style="167" customWidth="1"/>
    <col min="13074" max="13074" width="8.85546875" style="167" customWidth="1"/>
    <col min="13075" max="13315" width="9.140625" style="167"/>
    <col min="13316" max="13316" width="47.5703125" style="167" customWidth="1"/>
    <col min="13317" max="13317" width="29.5703125" style="167" customWidth="1"/>
    <col min="13318" max="13329" width="31" style="167" customWidth="1"/>
    <col min="13330" max="13330" width="8.85546875" style="167" customWidth="1"/>
    <col min="13331" max="13571" width="9.140625" style="167"/>
    <col min="13572" max="13572" width="47.5703125" style="167" customWidth="1"/>
    <col min="13573" max="13573" width="29.5703125" style="167" customWidth="1"/>
    <col min="13574" max="13585" width="31" style="167" customWidth="1"/>
    <col min="13586" max="13586" width="8.85546875" style="167" customWidth="1"/>
    <col min="13587" max="13827" width="9.140625" style="167"/>
    <col min="13828" max="13828" width="47.5703125" style="167" customWidth="1"/>
    <col min="13829" max="13829" width="29.5703125" style="167" customWidth="1"/>
    <col min="13830" max="13841" width="31" style="167" customWidth="1"/>
    <col min="13842" max="13842" width="8.85546875" style="167" customWidth="1"/>
    <col min="13843" max="14083" width="9.140625" style="167"/>
    <col min="14084" max="14084" width="47.5703125" style="167" customWidth="1"/>
    <col min="14085" max="14085" width="29.5703125" style="167" customWidth="1"/>
    <col min="14086" max="14097" width="31" style="167" customWidth="1"/>
    <col min="14098" max="14098" width="8.85546875" style="167" customWidth="1"/>
    <col min="14099" max="14339" width="9.140625" style="167"/>
    <col min="14340" max="14340" width="47.5703125" style="167" customWidth="1"/>
    <col min="14341" max="14341" width="29.5703125" style="167" customWidth="1"/>
    <col min="14342" max="14353" width="31" style="167" customWidth="1"/>
    <col min="14354" max="14354" width="8.85546875" style="167" customWidth="1"/>
    <col min="14355" max="14595" width="9.140625" style="167"/>
    <col min="14596" max="14596" width="47.5703125" style="167" customWidth="1"/>
    <col min="14597" max="14597" width="29.5703125" style="167" customWidth="1"/>
    <col min="14598" max="14609" width="31" style="167" customWidth="1"/>
    <col min="14610" max="14610" width="8.85546875" style="167" customWidth="1"/>
    <col min="14611" max="14851" width="9.140625" style="167"/>
    <col min="14852" max="14852" width="47.5703125" style="167" customWidth="1"/>
    <col min="14853" max="14853" width="29.5703125" style="167" customWidth="1"/>
    <col min="14854" max="14865" width="31" style="167" customWidth="1"/>
    <col min="14866" max="14866" width="8.85546875" style="167" customWidth="1"/>
    <col min="14867" max="15107" width="9.140625" style="167"/>
    <col min="15108" max="15108" width="47.5703125" style="167" customWidth="1"/>
    <col min="15109" max="15109" width="29.5703125" style="167" customWidth="1"/>
    <col min="15110" max="15121" width="31" style="167" customWidth="1"/>
    <col min="15122" max="15122" width="8.85546875" style="167" customWidth="1"/>
    <col min="15123" max="15363" width="9.140625" style="167"/>
    <col min="15364" max="15364" width="47.5703125" style="167" customWidth="1"/>
    <col min="15365" max="15365" width="29.5703125" style="167" customWidth="1"/>
    <col min="15366" max="15377" width="31" style="167" customWidth="1"/>
    <col min="15378" max="15378" width="8.85546875" style="167" customWidth="1"/>
    <col min="15379" max="15619" width="9.140625" style="167"/>
    <col min="15620" max="15620" width="47.5703125" style="167" customWidth="1"/>
    <col min="15621" max="15621" width="29.5703125" style="167" customWidth="1"/>
    <col min="15622" max="15633" width="31" style="167" customWidth="1"/>
    <col min="15634" max="15634" width="8.85546875" style="167" customWidth="1"/>
    <col min="15635" max="15875" width="9.140625" style="167"/>
    <col min="15876" max="15876" width="47.5703125" style="167" customWidth="1"/>
    <col min="15877" max="15877" width="29.5703125" style="167" customWidth="1"/>
    <col min="15878" max="15889" width="31" style="167" customWidth="1"/>
    <col min="15890" max="15890" width="8.85546875" style="167" customWidth="1"/>
    <col min="15891" max="16131" width="9.140625" style="167"/>
    <col min="16132" max="16132" width="47.5703125" style="167" customWidth="1"/>
    <col min="16133" max="16133" width="29.5703125" style="167" customWidth="1"/>
    <col min="16134" max="16145" width="31" style="167" customWidth="1"/>
    <col min="16146" max="16146" width="8.85546875" style="167" customWidth="1"/>
    <col min="16147" max="16384" width="9.140625" style="167"/>
  </cols>
  <sheetData>
    <row r="1" spans="1:14" ht="20.100000000000001" customHeight="1" thickBot="1" x14ac:dyDescent="0.25">
      <c r="A1" s="1371" t="s">
        <v>437</v>
      </c>
      <c r="B1" s="1372"/>
      <c r="C1" s="1372"/>
      <c r="D1" s="1372"/>
      <c r="E1" s="1372"/>
      <c r="F1" s="1372"/>
      <c r="G1" s="1372"/>
      <c r="H1" s="1372"/>
      <c r="I1" s="1372"/>
      <c r="J1" s="1373"/>
      <c r="K1" s="209" t="str">
        <f>+TITELBLAD!C10</f>
        <v>gas</v>
      </c>
      <c r="L1" s="296"/>
      <c r="M1" s="296"/>
      <c r="N1" s="296"/>
    </row>
    <row r="2" spans="1:14" x14ac:dyDescent="0.2">
      <c r="J2" s="296"/>
      <c r="K2" s="296"/>
      <c r="L2" s="296"/>
      <c r="M2" s="296"/>
      <c r="N2" s="296"/>
    </row>
    <row r="3" spans="1:14" x14ac:dyDescent="0.2">
      <c r="B3" s="296"/>
      <c r="C3" s="1063" t="s">
        <v>346</v>
      </c>
      <c r="D3" s="1063" t="s">
        <v>347</v>
      </c>
      <c r="J3" s="296"/>
      <c r="K3" s="296"/>
      <c r="L3" s="296"/>
      <c r="M3" s="296"/>
      <c r="N3" s="296"/>
    </row>
    <row r="4" spans="1:14" x14ac:dyDescent="0.2">
      <c r="A4" s="358" t="s">
        <v>440</v>
      </c>
      <c r="B4" s="1080">
        <f>+TITELBLAD!E16</f>
        <v>2021</v>
      </c>
      <c r="C4" s="1081">
        <f>-G45</f>
        <v>0</v>
      </c>
      <c r="D4" s="1081">
        <f>-G78</f>
        <v>0</v>
      </c>
      <c r="E4" s="1082"/>
      <c r="J4" s="296"/>
      <c r="K4" s="296"/>
      <c r="L4" s="296"/>
      <c r="M4" s="296"/>
      <c r="N4" s="296"/>
    </row>
    <row r="5" spans="1:14" x14ac:dyDescent="0.2">
      <c r="D5" s="1082"/>
      <c r="E5" s="1082"/>
      <c r="J5" s="296"/>
      <c r="K5" s="296"/>
      <c r="L5" s="296"/>
      <c r="M5" s="296"/>
      <c r="N5" s="296"/>
    </row>
    <row r="6" spans="1:14" x14ac:dyDescent="0.2">
      <c r="J6" s="296"/>
      <c r="K6" s="296"/>
      <c r="L6" s="296"/>
      <c r="M6" s="296"/>
      <c r="N6" s="296"/>
    </row>
    <row r="7" spans="1:14" x14ac:dyDescent="0.2">
      <c r="J7" s="296"/>
      <c r="K7" s="296"/>
      <c r="L7" s="296"/>
      <c r="M7" s="296"/>
      <c r="N7" s="296"/>
    </row>
    <row r="8" spans="1:14" x14ac:dyDescent="0.2">
      <c r="A8" s="358" t="s">
        <v>345</v>
      </c>
      <c r="J8" s="296"/>
      <c r="K8" s="296"/>
      <c r="L8" s="296"/>
      <c r="M8" s="296"/>
      <c r="N8" s="296"/>
    </row>
    <row r="9" spans="1:14" x14ac:dyDescent="0.2">
      <c r="A9" s="224" t="s">
        <v>309</v>
      </c>
      <c r="J9" s="296"/>
      <c r="K9" s="296"/>
      <c r="L9" s="296"/>
      <c r="M9" s="296"/>
      <c r="N9" s="296"/>
    </row>
    <row r="10" spans="1:14" x14ac:dyDescent="0.2">
      <c r="A10" s="1083" t="s">
        <v>310</v>
      </c>
      <c r="J10" s="296"/>
      <c r="K10" s="296"/>
      <c r="L10" s="296"/>
      <c r="M10" s="296"/>
      <c r="N10" s="296"/>
    </row>
    <row r="11" spans="1:14" x14ac:dyDescent="0.2">
      <c r="A11" s="1083" t="s">
        <v>311</v>
      </c>
      <c r="J11" s="296"/>
      <c r="K11" s="296"/>
      <c r="L11" s="296"/>
      <c r="M11" s="296"/>
      <c r="N11" s="296"/>
    </row>
    <row r="12" spans="1:14" x14ac:dyDescent="0.2">
      <c r="A12" s="1083"/>
      <c r="J12" s="296"/>
      <c r="K12" s="296"/>
      <c r="L12" s="296"/>
      <c r="M12" s="296"/>
      <c r="N12" s="296"/>
    </row>
    <row r="13" spans="1:14" x14ac:dyDescent="0.2">
      <c r="A13" s="1113" t="s">
        <v>427</v>
      </c>
      <c r="J13" s="296"/>
      <c r="K13" s="296"/>
      <c r="L13" s="296"/>
      <c r="M13" s="296"/>
      <c r="N13" s="296"/>
    </row>
    <row r="14" spans="1:14" ht="35.450000000000003" customHeight="1" x14ac:dyDescent="0.2">
      <c r="A14" s="1382" t="s">
        <v>428</v>
      </c>
      <c r="B14" s="1382"/>
      <c r="C14" s="1382"/>
      <c r="H14" s="1135" t="s">
        <v>458</v>
      </c>
      <c r="J14" s="296"/>
      <c r="K14" s="296"/>
      <c r="L14" s="296"/>
      <c r="M14" s="296"/>
      <c r="N14" s="296"/>
    </row>
    <row r="15" spans="1:14" x14ac:dyDescent="0.2">
      <c r="A15" s="1083"/>
      <c r="J15" s="296"/>
      <c r="K15" s="296"/>
      <c r="L15" s="296"/>
      <c r="M15" s="296"/>
      <c r="N15" s="296"/>
    </row>
    <row r="16" spans="1:14" ht="13.5" thickBot="1" x14ac:dyDescent="0.25">
      <c r="A16" s="1083"/>
    </row>
    <row r="17" spans="1:10" ht="18" customHeight="1" thickBot="1" x14ac:dyDescent="0.25">
      <c r="A17" s="1378" t="str">
        <f>"BUDGET "&amp;B4</f>
        <v>BUDGET 2021</v>
      </c>
      <c r="B17" s="1379"/>
      <c r="C17" s="1379"/>
      <c r="D17" s="1379"/>
      <c r="E17" s="1379"/>
      <c r="F17" s="1379"/>
      <c r="G17" s="1379"/>
      <c r="H17" s="1379"/>
      <c r="I17" s="1379"/>
      <c r="J17" s="1380"/>
    </row>
    <row r="18" spans="1:10" ht="58.5" customHeight="1" x14ac:dyDescent="0.2">
      <c r="A18" s="1084" t="s">
        <v>312</v>
      </c>
      <c r="B18" s="1085" t="s">
        <v>343</v>
      </c>
      <c r="C18" s="1086" t="str">
        <f>"Oorspronkelijke meerwaarde op basis van iRAB voor activa einde boekjaar "&amp;B4-1</f>
        <v>Oorspronkelijke meerwaarde op basis van iRAB voor activa einde boekjaar 2020</v>
      </c>
      <c r="D18" s="1086" t="str">
        <f>"Gecumuleerde afschrijvingen activa einde boekjaar "&amp; B4-1</f>
        <v>Gecumuleerde afschrijvingen activa einde boekjaar 2020</v>
      </c>
      <c r="E18" s="1086" t="str">
        <f>"Nettoboekwaarde meerwaarde op basis van iRAB einde boekjaar "&amp; B4-1</f>
        <v>Nettoboekwaarde meerwaarde op basis van iRAB einde boekjaar 2020</v>
      </c>
      <c r="F18" s="1086" t="str">
        <f>"Transfers boekjaar "&amp;B4</f>
        <v>Transfers boekjaar 2021</v>
      </c>
      <c r="G18" s="1086" t="str">
        <f>"Afschrijvingen boekjaar "&amp;B4</f>
        <v>Afschrijvingen boekjaar 2021</v>
      </c>
      <c r="H18" s="1136" t="str">
        <f>"Desinvesteringen boekjaar "&amp;B4&amp;" n.a.v. verkoop"</f>
        <v>Desinvesteringen boekjaar 2021 n.a.v. verkoop</v>
      </c>
      <c r="I18" s="1136" t="str">
        <f>"Desinvesteringen boekjaar "&amp;B4&amp;" n.a.v. structuurwijziging"</f>
        <v>Desinvesteringen boekjaar 2021 n.a.v. structuurwijziging</v>
      </c>
      <c r="J18" s="1086" t="str">
        <f>"Nettoboekwaarde meerwaarde op basis van iRAB einde boekjaar "&amp;B4</f>
        <v>Nettoboekwaarde meerwaarde op basis van iRAB einde boekjaar 2021</v>
      </c>
    </row>
    <row r="19" spans="1:10" ht="13.5" thickBot="1" x14ac:dyDescent="0.25">
      <c r="A19" s="1087"/>
      <c r="B19" s="1088"/>
      <c r="C19" s="1089" t="s">
        <v>4</v>
      </c>
      <c r="D19" s="1089" t="s">
        <v>8</v>
      </c>
      <c r="E19" s="1089"/>
      <c r="F19" s="1089" t="s">
        <v>4</v>
      </c>
      <c r="G19" s="1089" t="s">
        <v>8</v>
      </c>
      <c r="H19" s="1137" t="s">
        <v>8</v>
      </c>
      <c r="I19" s="1137" t="s">
        <v>8</v>
      </c>
      <c r="J19" s="1090"/>
    </row>
    <row r="20" spans="1:10" x14ac:dyDescent="0.2">
      <c r="A20" s="1091" t="s">
        <v>313</v>
      </c>
      <c r="B20" s="1375">
        <v>0.02</v>
      </c>
      <c r="C20" s="665">
        <v>0</v>
      </c>
      <c r="D20" s="665">
        <v>0</v>
      </c>
      <c r="E20" s="1092">
        <f t="shared" ref="E20:E39" si="0">+C20+D20</f>
        <v>0</v>
      </c>
      <c r="F20" s="665">
        <v>0</v>
      </c>
      <c r="G20" s="665">
        <v>0</v>
      </c>
      <c r="H20" s="1138">
        <v>0</v>
      </c>
      <c r="I20" s="1138">
        <v>0</v>
      </c>
      <c r="J20" s="1093">
        <f>+SUM(E20:I20)</f>
        <v>0</v>
      </c>
    </row>
    <row r="21" spans="1:10" x14ac:dyDescent="0.2">
      <c r="A21" s="1094" t="s">
        <v>314</v>
      </c>
      <c r="B21" s="1376"/>
      <c r="C21" s="666">
        <v>0</v>
      </c>
      <c r="D21" s="666">
        <v>0</v>
      </c>
      <c r="E21" s="1095">
        <f t="shared" si="0"/>
        <v>0</v>
      </c>
      <c r="F21" s="666">
        <v>0</v>
      </c>
      <c r="G21" s="666">
        <v>0</v>
      </c>
      <c r="H21" s="1139">
        <v>0</v>
      </c>
      <c r="I21" s="1139">
        <v>0</v>
      </c>
      <c r="J21" s="1096">
        <f t="shared" ref="J21:J43" si="1">+SUM(E21:I21)</f>
        <v>0</v>
      </c>
    </row>
    <row r="22" spans="1:10" x14ac:dyDescent="0.2">
      <c r="A22" s="1094" t="s">
        <v>315</v>
      </c>
      <c r="B22" s="1376"/>
      <c r="C22" s="666">
        <v>0</v>
      </c>
      <c r="D22" s="666">
        <v>0</v>
      </c>
      <c r="E22" s="1095">
        <f t="shared" si="0"/>
        <v>0</v>
      </c>
      <c r="F22" s="666">
        <v>0</v>
      </c>
      <c r="G22" s="666">
        <v>0</v>
      </c>
      <c r="H22" s="1139">
        <v>0</v>
      </c>
      <c r="I22" s="1139">
        <v>0</v>
      </c>
      <c r="J22" s="1096">
        <f t="shared" si="1"/>
        <v>0</v>
      </c>
    </row>
    <row r="23" spans="1:10" x14ac:dyDescent="0.2">
      <c r="A23" s="1094" t="s">
        <v>348</v>
      </c>
      <c r="B23" s="1376"/>
      <c r="C23" s="666">
        <v>0</v>
      </c>
      <c r="D23" s="666">
        <v>0</v>
      </c>
      <c r="E23" s="1095">
        <f t="shared" si="0"/>
        <v>0</v>
      </c>
      <c r="F23" s="666">
        <v>0</v>
      </c>
      <c r="G23" s="666">
        <v>0</v>
      </c>
      <c r="H23" s="1139">
        <v>0</v>
      </c>
      <c r="I23" s="1139">
        <v>0</v>
      </c>
      <c r="J23" s="1096">
        <f t="shared" si="1"/>
        <v>0</v>
      </c>
    </row>
    <row r="24" spans="1:10" x14ac:dyDescent="0.2">
      <c r="A24" s="1094" t="s">
        <v>349</v>
      </c>
      <c r="B24" s="1376"/>
      <c r="C24" s="666">
        <v>0</v>
      </c>
      <c r="D24" s="666">
        <v>0</v>
      </c>
      <c r="E24" s="1095">
        <f t="shared" si="0"/>
        <v>0</v>
      </c>
      <c r="F24" s="666">
        <v>0</v>
      </c>
      <c r="G24" s="666">
        <v>0</v>
      </c>
      <c r="H24" s="1139">
        <v>0</v>
      </c>
      <c r="I24" s="1139">
        <v>0</v>
      </c>
      <c r="J24" s="1096">
        <f t="shared" si="1"/>
        <v>0</v>
      </c>
    </row>
    <row r="25" spans="1:10" x14ac:dyDescent="0.2">
      <c r="A25" s="1094" t="s">
        <v>350</v>
      </c>
      <c r="B25" s="1376"/>
      <c r="C25" s="666">
        <v>0</v>
      </c>
      <c r="D25" s="666">
        <v>0</v>
      </c>
      <c r="E25" s="1095">
        <f t="shared" si="0"/>
        <v>0</v>
      </c>
      <c r="F25" s="666">
        <v>0</v>
      </c>
      <c r="G25" s="666">
        <v>0</v>
      </c>
      <c r="H25" s="1139">
        <v>0</v>
      </c>
      <c r="I25" s="1139">
        <v>0</v>
      </c>
      <c r="J25" s="1096">
        <f t="shared" si="1"/>
        <v>0</v>
      </c>
    </row>
    <row r="26" spans="1:10" x14ac:dyDescent="0.2">
      <c r="A26" s="1094" t="s">
        <v>351</v>
      </c>
      <c r="B26" s="1376"/>
      <c r="C26" s="666">
        <v>0</v>
      </c>
      <c r="D26" s="666">
        <v>0</v>
      </c>
      <c r="E26" s="1095">
        <f t="shared" si="0"/>
        <v>0</v>
      </c>
      <c r="F26" s="666">
        <v>0</v>
      </c>
      <c r="G26" s="666">
        <v>0</v>
      </c>
      <c r="H26" s="1139">
        <v>0</v>
      </c>
      <c r="I26" s="1139">
        <v>0</v>
      </c>
      <c r="J26" s="1096">
        <f t="shared" si="1"/>
        <v>0</v>
      </c>
    </row>
    <row r="27" spans="1:10" x14ac:dyDescent="0.2">
      <c r="A27" s="1094" t="s">
        <v>322</v>
      </c>
      <c r="B27" s="1376"/>
      <c r="C27" s="666">
        <v>0</v>
      </c>
      <c r="D27" s="666">
        <v>0</v>
      </c>
      <c r="E27" s="1095">
        <f>+C27+D27</f>
        <v>0</v>
      </c>
      <c r="F27" s="666">
        <v>0</v>
      </c>
      <c r="G27" s="666">
        <v>0</v>
      </c>
      <c r="H27" s="1139">
        <v>0</v>
      </c>
      <c r="I27" s="1139">
        <v>0</v>
      </c>
      <c r="J27" s="1096">
        <f t="shared" si="1"/>
        <v>0</v>
      </c>
    </row>
    <row r="28" spans="1:10" x14ac:dyDescent="0.2">
      <c r="A28" s="1094" t="s">
        <v>352</v>
      </c>
      <c r="B28" s="1376"/>
      <c r="C28" s="666">
        <v>0</v>
      </c>
      <c r="D28" s="666">
        <v>0</v>
      </c>
      <c r="E28" s="1095">
        <f t="shared" si="0"/>
        <v>0</v>
      </c>
      <c r="F28" s="666">
        <v>0</v>
      </c>
      <c r="G28" s="666">
        <v>0</v>
      </c>
      <c r="H28" s="1139">
        <v>0</v>
      </c>
      <c r="I28" s="1139">
        <v>0</v>
      </c>
      <c r="J28" s="1096">
        <f t="shared" si="1"/>
        <v>0</v>
      </c>
    </row>
    <row r="29" spans="1:10" x14ac:dyDescent="0.2">
      <c r="A29" s="1094" t="s">
        <v>353</v>
      </c>
      <c r="B29" s="1376"/>
      <c r="C29" s="666">
        <v>0</v>
      </c>
      <c r="D29" s="666">
        <v>0</v>
      </c>
      <c r="E29" s="1095">
        <f t="shared" si="0"/>
        <v>0</v>
      </c>
      <c r="F29" s="666">
        <v>0</v>
      </c>
      <c r="G29" s="666">
        <v>0</v>
      </c>
      <c r="H29" s="1139">
        <v>0</v>
      </c>
      <c r="I29" s="1139">
        <v>0</v>
      </c>
      <c r="J29" s="1096">
        <f t="shared" si="1"/>
        <v>0</v>
      </c>
    </row>
    <row r="30" spans="1:10" x14ac:dyDescent="0.2">
      <c r="A30" s="1094" t="s">
        <v>354</v>
      </c>
      <c r="B30" s="1376"/>
      <c r="C30" s="666">
        <v>0</v>
      </c>
      <c r="D30" s="666">
        <v>0</v>
      </c>
      <c r="E30" s="1095">
        <f t="shared" si="0"/>
        <v>0</v>
      </c>
      <c r="F30" s="666">
        <v>0</v>
      </c>
      <c r="G30" s="666">
        <v>0</v>
      </c>
      <c r="H30" s="1139">
        <v>0</v>
      </c>
      <c r="I30" s="1139">
        <v>0</v>
      </c>
      <c r="J30" s="1096">
        <f t="shared" si="1"/>
        <v>0</v>
      </c>
    </row>
    <row r="31" spans="1:10" x14ac:dyDescent="0.2">
      <c r="A31" s="1094" t="s">
        <v>355</v>
      </c>
      <c r="B31" s="1376"/>
      <c r="C31" s="666">
        <v>0</v>
      </c>
      <c r="D31" s="666">
        <v>0</v>
      </c>
      <c r="E31" s="1095">
        <f t="shared" si="0"/>
        <v>0</v>
      </c>
      <c r="F31" s="666">
        <v>0</v>
      </c>
      <c r="G31" s="666">
        <v>0</v>
      </c>
      <c r="H31" s="1139">
        <v>0</v>
      </c>
      <c r="I31" s="1139">
        <v>0</v>
      </c>
      <c r="J31" s="1096">
        <f t="shared" si="1"/>
        <v>0</v>
      </c>
    </row>
    <row r="32" spans="1:10" x14ac:dyDescent="0.2">
      <c r="A32" s="1094" t="s">
        <v>327</v>
      </c>
      <c r="B32" s="1376"/>
      <c r="C32" s="666">
        <v>0</v>
      </c>
      <c r="D32" s="666">
        <v>0</v>
      </c>
      <c r="E32" s="1095">
        <f t="shared" si="0"/>
        <v>0</v>
      </c>
      <c r="F32" s="666">
        <v>0</v>
      </c>
      <c r="G32" s="666">
        <v>0</v>
      </c>
      <c r="H32" s="1139">
        <v>0</v>
      </c>
      <c r="I32" s="1139">
        <v>0</v>
      </c>
      <c r="J32" s="1096">
        <f t="shared" si="1"/>
        <v>0</v>
      </c>
    </row>
    <row r="33" spans="1:10" x14ac:dyDescent="0.2">
      <c r="A33" s="1094" t="s">
        <v>344</v>
      </c>
      <c r="B33" s="1376"/>
      <c r="C33" s="666">
        <v>0</v>
      </c>
      <c r="D33" s="666">
        <v>0</v>
      </c>
      <c r="E33" s="1095">
        <f t="shared" si="0"/>
        <v>0</v>
      </c>
      <c r="F33" s="666">
        <v>0</v>
      </c>
      <c r="G33" s="666">
        <v>0</v>
      </c>
      <c r="H33" s="1139">
        <v>0</v>
      </c>
      <c r="I33" s="1139">
        <v>0</v>
      </c>
      <c r="J33" s="1096">
        <f t="shared" si="1"/>
        <v>0</v>
      </c>
    </row>
    <row r="34" spans="1:10" x14ac:dyDescent="0.2">
      <c r="A34" s="1094" t="s">
        <v>328</v>
      </c>
      <c r="B34" s="1376"/>
      <c r="C34" s="666">
        <v>0</v>
      </c>
      <c r="D34" s="666">
        <v>0</v>
      </c>
      <c r="E34" s="1095">
        <f t="shared" si="0"/>
        <v>0</v>
      </c>
      <c r="F34" s="666">
        <v>0</v>
      </c>
      <c r="G34" s="666">
        <v>0</v>
      </c>
      <c r="H34" s="1139">
        <v>0</v>
      </c>
      <c r="I34" s="1139">
        <v>0</v>
      </c>
      <c r="J34" s="1096">
        <f t="shared" si="1"/>
        <v>0</v>
      </c>
    </row>
    <row r="35" spans="1:10" x14ac:dyDescent="0.2">
      <c r="A35" s="1094" t="s">
        <v>329</v>
      </c>
      <c r="B35" s="1376"/>
      <c r="C35" s="666">
        <v>0</v>
      </c>
      <c r="D35" s="666">
        <v>0</v>
      </c>
      <c r="E35" s="1095">
        <f t="shared" si="0"/>
        <v>0</v>
      </c>
      <c r="F35" s="666">
        <v>0</v>
      </c>
      <c r="G35" s="666">
        <v>0</v>
      </c>
      <c r="H35" s="1139">
        <v>0</v>
      </c>
      <c r="I35" s="1139">
        <v>0</v>
      </c>
      <c r="J35" s="1096">
        <f t="shared" si="1"/>
        <v>0</v>
      </c>
    </row>
    <row r="36" spans="1:10" x14ac:dyDescent="0.2">
      <c r="A36" s="1094" t="s">
        <v>330</v>
      </c>
      <c r="B36" s="1376"/>
      <c r="C36" s="666">
        <v>0</v>
      </c>
      <c r="D36" s="666">
        <v>0</v>
      </c>
      <c r="E36" s="1095">
        <f t="shared" si="0"/>
        <v>0</v>
      </c>
      <c r="F36" s="666">
        <v>0</v>
      </c>
      <c r="G36" s="666">
        <v>0</v>
      </c>
      <c r="H36" s="1139">
        <v>0</v>
      </c>
      <c r="I36" s="1139">
        <v>0</v>
      </c>
      <c r="J36" s="1096">
        <f t="shared" si="1"/>
        <v>0</v>
      </c>
    </row>
    <row r="37" spans="1:10" x14ac:dyDescent="0.2">
      <c r="A37" s="1094" t="s">
        <v>356</v>
      </c>
      <c r="B37" s="1376"/>
      <c r="C37" s="666">
        <v>0</v>
      </c>
      <c r="D37" s="666">
        <v>0</v>
      </c>
      <c r="E37" s="1095">
        <f t="shared" si="0"/>
        <v>0</v>
      </c>
      <c r="F37" s="666">
        <v>0</v>
      </c>
      <c r="G37" s="666">
        <v>0</v>
      </c>
      <c r="H37" s="1139">
        <v>0</v>
      </c>
      <c r="I37" s="1139">
        <v>0</v>
      </c>
      <c r="J37" s="1096">
        <f t="shared" si="1"/>
        <v>0</v>
      </c>
    </row>
    <row r="38" spans="1:10" x14ac:dyDescent="0.2">
      <c r="A38" s="1094" t="s">
        <v>332</v>
      </c>
      <c r="B38" s="1376"/>
      <c r="C38" s="666">
        <v>0</v>
      </c>
      <c r="D38" s="666">
        <v>0</v>
      </c>
      <c r="E38" s="1095">
        <f t="shared" si="0"/>
        <v>0</v>
      </c>
      <c r="F38" s="666">
        <v>0</v>
      </c>
      <c r="G38" s="666">
        <v>0</v>
      </c>
      <c r="H38" s="1139">
        <v>0</v>
      </c>
      <c r="I38" s="1139">
        <v>0</v>
      </c>
      <c r="J38" s="1096">
        <f t="shared" si="1"/>
        <v>0</v>
      </c>
    </row>
    <row r="39" spans="1:10" x14ac:dyDescent="0.2">
      <c r="A39" s="1094" t="s">
        <v>333</v>
      </c>
      <c r="B39" s="1376"/>
      <c r="C39" s="666">
        <v>0</v>
      </c>
      <c r="D39" s="666">
        <v>0</v>
      </c>
      <c r="E39" s="1095">
        <f t="shared" si="0"/>
        <v>0</v>
      </c>
      <c r="F39" s="666">
        <v>0</v>
      </c>
      <c r="G39" s="666">
        <v>0</v>
      </c>
      <c r="H39" s="1139">
        <v>0</v>
      </c>
      <c r="I39" s="1139">
        <v>0</v>
      </c>
      <c r="J39" s="1096">
        <f t="shared" si="1"/>
        <v>0</v>
      </c>
    </row>
    <row r="40" spans="1:10" x14ac:dyDescent="0.2">
      <c r="A40" s="1114" t="s">
        <v>334</v>
      </c>
      <c r="B40" s="1376"/>
      <c r="C40" s="670">
        <v>0</v>
      </c>
      <c r="D40" s="670">
        <v>0</v>
      </c>
      <c r="E40" s="1115">
        <f>+C40+D40</f>
        <v>0</v>
      </c>
      <c r="F40" s="670">
        <v>0</v>
      </c>
      <c r="G40" s="670">
        <v>0</v>
      </c>
      <c r="H40" s="1148">
        <v>0</v>
      </c>
      <c r="I40" s="1148">
        <v>0</v>
      </c>
      <c r="J40" s="1116">
        <f t="shared" si="1"/>
        <v>0</v>
      </c>
    </row>
    <row r="41" spans="1:10" x14ac:dyDescent="0.2">
      <c r="A41" s="1094" t="s">
        <v>336</v>
      </c>
      <c r="B41" s="1376"/>
      <c r="C41" s="670">
        <v>0</v>
      </c>
      <c r="D41" s="670">
        <v>0</v>
      </c>
      <c r="E41" s="1115">
        <f>+C41+D41</f>
        <v>0</v>
      </c>
      <c r="F41" s="670">
        <v>0</v>
      </c>
      <c r="G41" s="670">
        <v>0</v>
      </c>
      <c r="H41" s="1148">
        <v>0</v>
      </c>
      <c r="I41" s="1148">
        <v>0</v>
      </c>
      <c r="J41" s="1116">
        <f t="shared" si="1"/>
        <v>0</v>
      </c>
    </row>
    <row r="42" spans="1:10" x14ac:dyDescent="0.2">
      <c r="A42" s="1114" t="s">
        <v>339</v>
      </c>
      <c r="B42" s="1376"/>
      <c r="C42" s="670">
        <v>0</v>
      </c>
      <c r="D42" s="670">
        <v>0</v>
      </c>
      <c r="E42" s="1115">
        <f>+C42+D42</f>
        <v>0</v>
      </c>
      <c r="F42" s="670">
        <v>0</v>
      </c>
      <c r="G42" s="670">
        <v>0</v>
      </c>
      <c r="H42" s="1148">
        <v>0</v>
      </c>
      <c r="I42" s="1148">
        <v>0</v>
      </c>
      <c r="J42" s="1116">
        <f t="shared" si="1"/>
        <v>0</v>
      </c>
    </row>
    <row r="43" spans="1:10" ht="13.5" thickBot="1" x14ac:dyDescent="0.25">
      <c r="A43" s="1117" t="s">
        <v>341</v>
      </c>
      <c r="B43" s="1377"/>
      <c r="C43" s="671">
        <v>0</v>
      </c>
      <c r="D43" s="671">
        <v>0</v>
      </c>
      <c r="E43" s="1118">
        <f>+C43+D43</f>
        <v>0</v>
      </c>
      <c r="F43" s="671">
        <v>0</v>
      </c>
      <c r="G43" s="671">
        <v>0</v>
      </c>
      <c r="H43" s="1149">
        <v>0</v>
      </c>
      <c r="I43" s="1149">
        <v>0</v>
      </c>
      <c r="J43" s="1119">
        <f t="shared" si="1"/>
        <v>0</v>
      </c>
    </row>
    <row r="44" spans="1:10" x14ac:dyDescent="0.2">
      <c r="A44" s="1100"/>
      <c r="B44" s="1101"/>
      <c r="C44" s="1120"/>
      <c r="D44" s="1120"/>
      <c r="E44" s="1120"/>
      <c r="F44" s="1120"/>
      <c r="G44" s="1120"/>
      <c r="H44" s="1150"/>
      <c r="I44" s="1150"/>
      <c r="J44" s="1120"/>
    </row>
    <row r="45" spans="1:10" x14ac:dyDescent="0.2">
      <c r="A45" s="1100" t="s">
        <v>342</v>
      </c>
      <c r="B45" s="1101"/>
      <c r="C45" s="1103">
        <f t="shared" ref="C45:J45" si="2">SUM(C20:C43)</f>
        <v>0</v>
      </c>
      <c r="D45" s="1103">
        <f t="shared" si="2"/>
        <v>0</v>
      </c>
      <c r="E45" s="1103">
        <f t="shared" si="2"/>
        <v>0</v>
      </c>
      <c r="F45" s="1103">
        <f t="shared" ref="F45" si="3">SUM(F20:F43)</f>
        <v>0</v>
      </c>
      <c r="G45" s="1103">
        <f t="shared" si="2"/>
        <v>0</v>
      </c>
      <c r="H45" s="1142">
        <f t="shared" si="2"/>
        <v>0</v>
      </c>
      <c r="I45" s="1142">
        <f t="shared" ref="I45" si="4">SUM(I20:I43)</f>
        <v>0</v>
      </c>
      <c r="J45" s="1103">
        <f t="shared" si="2"/>
        <v>0</v>
      </c>
    </row>
    <row r="46" spans="1:10" ht="13.5" thickBot="1" x14ac:dyDescent="0.25">
      <c r="A46" s="1104"/>
      <c r="B46" s="1105"/>
      <c r="C46" s="1106"/>
      <c r="D46" s="1106"/>
      <c r="E46" s="1106"/>
      <c r="F46" s="1106"/>
      <c r="G46" s="1106"/>
      <c r="H46" s="1143"/>
      <c r="I46" s="1143"/>
      <c r="J46" s="1107"/>
    </row>
    <row r="49" spans="1:10" ht="13.5" thickBot="1" x14ac:dyDescent="0.25"/>
    <row r="50" spans="1:10" ht="18" customHeight="1" thickBot="1" x14ac:dyDescent="0.25">
      <c r="A50" s="1378" t="str">
        <f>"REALITEIT "&amp;B4</f>
        <v>REALITEIT 2021</v>
      </c>
      <c r="B50" s="1379"/>
      <c r="C50" s="1379"/>
      <c r="D50" s="1379"/>
      <c r="E50" s="1379"/>
      <c r="F50" s="1379"/>
      <c r="G50" s="1379"/>
      <c r="H50" s="1379"/>
      <c r="I50" s="1379"/>
      <c r="J50" s="1380"/>
    </row>
    <row r="51" spans="1:10" ht="58.5" customHeight="1" x14ac:dyDescent="0.2">
      <c r="A51" s="1084" t="s">
        <v>312</v>
      </c>
      <c r="B51" s="1085" t="s">
        <v>343</v>
      </c>
      <c r="C51" s="1086" t="str">
        <f>"Oorspronkelijke meerwaarde op basis van iRAB voor activa einde boekjaar "&amp;B4-1</f>
        <v>Oorspronkelijke meerwaarde op basis van iRAB voor activa einde boekjaar 2020</v>
      </c>
      <c r="D51" s="1086" t="str">
        <f>"Gecumuleerde afschrijvingen activa einde boekjaar "&amp; B4-1</f>
        <v>Gecumuleerde afschrijvingen activa einde boekjaar 2020</v>
      </c>
      <c r="E51" s="1086" t="str">
        <f>"Nettoboekwaarde meerwaarde op basis van iRAB einde boekjaar "&amp; B4-1</f>
        <v>Nettoboekwaarde meerwaarde op basis van iRAB einde boekjaar 2020</v>
      </c>
      <c r="F51" s="1086" t="str">
        <f>"Transfers boekjaar "&amp;B4</f>
        <v>Transfers boekjaar 2021</v>
      </c>
      <c r="G51" s="1086" t="str">
        <f>"Afschrijvingen boekjaar "&amp;B4</f>
        <v>Afschrijvingen boekjaar 2021</v>
      </c>
      <c r="H51" s="1136" t="str">
        <f>"Desinvesteringen boekjaar "&amp;B4&amp;" n.a.v. verkoop"</f>
        <v>Desinvesteringen boekjaar 2021 n.a.v. verkoop</v>
      </c>
      <c r="I51" s="1136" t="str">
        <f>"Desinvesteringen boekjaar "&amp;B4&amp;" n.a.v. structuurwijziging"</f>
        <v>Desinvesteringen boekjaar 2021 n.a.v. structuurwijziging</v>
      </c>
      <c r="J51" s="1086" t="str">
        <f>"Nettoboekwaarde meerwaarde op basis van iRAB einde boekjaar "&amp;B4</f>
        <v>Nettoboekwaarde meerwaarde op basis van iRAB einde boekjaar 2021</v>
      </c>
    </row>
    <row r="52" spans="1:10" ht="13.5" thickBot="1" x14ac:dyDescent="0.25">
      <c r="A52" s="1087"/>
      <c r="B52" s="1088"/>
      <c r="C52" s="1089" t="s">
        <v>4</v>
      </c>
      <c r="D52" s="1089" t="s">
        <v>8</v>
      </c>
      <c r="E52" s="1089"/>
      <c r="F52" s="1089" t="s">
        <v>4</v>
      </c>
      <c r="G52" s="1089" t="s">
        <v>8</v>
      </c>
      <c r="H52" s="1137" t="s">
        <v>8</v>
      </c>
      <c r="I52" s="1137" t="s">
        <v>8</v>
      </c>
      <c r="J52" s="1090"/>
    </row>
    <row r="53" spans="1:10" x14ac:dyDescent="0.2">
      <c r="A53" s="1091" t="s">
        <v>313</v>
      </c>
      <c r="B53" s="1375">
        <v>0.02</v>
      </c>
      <c r="C53" s="665">
        <v>0</v>
      </c>
      <c r="D53" s="665">
        <v>0</v>
      </c>
      <c r="E53" s="1092">
        <f t="shared" ref="E53:E59" si="5">+C53+D53</f>
        <v>0</v>
      </c>
      <c r="F53" s="665">
        <v>0</v>
      </c>
      <c r="G53" s="665">
        <v>0</v>
      </c>
      <c r="H53" s="1138">
        <v>0</v>
      </c>
      <c r="I53" s="1138">
        <v>0</v>
      </c>
      <c r="J53" s="1093">
        <f>+SUM(E53:I53)</f>
        <v>0</v>
      </c>
    </row>
    <row r="54" spans="1:10" x14ac:dyDescent="0.2">
      <c r="A54" s="1094" t="s">
        <v>314</v>
      </c>
      <c r="B54" s="1376"/>
      <c r="C54" s="666">
        <v>0</v>
      </c>
      <c r="D54" s="666">
        <v>0</v>
      </c>
      <c r="E54" s="1095">
        <f t="shared" si="5"/>
        <v>0</v>
      </c>
      <c r="F54" s="666">
        <v>0</v>
      </c>
      <c r="G54" s="666">
        <v>0</v>
      </c>
      <c r="H54" s="1139">
        <v>0</v>
      </c>
      <c r="I54" s="1139">
        <v>0</v>
      </c>
      <c r="J54" s="1096">
        <f t="shared" ref="J54:J76" si="6">+SUM(E54:I54)</f>
        <v>0</v>
      </c>
    </row>
    <row r="55" spans="1:10" x14ac:dyDescent="0.2">
      <c r="A55" s="1094" t="s">
        <v>315</v>
      </c>
      <c r="B55" s="1376"/>
      <c r="C55" s="666">
        <v>0</v>
      </c>
      <c r="D55" s="666">
        <v>0</v>
      </c>
      <c r="E55" s="1095">
        <f t="shared" si="5"/>
        <v>0</v>
      </c>
      <c r="F55" s="666">
        <v>0</v>
      </c>
      <c r="G55" s="666">
        <v>0</v>
      </c>
      <c r="H55" s="1139">
        <v>0</v>
      </c>
      <c r="I55" s="1139">
        <v>0</v>
      </c>
      <c r="J55" s="1096">
        <f t="shared" si="6"/>
        <v>0</v>
      </c>
    </row>
    <row r="56" spans="1:10" x14ac:dyDescent="0.2">
      <c r="A56" s="1094" t="s">
        <v>348</v>
      </c>
      <c r="B56" s="1376"/>
      <c r="C56" s="666">
        <v>0</v>
      </c>
      <c r="D56" s="666">
        <v>0</v>
      </c>
      <c r="E56" s="1095">
        <f t="shared" si="5"/>
        <v>0</v>
      </c>
      <c r="F56" s="666">
        <v>0</v>
      </c>
      <c r="G56" s="666">
        <v>0</v>
      </c>
      <c r="H56" s="1139">
        <v>0</v>
      </c>
      <c r="I56" s="1139">
        <v>0</v>
      </c>
      <c r="J56" s="1096">
        <f t="shared" si="6"/>
        <v>0</v>
      </c>
    </row>
    <row r="57" spans="1:10" x14ac:dyDescent="0.2">
      <c r="A57" s="1094" t="s">
        <v>349</v>
      </c>
      <c r="B57" s="1376"/>
      <c r="C57" s="666">
        <v>0</v>
      </c>
      <c r="D57" s="666">
        <v>0</v>
      </c>
      <c r="E57" s="1095">
        <f t="shared" si="5"/>
        <v>0</v>
      </c>
      <c r="F57" s="666">
        <v>0</v>
      </c>
      <c r="G57" s="666">
        <v>0</v>
      </c>
      <c r="H57" s="1139">
        <v>0</v>
      </c>
      <c r="I57" s="1139">
        <v>0</v>
      </c>
      <c r="J57" s="1096">
        <f t="shared" si="6"/>
        <v>0</v>
      </c>
    </row>
    <row r="58" spans="1:10" x14ac:dyDescent="0.2">
      <c r="A58" s="1094" t="s">
        <v>350</v>
      </c>
      <c r="B58" s="1376"/>
      <c r="C58" s="666">
        <v>0</v>
      </c>
      <c r="D58" s="666">
        <v>0</v>
      </c>
      <c r="E58" s="1095">
        <f t="shared" si="5"/>
        <v>0</v>
      </c>
      <c r="F58" s="666">
        <v>0</v>
      </c>
      <c r="G58" s="666">
        <v>0</v>
      </c>
      <c r="H58" s="1139">
        <v>0</v>
      </c>
      <c r="I58" s="1139">
        <v>0</v>
      </c>
      <c r="J58" s="1096">
        <f t="shared" si="6"/>
        <v>0</v>
      </c>
    </row>
    <row r="59" spans="1:10" x14ac:dyDescent="0.2">
      <c r="A59" s="1094" t="s">
        <v>351</v>
      </c>
      <c r="B59" s="1376"/>
      <c r="C59" s="666">
        <v>0</v>
      </c>
      <c r="D59" s="666">
        <v>0</v>
      </c>
      <c r="E59" s="1095">
        <f t="shared" si="5"/>
        <v>0</v>
      </c>
      <c r="F59" s="666">
        <v>0</v>
      </c>
      <c r="G59" s="666">
        <v>0</v>
      </c>
      <c r="H59" s="1139">
        <v>0</v>
      </c>
      <c r="I59" s="1139">
        <v>0</v>
      </c>
      <c r="J59" s="1096">
        <f t="shared" si="6"/>
        <v>0</v>
      </c>
    </row>
    <row r="60" spans="1:10" x14ac:dyDescent="0.2">
      <c r="A60" s="1094" t="s">
        <v>322</v>
      </c>
      <c r="B60" s="1376"/>
      <c r="C60" s="666">
        <v>0</v>
      </c>
      <c r="D60" s="666">
        <v>0</v>
      </c>
      <c r="E60" s="1095">
        <f>+C60+D60</f>
        <v>0</v>
      </c>
      <c r="F60" s="666">
        <v>0</v>
      </c>
      <c r="G60" s="666">
        <v>0</v>
      </c>
      <c r="H60" s="1139">
        <v>0</v>
      </c>
      <c r="I60" s="1139">
        <v>0</v>
      </c>
      <c r="J60" s="1096">
        <f t="shared" si="6"/>
        <v>0</v>
      </c>
    </row>
    <row r="61" spans="1:10" x14ac:dyDescent="0.2">
      <c r="A61" s="1094" t="s">
        <v>352</v>
      </c>
      <c r="B61" s="1376"/>
      <c r="C61" s="666">
        <v>0</v>
      </c>
      <c r="D61" s="666">
        <v>0</v>
      </c>
      <c r="E61" s="1095">
        <f t="shared" ref="E61:E72" si="7">+C61+D61</f>
        <v>0</v>
      </c>
      <c r="F61" s="666">
        <v>0</v>
      </c>
      <c r="G61" s="666">
        <v>0</v>
      </c>
      <c r="H61" s="1139">
        <v>0</v>
      </c>
      <c r="I61" s="1139">
        <v>0</v>
      </c>
      <c r="J61" s="1096">
        <f t="shared" si="6"/>
        <v>0</v>
      </c>
    </row>
    <row r="62" spans="1:10" x14ac:dyDescent="0.2">
      <c r="A62" s="1094" t="s">
        <v>353</v>
      </c>
      <c r="B62" s="1376"/>
      <c r="C62" s="666">
        <v>0</v>
      </c>
      <c r="D62" s="666">
        <v>0</v>
      </c>
      <c r="E62" s="1095">
        <f t="shared" si="7"/>
        <v>0</v>
      </c>
      <c r="F62" s="666">
        <v>0</v>
      </c>
      <c r="G62" s="666">
        <v>0</v>
      </c>
      <c r="H62" s="1139">
        <v>0</v>
      </c>
      <c r="I62" s="1139">
        <v>0</v>
      </c>
      <c r="J62" s="1096">
        <f t="shared" si="6"/>
        <v>0</v>
      </c>
    </row>
    <row r="63" spans="1:10" x14ac:dyDescent="0.2">
      <c r="A63" s="1094" t="s">
        <v>354</v>
      </c>
      <c r="B63" s="1376"/>
      <c r="C63" s="666">
        <v>0</v>
      </c>
      <c r="D63" s="666">
        <v>0</v>
      </c>
      <c r="E63" s="1095">
        <f t="shared" si="7"/>
        <v>0</v>
      </c>
      <c r="F63" s="666">
        <v>0</v>
      </c>
      <c r="G63" s="666">
        <v>0</v>
      </c>
      <c r="H63" s="1139">
        <v>0</v>
      </c>
      <c r="I63" s="1139">
        <v>0</v>
      </c>
      <c r="J63" s="1096">
        <f t="shared" si="6"/>
        <v>0</v>
      </c>
    </row>
    <row r="64" spans="1:10" x14ac:dyDescent="0.2">
      <c r="A64" s="1094" t="s">
        <v>355</v>
      </c>
      <c r="B64" s="1376"/>
      <c r="C64" s="666">
        <v>0</v>
      </c>
      <c r="D64" s="666">
        <v>0</v>
      </c>
      <c r="E64" s="1095">
        <f t="shared" si="7"/>
        <v>0</v>
      </c>
      <c r="F64" s="666">
        <v>0</v>
      </c>
      <c r="G64" s="666">
        <v>0</v>
      </c>
      <c r="H64" s="1139">
        <v>0</v>
      </c>
      <c r="I64" s="1139">
        <v>0</v>
      </c>
      <c r="J64" s="1096">
        <f t="shared" si="6"/>
        <v>0</v>
      </c>
    </row>
    <row r="65" spans="1:10" x14ac:dyDescent="0.2">
      <c r="A65" s="1094" t="s">
        <v>327</v>
      </c>
      <c r="B65" s="1376"/>
      <c r="C65" s="666">
        <v>0</v>
      </c>
      <c r="D65" s="666">
        <v>0</v>
      </c>
      <c r="E65" s="1095">
        <f t="shared" si="7"/>
        <v>0</v>
      </c>
      <c r="F65" s="666">
        <v>0</v>
      </c>
      <c r="G65" s="666">
        <v>0</v>
      </c>
      <c r="H65" s="1139">
        <v>0</v>
      </c>
      <c r="I65" s="1139">
        <v>0</v>
      </c>
      <c r="J65" s="1096">
        <f t="shared" si="6"/>
        <v>0</v>
      </c>
    </row>
    <row r="66" spans="1:10" x14ac:dyDescent="0.2">
      <c r="A66" s="1094" t="s">
        <v>344</v>
      </c>
      <c r="B66" s="1376"/>
      <c r="C66" s="666">
        <v>0</v>
      </c>
      <c r="D66" s="666">
        <v>0</v>
      </c>
      <c r="E66" s="1095">
        <f t="shared" si="7"/>
        <v>0</v>
      </c>
      <c r="F66" s="666">
        <v>0</v>
      </c>
      <c r="G66" s="666">
        <v>0</v>
      </c>
      <c r="H66" s="1139">
        <v>0</v>
      </c>
      <c r="I66" s="1139">
        <v>0</v>
      </c>
      <c r="J66" s="1096">
        <f t="shared" si="6"/>
        <v>0</v>
      </c>
    </row>
    <row r="67" spans="1:10" x14ac:dyDescent="0.2">
      <c r="A67" s="1094" t="s">
        <v>328</v>
      </c>
      <c r="B67" s="1376"/>
      <c r="C67" s="666">
        <v>0</v>
      </c>
      <c r="D67" s="666">
        <v>0</v>
      </c>
      <c r="E67" s="1095">
        <f t="shared" si="7"/>
        <v>0</v>
      </c>
      <c r="F67" s="666">
        <v>0</v>
      </c>
      <c r="G67" s="666">
        <v>0</v>
      </c>
      <c r="H67" s="1139">
        <v>0</v>
      </c>
      <c r="I67" s="1139">
        <v>0</v>
      </c>
      <c r="J67" s="1096">
        <f t="shared" si="6"/>
        <v>0</v>
      </c>
    </row>
    <row r="68" spans="1:10" x14ac:dyDescent="0.2">
      <c r="A68" s="1094" t="s">
        <v>329</v>
      </c>
      <c r="B68" s="1376"/>
      <c r="C68" s="666">
        <v>0</v>
      </c>
      <c r="D68" s="666">
        <v>0</v>
      </c>
      <c r="E68" s="1095">
        <f t="shared" si="7"/>
        <v>0</v>
      </c>
      <c r="F68" s="666">
        <v>0</v>
      </c>
      <c r="G68" s="666">
        <v>0</v>
      </c>
      <c r="H68" s="1139">
        <v>0</v>
      </c>
      <c r="I68" s="1139">
        <v>0</v>
      </c>
      <c r="J68" s="1096">
        <f t="shared" si="6"/>
        <v>0</v>
      </c>
    </row>
    <row r="69" spans="1:10" x14ac:dyDescent="0.2">
      <c r="A69" s="1094" t="s">
        <v>330</v>
      </c>
      <c r="B69" s="1376"/>
      <c r="C69" s="666">
        <v>0</v>
      </c>
      <c r="D69" s="666">
        <v>0</v>
      </c>
      <c r="E69" s="1095">
        <f t="shared" si="7"/>
        <v>0</v>
      </c>
      <c r="F69" s="666">
        <v>0</v>
      </c>
      <c r="G69" s="666">
        <v>0</v>
      </c>
      <c r="H69" s="1139">
        <v>0</v>
      </c>
      <c r="I69" s="1139">
        <v>0</v>
      </c>
      <c r="J69" s="1096">
        <f t="shared" si="6"/>
        <v>0</v>
      </c>
    </row>
    <row r="70" spans="1:10" x14ac:dyDescent="0.2">
      <c r="A70" s="1094" t="s">
        <v>356</v>
      </c>
      <c r="B70" s="1376"/>
      <c r="C70" s="666">
        <v>0</v>
      </c>
      <c r="D70" s="666">
        <v>0</v>
      </c>
      <c r="E70" s="1095">
        <f t="shared" si="7"/>
        <v>0</v>
      </c>
      <c r="F70" s="666">
        <v>0</v>
      </c>
      <c r="G70" s="666">
        <v>0</v>
      </c>
      <c r="H70" s="1139">
        <v>0</v>
      </c>
      <c r="I70" s="1139">
        <v>0</v>
      </c>
      <c r="J70" s="1096">
        <f t="shared" si="6"/>
        <v>0</v>
      </c>
    </row>
    <row r="71" spans="1:10" x14ac:dyDescent="0.2">
      <c r="A71" s="1094" t="s">
        <v>332</v>
      </c>
      <c r="B71" s="1376"/>
      <c r="C71" s="666">
        <v>0</v>
      </c>
      <c r="D71" s="666">
        <v>0</v>
      </c>
      <c r="E71" s="1095">
        <f t="shared" si="7"/>
        <v>0</v>
      </c>
      <c r="F71" s="666">
        <v>0</v>
      </c>
      <c r="G71" s="666">
        <v>0</v>
      </c>
      <c r="H71" s="1139">
        <v>0</v>
      </c>
      <c r="I71" s="1139">
        <v>0</v>
      </c>
      <c r="J71" s="1096">
        <f t="shared" si="6"/>
        <v>0</v>
      </c>
    </row>
    <row r="72" spans="1:10" x14ac:dyDescent="0.2">
      <c r="A72" s="1094" t="s">
        <v>333</v>
      </c>
      <c r="B72" s="1376"/>
      <c r="C72" s="666">
        <v>0</v>
      </c>
      <c r="D72" s="666">
        <v>0</v>
      </c>
      <c r="E72" s="1095">
        <f t="shared" si="7"/>
        <v>0</v>
      </c>
      <c r="F72" s="666">
        <v>0</v>
      </c>
      <c r="G72" s="666">
        <v>0</v>
      </c>
      <c r="H72" s="1139">
        <v>0</v>
      </c>
      <c r="I72" s="1139">
        <v>0</v>
      </c>
      <c r="J72" s="1096">
        <f t="shared" si="6"/>
        <v>0</v>
      </c>
    </row>
    <row r="73" spans="1:10" x14ac:dyDescent="0.2">
      <c r="A73" s="1114" t="s">
        <v>334</v>
      </c>
      <c r="B73" s="1376"/>
      <c r="C73" s="670">
        <v>0</v>
      </c>
      <c r="D73" s="670">
        <v>0</v>
      </c>
      <c r="E73" s="1115">
        <f>+C73+D73</f>
        <v>0</v>
      </c>
      <c r="F73" s="670">
        <v>0</v>
      </c>
      <c r="G73" s="670">
        <v>0</v>
      </c>
      <c r="H73" s="1148">
        <v>0</v>
      </c>
      <c r="I73" s="1148">
        <v>0</v>
      </c>
      <c r="J73" s="1116">
        <f t="shared" si="6"/>
        <v>0</v>
      </c>
    </row>
    <row r="74" spans="1:10" x14ac:dyDescent="0.2">
      <c r="A74" s="1094" t="s">
        <v>336</v>
      </c>
      <c r="B74" s="1376"/>
      <c r="C74" s="670">
        <v>0</v>
      </c>
      <c r="D74" s="670">
        <v>0</v>
      </c>
      <c r="E74" s="1115">
        <f>+C74+D74</f>
        <v>0</v>
      </c>
      <c r="F74" s="670">
        <v>0</v>
      </c>
      <c r="G74" s="670">
        <v>0</v>
      </c>
      <c r="H74" s="1148">
        <v>0</v>
      </c>
      <c r="I74" s="1148">
        <v>0</v>
      </c>
      <c r="J74" s="1116">
        <f t="shared" si="6"/>
        <v>0</v>
      </c>
    </row>
    <row r="75" spans="1:10" x14ac:dyDescent="0.2">
      <c r="A75" s="1114" t="s">
        <v>339</v>
      </c>
      <c r="B75" s="1376"/>
      <c r="C75" s="670">
        <v>0</v>
      </c>
      <c r="D75" s="670">
        <v>0</v>
      </c>
      <c r="E75" s="1115">
        <f>+C75+D75</f>
        <v>0</v>
      </c>
      <c r="F75" s="670">
        <v>0</v>
      </c>
      <c r="G75" s="670">
        <v>0</v>
      </c>
      <c r="H75" s="1148">
        <v>0</v>
      </c>
      <c r="I75" s="1148">
        <v>0</v>
      </c>
      <c r="J75" s="1116">
        <f t="shared" si="6"/>
        <v>0</v>
      </c>
    </row>
    <row r="76" spans="1:10" ht="13.5" thickBot="1" x14ac:dyDescent="0.25">
      <c r="A76" s="1117" t="s">
        <v>341</v>
      </c>
      <c r="B76" s="1377"/>
      <c r="C76" s="671">
        <v>0</v>
      </c>
      <c r="D76" s="671">
        <v>0</v>
      </c>
      <c r="E76" s="1118">
        <f>+C76+D76</f>
        <v>0</v>
      </c>
      <c r="F76" s="671">
        <v>0</v>
      </c>
      <c r="G76" s="671">
        <v>0</v>
      </c>
      <c r="H76" s="1149">
        <v>0</v>
      </c>
      <c r="I76" s="1149">
        <v>0</v>
      </c>
      <c r="J76" s="1119">
        <f t="shared" si="6"/>
        <v>0</v>
      </c>
    </row>
    <row r="77" spans="1:10" x14ac:dyDescent="0.2">
      <c r="A77" s="1100"/>
      <c r="B77" s="1101"/>
      <c r="C77" s="1120"/>
      <c r="D77" s="1120"/>
      <c r="E77" s="1120"/>
      <c r="F77" s="1120"/>
      <c r="G77" s="1120"/>
      <c r="H77" s="1150"/>
      <c r="I77" s="1150"/>
      <c r="J77" s="1120"/>
    </row>
    <row r="78" spans="1:10" x14ac:dyDescent="0.2">
      <c r="A78" s="1100" t="s">
        <v>342</v>
      </c>
      <c r="B78" s="1101"/>
      <c r="C78" s="1103">
        <f t="shared" ref="C78:J78" si="8">SUM(C53:C76)</f>
        <v>0</v>
      </c>
      <c r="D78" s="1103">
        <f t="shared" si="8"/>
        <v>0</v>
      </c>
      <c r="E78" s="1103">
        <f t="shared" si="8"/>
        <v>0</v>
      </c>
      <c r="F78" s="1103">
        <f t="shared" ref="F78" si="9">SUM(F53:F76)</f>
        <v>0</v>
      </c>
      <c r="G78" s="1103">
        <f t="shared" si="8"/>
        <v>0</v>
      </c>
      <c r="H78" s="1142">
        <f t="shared" si="8"/>
        <v>0</v>
      </c>
      <c r="I78" s="1142">
        <f t="shared" ref="I78" si="10">SUM(I53:I76)</f>
        <v>0</v>
      </c>
      <c r="J78" s="1103">
        <f t="shared" si="8"/>
        <v>0</v>
      </c>
    </row>
    <row r="79" spans="1:10" ht="13.5" thickBot="1" x14ac:dyDescent="0.25">
      <c r="A79" s="1104"/>
      <c r="B79" s="1105"/>
      <c r="C79" s="1106"/>
      <c r="D79" s="1106"/>
      <c r="E79" s="1106"/>
      <c r="F79" s="1106"/>
      <c r="G79" s="1106"/>
      <c r="H79" s="1143"/>
      <c r="I79" s="1143"/>
      <c r="J79" s="1107"/>
    </row>
  </sheetData>
  <sheetProtection algorithmName="SHA-512" hashValue="9k7ej04JBAhE4Qt91HsRPYtnMAnpbB/J8gKmCfefZpY1RQxXNIlUn04wyu3wybw3elMEHt8aydualycfvCmnVA==" saltValue="6F7LryJ/YlUzzXnJSFjGsg==" spinCount="100000" sheet="1" objects="1" scenarios="1"/>
  <mergeCells count="6">
    <mergeCell ref="A17:J17"/>
    <mergeCell ref="B20:B43"/>
    <mergeCell ref="A50:J50"/>
    <mergeCell ref="B53:B76"/>
    <mergeCell ref="A1:J1"/>
    <mergeCell ref="A14:C14"/>
  </mergeCells>
  <conditionalFormatting sqref="A1:E13 A15:E1048576 A14 D14:E14 G1:XFD1048576">
    <cfRule type="expression" dxfId="4" priority="4">
      <formula>$K$1="elektriciteit"</formula>
    </cfRule>
  </conditionalFormatting>
  <conditionalFormatting sqref="F1:F1048576">
    <cfRule type="expression" dxfId="3" priority="2">
      <formula>$K$1="elektriciteit"</formula>
    </cfRule>
  </conditionalFormatting>
  <dataValidations count="3">
    <dataValidation type="decimal" operator="greaterThanOrEqual" allowBlank="1" showInputMessage="1" showErrorMessage="1" errorTitle="Negatief bedrag" error="Gelieve een positieve waarde in te geven" sqref="C20:C43 C53:C76" xr:uid="{A02E0725-4398-4B81-9F27-765B7E3D8AB3}">
      <formula1>0</formula1>
    </dataValidation>
    <dataValidation type="decimal" operator="greaterThanOrEqual" allowBlank="1" showInputMessage="1" showErrorMessage="1" errorTitle="Negatieve waarde" error="Gelieve positieve waarde in te geven" sqref="JE65526:JF65548 TA65526:TB65548 ACW65526:ACX65548 AMS65526:AMT65548 AWO65526:AWP65548 BGK65526:BGL65548 BQG65526:BQH65548 CAC65526:CAD65548 CJY65526:CJZ65548 CTU65526:CTV65548 DDQ65526:DDR65548 DNM65526:DNN65548 DXI65526:DXJ65548 EHE65526:EHF65548 ERA65526:ERB65548 FAW65526:FAX65548 FKS65526:FKT65548 FUO65526:FUP65548 GEK65526:GEL65548 GOG65526:GOH65548 GYC65526:GYD65548 HHY65526:HHZ65548 HRU65526:HRV65548 IBQ65526:IBR65548 ILM65526:ILN65548 IVI65526:IVJ65548 JFE65526:JFF65548 JPA65526:JPB65548 JYW65526:JYX65548 KIS65526:KIT65548 KSO65526:KSP65548 LCK65526:LCL65548 LMG65526:LMH65548 LWC65526:LWD65548 MFY65526:MFZ65548 MPU65526:MPV65548 MZQ65526:MZR65548 NJM65526:NJN65548 NTI65526:NTJ65548 ODE65526:ODF65548 ONA65526:ONB65548 OWW65526:OWX65548 PGS65526:PGT65548 PQO65526:PQP65548 QAK65526:QAL65548 QKG65526:QKH65548 QUC65526:QUD65548 RDY65526:RDZ65548 RNU65526:RNV65548 RXQ65526:RXR65548 SHM65526:SHN65548 SRI65526:SRJ65548 TBE65526:TBF65548 TLA65526:TLB65548 TUW65526:TUX65548 UES65526:UET65548 UOO65526:UOP65548 UYK65526:UYL65548 VIG65526:VIH65548 VSC65526:VSD65548 WBY65526:WBZ65548 WLU65526:WLV65548 WVQ65526:WVR65548 JE131062:JF131084 TA131062:TB131084 ACW131062:ACX131084 AMS131062:AMT131084 AWO131062:AWP131084 BGK131062:BGL131084 BQG131062:BQH131084 CAC131062:CAD131084 CJY131062:CJZ131084 CTU131062:CTV131084 DDQ131062:DDR131084 DNM131062:DNN131084 DXI131062:DXJ131084 EHE131062:EHF131084 ERA131062:ERB131084 FAW131062:FAX131084 FKS131062:FKT131084 FUO131062:FUP131084 GEK131062:GEL131084 GOG131062:GOH131084 GYC131062:GYD131084 HHY131062:HHZ131084 HRU131062:HRV131084 IBQ131062:IBR131084 ILM131062:ILN131084 IVI131062:IVJ131084 JFE131062:JFF131084 JPA131062:JPB131084 JYW131062:JYX131084 KIS131062:KIT131084 KSO131062:KSP131084 LCK131062:LCL131084 LMG131062:LMH131084 LWC131062:LWD131084 MFY131062:MFZ131084 MPU131062:MPV131084 MZQ131062:MZR131084 NJM131062:NJN131084 NTI131062:NTJ131084 ODE131062:ODF131084 ONA131062:ONB131084 OWW131062:OWX131084 PGS131062:PGT131084 PQO131062:PQP131084 QAK131062:QAL131084 QKG131062:QKH131084 QUC131062:QUD131084 RDY131062:RDZ131084 RNU131062:RNV131084 RXQ131062:RXR131084 SHM131062:SHN131084 SRI131062:SRJ131084 TBE131062:TBF131084 TLA131062:TLB131084 TUW131062:TUX131084 UES131062:UET131084 UOO131062:UOP131084 UYK131062:UYL131084 VIG131062:VIH131084 VSC131062:VSD131084 WBY131062:WBZ131084 WLU131062:WLV131084 WVQ131062:WVR131084 JE196598:JF196620 TA196598:TB196620 ACW196598:ACX196620 AMS196598:AMT196620 AWO196598:AWP196620 BGK196598:BGL196620 BQG196598:BQH196620 CAC196598:CAD196620 CJY196598:CJZ196620 CTU196598:CTV196620 DDQ196598:DDR196620 DNM196598:DNN196620 DXI196598:DXJ196620 EHE196598:EHF196620 ERA196598:ERB196620 FAW196598:FAX196620 FKS196598:FKT196620 FUO196598:FUP196620 GEK196598:GEL196620 GOG196598:GOH196620 GYC196598:GYD196620 HHY196598:HHZ196620 HRU196598:HRV196620 IBQ196598:IBR196620 ILM196598:ILN196620 IVI196598:IVJ196620 JFE196598:JFF196620 JPA196598:JPB196620 JYW196598:JYX196620 KIS196598:KIT196620 KSO196598:KSP196620 LCK196598:LCL196620 LMG196598:LMH196620 LWC196598:LWD196620 MFY196598:MFZ196620 MPU196598:MPV196620 MZQ196598:MZR196620 NJM196598:NJN196620 NTI196598:NTJ196620 ODE196598:ODF196620 ONA196598:ONB196620 OWW196598:OWX196620 PGS196598:PGT196620 PQO196598:PQP196620 QAK196598:QAL196620 QKG196598:QKH196620 QUC196598:QUD196620 RDY196598:RDZ196620 RNU196598:RNV196620 RXQ196598:RXR196620 SHM196598:SHN196620 SRI196598:SRJ196620 TBE196598:TBF196620 TLA196598:TLB196620 TUW196598:TUX196620 UES196598:UET196620 UOO196598:UOP196620 UYK196598:UYL196620 VIG196598:VIH196620 VSC196598:VSD196620 WBY196598:WBZ196620 WLU196598:WLV196620 WVQ196598:WVR196620 JE262134:JF262156 TA262134:TB262156 ACW262134:ACX262156 AMS262134:AMT262156 AWO262134:AWP262156 BGK262134:BGL262156 BQG262134:BQH262156 CAC262134:CAD262156 CJY262134:CJZ262156 CTU262134:CTV262156 DDQ262134:DDR262156 DNM262134:DNN262156 DXI262134:DXJ262156 EHE262134:EHF262156 ERA262134:ERB262156 FAW262134:FAX262156 FKS262134:FKT262156 FUO262134:FUP262156 GEK262134:GEL262156 GOG262134:GOH262156 GYC262134:GYD262156 HHY262134:HHZ262156 HRU262134:HRV262156 IBQ262134:IBR262156 ILM262134:ILN262156 IVI262134:IVJ262156 JFE262134:JFF262156 JPA262134:JPB262156 JYW262134:JYX262156 KIS262134:KIT262156 KSO262134:KSP262156 LCK262134:LCL262156 LMG262134:LMH262156 LWC262134:LWD262156 MFY262134:MFZ262156 MPU262134:MPV262156 MZQ262134:MZR262156 NJM262134:NJN262156 NTI262134:NTJ262156 ODE262134:ODF262156 ONA262134:ONB262156 OWW262134:OWX262156 PGS262134:PGT262156 PQO262134:PQP262156 QAK262134:QAL262156 QKG262134:QKH262156 QUC262134:QUD262156 RDY262134:RDZ262156 RNU262134:RNV262156 RXQ262134:RXR262156 SHM262134:SHN262156 SRI262134:SRJ262156 TBE262134:TBF262156 TLA262134:TLB262156 TUW262134:TUX262156 UES262134:UET262156 UOO262134:UOP262156 UYK262134:UYL262156 VIG262134:VIH262156 VSC262134:VSD262156 WBY262134:WBZ262156 WLU262134:WLV262156 WVQ262134:WVR262156 JE327670:JF327692 TA327670:TB327692 ACW327670:ACX327692 AMS327670:AMT327692 AWO327670:AWP327692 BGK327670:BGL327692 BQG327670:BQH327692 CAC327670:CAD327692 CJY327670:CJZ327692 CTU327670:CTV327692 DDQ327670:DDR327692 DNM327670:DNN327692 DXI327670:DXJ327692 EHE327670:EHF327692 ERA327670:ERB327692 FAW327670:FAX327692 FKS327670:FKT327692 FUO327670:FUP327692 GEK327670:GEL327692 GOG327670:GOH327692 GYC327670:GYD327692 HHY327670:HHZ327692 HRU327670:HRV327692 IBQ327670:IBR327692 ILM327670:ILN327692 IVI327670:IVJ327692 JFE327670:JFF327692 JPA327670:JPB327692 JYW327670:JYX327692 KIS327670:KIT327692 KSO327670:KSP327692 LCK327670:LCL327692 LMG327670:LMH327692 LWC327670:LWD327692 MFY327670:MFZ327692 MPU327670:MPV327692 MZQ327670:MZR327692 NJM327670:NJN327692 NTI327670:NTJ327692 ODE327670:ODF327692 ONA327670:ONB327692 OWW327670:OWX327692 PGS327670:PGT327692 PQO327670:PQP327692 QAK327670:QAL327692 QKG327670:QKH327692 QUC327670:QUD327692 RDY327670:RDZ327692 RNU327670:RNV327692 RXQ327670:RXR327692 SHM327670:SHN327692 SRI327670:SRJ327692 TBE327670:TBF327692 TLA327670:TLB327692 TUW327670:TUX327692 UES327670:UET327692 UOO327670:UOP327692 UYK327670:UYL327692 VIG327670:VIH327692 VSC327670:VSD327692 WBY327670:WBZ327692 WLU327670:WLV327692 WVQ327670:WVR327692 JE393206:JF393228 TA393206:TB393228 ACW393206:ACX393228 AMS393206:AMT393228 AWO393206:AWP393228 BGK393206:BGL393228 BQG393206:BQH393228 CAC393206:CAD393228 CJY393206:CJZ393228 CTU393206:CTV393228 DDQ393206:DDR393228 DNM393206:DNN393228 DXI393206:DXJ393228 EHE393206:EHF393228 ERA393206:ERB393228 FAW393206:FAX393228 FKS393206:FKT393228 FUO393206:FUP393228 GEK393206:GEL393228 GOG393206:GOH393228 GYC393206:GYD393228 HHY393206:HHZ393228 HRU393206:HRV393228 IBQ393206:IBR393228 ILM393206:ILN393228 IVI393206:IVJ393228 JFE393206:JFF393228 JPA393206:JPB393228 JYW393206:JYX393228 KIS393206:KIT393228 KSO393206:KSP393228 LCK393206:LCL393228 LMG393206:LMH393228 LWC393206:LWD393228 MFY393206:MFZ393228 MPU393206:MPV393228 MZQ393206:MZR393228 NJM393206:NJN393228 NTI393206:NTJ393228 ODE393206:ODF393228 ONA393206:ONB393228 OWW393206:OWX393228 PGS393206:PGT393228 PQO393206:PQP393228 QAK393206:QAL393228 QKG393206:QKH393228 QUC393206:QUD393228 RDY393206:RDZ393228 RNU393206:RNV393228 RXQ393206:RXR393228 SHM393206:SHN393228 SRI393206:SRJ393228 TBE393206:TBF393228 TLA393206:TLB393228 TUW393206:TUX393228 UES393206:UET393228 UOO393206:UOP393228 UYK393206:UYL393228 VIG393206:VIH393228 VSC393206:VSD393228 WBY393206:WBZ393228 WLU393206:WLV393228 WVQ393206:WVR393228 JE458742:JF458764 TA458742:TB458764 ACW458742:ACX458764 AMS458742:AMT458764 AWO458742:AWP458764 BGK458742:BGL458764 BQG458742:BQH458764 CAC458742:CAD458764 CJY458742:CJZ458764 CTU458742:CTV458764 DDQ458742:DDR458764 DNM458742:DNN458764 DXI458742:DXJ458764 EHE458742:EHF458764 ERA458742:ERB458764 FAW458742:FAX458764 FKS458742:FKT458764 FUO458742:FUP458764 GEK458742:GEL458764 GOG458742:GOH458764 GYC458742:GYD458764 HHY458742:HHZ458764 HRU458742:HRV458764 IBQ458742:IBR458764 ILM458742:ILN458764 IVI458742:IVJ458764 JFE458742:JFF458764 JPA458742:JPB458764 JYW458742:JYX458764 KIS458742:KIT458764 KSO458742:KSP458764 LCK458742:LCL458764 LMG458742:LMH458764 LWC458742:LWD458764 MFY458742:MFZ458764 MPU458742:MPV458764 MZQ458742:MZR458764 NJM458742:NJN458764 NTI458742:NTJ458764 ODE458742:ODF458764 ONA458742:ONB458764 OWW458742:OWX458764 PGS458742:PGT458764 PQO458742:PQP458764 QAK458742:QAL458764 QKG458742:QKH458764 QUC458742:QUD458764 RDY458742:RDZ458764 RNU458742:RNV458764 RXQ458742:RXR458764 SHM458742:SHN458764 SRI458742:SRJ458764 TBE458742:TBF458764 TLA458742:TLB458764 TUW458742:TUX458764 UES458742:UET458764 UOO458742:UOP458764 UYK458742:UYL458764 VIG458742:VIH458764 VSC458742:VSD458764 WBY458742:WBZ458764 WLU458742:WLV458764 WVQ458742:WVR458764 JE524278:JF524300 TA524278:TB524300 ACW524278:ACX524300 AMS524278:AMT524300 AWO524278:AWP524300 BGK524278:BGL524300 BQG524278:BQH524300 CAC524278:CAD524300 CJY524278:CJZ524300 CTU524278:CTV524300 DDQ524278:DDR524300 DNM524278:DNN524300 DXI524278:DXJ524300 EHE524278:EHF524300 ERA524278:ERB524300 FAW524278:FAX524300 FKS524278:FKT524300 FUO524278:FUP524300 GEK524278:GEL524300 GOG524278:GOH524300 GYC524278:GYD524300 HHY524278:HHZ524300 HRU524278:HRV524300 IBQ524278:IBR524300 ILM524278:ILN524300 IVI524278:IVJ524300 JFE524278:JFF524300 JPA524278:JPB524300 JYW524278:JYX524300 KIS524278:KIT524300 KSO524278:KSP524300 LCK524278:LCL524300 LMG524278:LMH524300 LWC524278:LWD524300 MFY524278:MFZ524300 MPU524278:MPV524300 MZQ524278:MZR524300 NJM524278:NJN524300 NTI524278:NTJ524300 ODE524278:ODF524300 ONA524278:ONB524300 OWW524278:OWX524300 PGS524278:PGT524300 PQO524278:PQP524300 QAK524278:QAL524300 QKG524278:QKH524300 QUC524278:QUD524300 RDY524278:RDZ524300 RNU524278:RNV524300 RXQ524278:RXR524300 SHM524278:SHN524300 SRI524278:SRJ524300 TBE524278:TBF524300 TLA524278:TLB524300 TUW524278:TUX524300 UES524278:UET524300 UOO524278:UOP524300 UYK524278:UYL524300 VIG524278:VIH524300 VSC524278:VSD524300 WBY524278:WBZ524300 WLU524278:WLV524300 WVQ524278:WVR524300 JE589814:JF589836 TA589814:TB589836 ACW589814:ACX589836 AMS589814:AMT589836 AWO589814:AWP589836 BGK589814:BGL589836 BQG589814:BQH589836 CAC589814:CAD589836 CJY589814:CJZ589836 CTU589814:CTV589836 DDQ589814:DDR589836 DNM589814:DNN589836 DXI589814:DXJ589836 EHE589814:EHF589836 ERA589814:ERB589836 FAW589814:FAX589836 FKS589814:FKT589836 FUO589814:FUP589836 GEK589814:GEL589836 GOG589814:GOH589836 GYC589814:GYD589836 HHY589814:HHZ589836 HRU589814:HRV589836 IBQ589814:IBR589836 ILM589814:ILN589836 IVI589814:IVJ589836 JFE589814:JFF589836 JPA589814:JPB589836 JYW589814:JYX589836 KIS589814:KIT589836 KSO589814:KSP589836 LCK589814:LCL589836 LMG589814:LMH589836 LWC589814:LWD589836 MFY589814:MFZ589836 MPU589814:MPV589836 MZQ589814:MZR589836 NJM589814:NJN589836 NTI589814:NTJ589836 ODE589814:ODF589836 ONA589814:ONB589836 OWW589814:OWX589836 PGS589814:PGT589836 PQO589814:PQP589836 QAK589814:QAL589836 QKG589814:QKH589836 QUC589814:QUD589836 RDY589814:RDZ589836 RNU589814:RNV589836 RXQ589814:RXR589836 SHM589814:SHN589836 SRI589814:SRJ589836 TBE589814:TBF589836 TLA589814:TLB589836 TUW589814:TUX589836 UES589814:UET589836 UOO589814:UOP589836 UYK589814:UYL589836 VIG589814:VIH589836 VSC589814:VSD589836 WBY589814:WBZ589836 WLU589814:WLV589836 WVQ589814:WVR589836 JE655350:JF655372 TA655350:TB655372 ACW655350:ACX655372 AMS655350:AMT655372 AWO655350:AWP655372 BGK655350:BGL655372 BQG655350:BQH655372 CAC655350:CAD655372 CJY655350:CJZ655372 CTU655350:CTV655372 DDQ655350:DDR655372 DNM655350:DNN655372 DXI655350:DXJ655372 EHE655350:EHF655372 ERA655350:ERB655372 FAW655350:FAX655372 FKS655350:FKT655372 FUO655350:FUP655372 GEK655350:GEL655372 GOG655350:GOH655372 GYC655350:GYD655372 HHY655350:HHZ655372 HRU655350:HRV655372 IBQ655350:IBR655372 ILM655350:ILN655372 IVI655350:IVJ655372 JFE655350:JFF655372 JPA655350:JPB655372 JYW655350:JYX655372 KIS655350:KIT655372 KSO655350:KSP655372 LCK655350:LCL655372 LMG655350:LMH655372 LWC655350:LWD655372 MFY655350:MFZ655372 MPU655350:MPV655372 MZQ655350:MZR655372 NJM655350:NJN655372 NTI655350:NTJ655372 ODE655350:ODF655372 ONA655350:ONB655372 OWW655350:OWX655372 PGS655350:PGT655372 PQO655350:PQP655372 QAK655350:QAL655372 QKG655350:QKH655372 QUC655350:QUD655372 RDY655350:RDZ655372 RNU655350:RNV655372 RXQ655350:RXR655372 SHM655350:SHN655372 SRI655350:SRJ655372 TBE655350:TBF655372 TLA655350:TLB655372 TUW655350:TUX655372 UES655350:UET655372 UOO655350:UOP655372 UYK655350:UYL655372 VIG655350:VIH655372 VSC655350:VSD655372 WBY655350:WBZ655372 WLU655350:WLV655372 WVQ655350:WVR655372 JE720886:JF720908 TA720886:TB720908 ACW720886:ACX720908 AMS720886:AMT720908 AWO720886:AWP720908 BGK720886:BGL720908 BQG720886:BQH720908 CAC720886:CAD720908 CJY720886:CJZ720908 CTU720886:CTV720908 DDQ720886:DDR720908 DNM720886:DNN720908 DXI720886:DXJ720908 EHE720886:EHF720908 ERA720886:ERB720908 FAW720886:FAX720908 FKS720886:FKT720908 FUO720886:FUP720908 GEK720886:GEL720908 GOG720886:GOH720908 GYC720886:GYD720908 HHY720886:HHZ720908 HRU720886:HRV720908 IBQ720886:IBR720908 ILM720886:ILN720908 IVI720886:IVJ720908 JFE720886:JFF720908 JPA720886:JPB720908 JYW720886:JYX720908 KIS720886:KIT720908 KSO720886:KSP720908 LCK720886:LCL720908 LMG720886:LMH720908 LWC720886:LWD720908 MFY720886:MFZ720908 MPU720886:MPV720908 MZQ720886:MZR720908 NJM720886:NJN720908 NTI720886:NTJ720908 ODE720886:ODF720908 ONA720886:ONB720908 OWW720886:OWX720908 PGS720886:PGT720908 PQO720886:PQP720908 QAK720886:QAL720908 QKG720886:QKH720908 QUC720886:QUD720908 RDY720886:RDZ720908 RNU720886:RNV720908 RXQ720886:RXR720908 SHM720886:SHN720908 SRI720886:SRJ720908 TBE720886:TBF720908 TLA720886:TLB720908 TUW720886:TUX720908 UES720886:UET720908 UOO720886:UOP720908 UYK720886:UYL720908 VIG720886:VIH720908 VSC720886:VSD720908 WBY720886:WBZ720908 WLU720886:WLV720908 WVQ720886:WVR720908 JE786422:JF786444 TA786422:TB786444 ACW786422:ACX786444 AMS786422:AMT786444 AWO786422:AWP786444 BGK786422:BGL786444 BQG786422:BQH786444 CAC786422:CAD786444 CJY786422:CJZ786444 CTU786422:CTV786444 DDQ786422:DDR786444 DNM786422:DNN786444 DXI786422:DXJ786444 EHE786422:EHF786444 ERA786422:ERB786444 FAW786422:FAX786444 FKS786422:FKT786444 FUO786422:FUP786444 GEK786422:GEL786444 GOG786422:GOH786444 GYC786422:GYD786444 HHY786422:HHZ786444 HRU786422:HRV786444 IBQ786422:IBR786444 ILM786422:ILN786444 IVI786422:IVJ786444 JFE786422:JFF786444 JPA786422:JPB786444 JYW786422:JYX786444 KIS786422:KIT786444 KSO786422:KSP786444 LCK786422:LCL786444 LMG786422:LMH786444 LWC786422:LWD786444 MFY786422:MFZ786444 MPU786422:MPV786444 MZQ786422:MZR786444 NJM786422:NJN786444 NTI786422:NTJ786444 ODE786422:ODF786444 ONA786422:ONB786444 OWW786422:OWX786444 PGS786422:PGT786444 PQO786422:PQP786444 QAK786422:QAL786444 QKG786422:QKH786444 QUC786422:QUD786444 RDY786422:RDZ786444 RNU786422:RNV786444 RXQ786422:RXR786444 SHM786422:SHN786444 SRI786422:SRJ786444 TBE786422:TBF786444 TLA786422:TLB786444 TUW786422:TUX786444 UES786422:UET786444 UOO786422:UOP786444 UYK786422:UYL786444 VIG786422:VIH786444 VSC786422:VSD786444 WBY786422:WBZ786444 WLU786422:WLV786444 WVQ786422:WVR786444 JE851958:JF851980 TA851958:TB851980 ACW851958:ACX851980 AMS851958:AMT851980 AWO851958:AWP851980 BGK851958:BGL851980 BQG851958:BQH851980 CAC851958:CAD851980 CJY851958:CJZ851980 CTU851958:CTV851980 DDQ851958:DDR851980 DNM851958:DNN851980 DXI851958:DXJ851980 EHE851958:EHF851980 ERA851958:ERB851980 FAW851958:FAX851980 FKS851958:FKT851980 FUO851958:FUP851980 GEK851958:GEL851980 GOG851958:GOH851980 GYC851958:GYD851980 HHY851958:HHZ851980 HRU851958:HRV851980 IBQ851958:IBR851980 ILM851958:ILN851980 IVI851958:IVJ851980 JFE851958:JFF851980 JPA851958:JPB851980 JYW851958:JYX851980 KIS851958:KIT851980 KSO851958:KSP851980 LCK851958:LCL851980 LMG851958:LMH851980 LWC851958:LWD851980 MFY851958:MFZ851980 MPU851958:MPV851980 MZQ851958:MZR851980 NJM851958:NJN851980 NTI851958:NTJ851980 ODE851958:ODF851980 ONA851958:ONB851980 OWW851958:OWX851980 PGS851958:PGT851980 PQO851958:PQP851980 QAK851958:QAL851980 QKG851958:QKH851980 QUC851958:QUD851980 RDY851958:RDZ851980 RNU851958:RNV851980 RXQ851958:RXR851980 SHM851958:SHN851980 SRI851958:SRJ851980 TBE851958:TBF851980 TLA851958:TLB851980 TUW851958:TUX851980 UES851958:UET851980 UOO851958:UOP851980 UYK851958:UYL851980 VIG851958:VIH851980 VSC851958:VSD851980 WBY851958:WBZ851980 WLU851958:WLV851980 WVQ851958:WVR851980 JE917494:JF917516 TA917494:TB917516 ACW917494:ACX917516 AMS917494:AMT917516 AWO917494:AWP917516 BGK917494:BGL917516 BQG917494:BQH917516 CAC917494:CAD917516 CJY917494:CJZ917516 CTU917494:CTV917516 DDQ917494:DDR917516 DNM917494:DNN917516 DXI917494:DXJ917516 EHE917494:EHF917516 ERA917494:ERB917516 FAW917494:FAX917516 FKS917494:FKT917516 FUO917494:FUP917516 GEK917494:GEL917516 GOG917494:GOH917516 GYC917494:GYD917516 HHY917494:HHZ917516 HRU917494:HRV917516 IBQ917494:IBR917516 ILM917494:ILN917516 IVI917494:IVJ917516 JFE917494:JFF917516 JPA917494:JPB917516 JYW917494:JYX917516 KIS917494:KIT917516 KSO917494:KSP917516 LCK917494:LCL917516 LMG917494:LMH917516 LWC917494:LWD917516 MFY917494:MFZ917516 MPU917494:MPV917516 MZQ917494:MZR917516 NJM917494:NJN917516 NTI917494:NTJ917516 ODE917494:ODF917516 ONA917494:ONB917516 OWW917494:OWX917516 PGS917494:PGT917516 PQO917494:PQP917516 QAK917494:QAL917516 QKG917494:QKH917516 QUC917494:QUD917516 RDY917494:RDZ917516 RNU917494:RNV917516 RXQ917494:RXR917516 SHM917494:SHN917516 SRI917494:SRJ917516 TBE917494:TBF917516 TLA917494:TLB917516 TUW917494:TUX917516 UES917494:UET917516 UOO917494:UOP917516 UYK917494:UYL917516 VIG917494:VIH917516 VSC917494:VSD917516 WBY917494:WBZ917516 WLU917494:WLV917516 WVQ917494:WVR917516 WVV983030:WVV983052 JE983030:JF983052 TA983030:TB983052 ACW983030:ACX983052 AMS983030:AMT983052 AWO983030:AWP983052 BGK983030:BGL983052 BQG983030:BQH983052 CAC983030:CAD983052 CJY983030:CJZ983052 CTU983030:CTV983052 DDQ983030:DDR983052 DNM983030:DNN983052 DXI983030:DXJ983052 EHE983030:EHF983052 ERA983030:ERB983052 FAW983030:FAX983052 FKS983030:FKT983052 FUO983030:FUP983052 GEK983030:GEL983052 GOG983030:GOH983052 GYC983030:GYD983052 HHY983030:HHZ983052 HRU983030:HRV983052 IBQ983030:IBR983052 ILM983030:ILN983052 IVI983030:IVJ983052 JFE983030:JFF983052 JPA983030:JPB983052 JYW983030:JYX983052 KIS983030:KIT983052 KSO983030:KSP983052 LCK983030:LCL983052 LMG983030:LMH983052 LWC983030:LWD983052 MFY983030:MFZ983052 MPU983030:MPV983052 MZQ983030:MZR983052 NJM983030:NJN983052 NTI983030:NTJ983052 ODE983030:ODF983052 ONA983030:ONB983052 OWW983030:OWX983052 PGS983030:PGT983052 PQO983030:PQP983052 QAK983030:QAL983052 QKG983030:QKH983052 QUC983030:QUD983052 RDY983030:RDZ983052 RNU983030:RNV983052 RXQ983030:RXR983052 SHM983030:SHN983052 SRI983030:SRJ983052 TBE983030:TBF983052 TLA983030:TLB983052 TUW983030:TUX983052 UES983030:UET983052 UOO983030:UOP983052 UYK983030:UYL983052 VIG983030:VIH983052 VSC983030:VSD983052 WBY983030:WBZ983052 WLU983030:WLV983052 WVQ983030:WVR983052 C65526:C65548 JB65526:JB65548 SX65526:SX65548 ACT65526:ACT65548 AMP65526:AMP65548 AWL65526:AWL65548 BGH65526:BGH65548 BQD65526:BQD65548 BZZ65526:BZZ65548 CJV65526:CJV65548 CTR65526:CTR65548 DDN65526:DDN65548 DNJ65526:DNJ65548 DXF65526:DXF65548 EHB65526:EHB65548 EQX65526:EQX65548 FAT65526:FAT65548 FKP65526:FKP65548 FUL65526:FUL65548 GEH65526:GEH65548 GOD65526:GOD65548 GXZ65526:GXZ65548 HHV65526:HHV65548 HRR65526:HRR65548 IBN65526:IBN65548 ILJ65526:ILJ65548 IVF65526:IVF65548 JFB65526:JFB65548 JOX65526:JOX65548 JYT65526:JYT65548 KIP65526:KIP65548 KSL65526:KSL65548 LCH65526:LCH65548 LMD65526:LMD65548 LVZ65526:LVZ65548 MFV65526:MFV65548 MPR65526:MPR65548 MZN65526:MZN65548 NJJ65526:NJJ65548 NTF65526:NTF65548 ODB65526:ODB65548 OMX65526:OMX65548 OWT65526:OWT65548 PGP65526:PGP65548 PQL65526:PQL65548 QAH65526:QAH65548 QKD65526:QKD65548 QTZ65526:QTZ65548 RDV65526:RDV65548 RNR65526:RNR65548 RXN65526:RXN65548 SHJ65526:SHJ65548 SRF65526:SRF65548 TBB65526:TBB65548 TKX65526:TKX65548 TUT65526:TUT65548 UEP65526:UEP65548 UOL65526:UOL65548 UYH65526:UYH65548 VID65526:VID65548 VRZ65526:VRZ65548 WBV65526:WBV65548 WLR65526:WLR65548 WVN65526:WVN65548 C131062:C131084 JB131062:JB131084 SX131062:SX131084 ACT131062:ACT131084 AMP131062:AMP131084 AWL131062:AWL131084 BGH131062:BGH131084 BQD131062:BQD131084 BZZ131062:BZZ131084 CJV131062:CJV131084 CTR131062:CTR131084 DDN131062:DDN131084 DNJ131062:DNJ131084 DXF131062:DXF131084 EHB131062:EHB131084 EQX131062:EQX131084 FAT131062:FAT131084 FKP131062:FKP131084 FUL131062:FUL131084 GEH131062:GEH131084 GOD131062:GOD131084 GXZ131062:GXZ131084 HHV131062:HHV131084 HRR131062:HRR131084 IBN131062:IBN131084 ILJ131062:ILJ131084 IVF131062:IVF131084 JFB131062:JFB131084 JOX131062:JOX131084 JYT131062:JYT131084 KIP131062:KIP131084 KSL131062:KSL131084 LCH131062:LCH131084 LMD131062:LMD131084 LVZ131062:LVZ131084 MFV131062:MFV131084 MPR131062:MPR131084 MZN131062:MZN131084 NJJ131062:NJJ131084 NTF131062:NTF131084 ODB131062:ODB131084 OMX131062:OMX131084 OWT131062:OWT131084 PGP131062:PGP131084 PQL131062:PQL131084 QAH131062:QAH131084 QKD131062:QKD131084 QTZ131062:QTZ131084 RDV131062:RDV131084 RNR131062:RNR131084 RXN131062:RXN131084 SHJ131062:SHJ131084 SRF131062:SRF131084 TBB131062:TBB131084 TKX131062:TKX131084 TUT131062:TUT131084 UEP131062:UEP131084 UOL131062:UOL131084 UYH131062:UYH131084 VID131062:VID131084 VRZ131062:VRZ131084 WBV131062:WBV131084 WLR131062:WLR131084 WVN131062:WVN131084 C196598:C196620 JB196598:JB196620 SX196598:SX196620 ACT196598:ACT196620 AMP196598:AMP196620 AWL196598:AWL196620 BGH196598:BGH196620 BQD196598:BQD196620 BZZ196598:BZZ196620 CJV196598:CJV196620 CTR196598:CTR196620 DDN196598:DDN196620 DNJ196598:DNJ196620 DXF196598:DXF196620 EHB196598:EHB196620 EQX196598:EQX196620 FAT196598:FAT196620 FKP196598:FKP196620 FUL196598:FUL196620 GEH196598:GEH196620 GOD196598:GOD196620 GXZ196598:GXZ196620 HHV196598:HHV196620 HRR196598:HRR196620 IBN196598:IBN196620 ILJ196598:ILJ196620 IVF196598:IVF196620 JFB196598:JFB196620 JOX196598:JOX196620 JYT196598:JYT196620 KIP196598:KIP196620 KSL196598:KSL196620 LCH196598:LCH196620 LMD196598:LMD196620 LVZ196598:LVZ196620 MFV196598:MFV196620 MPR196598:MPR196620 MZN196598:MZN196620 NJJ196598:NJJ196620 NTF196598:NTF196620 ODB196598:ODB196620 OMX196598:OMX196620 OWT196598:OWT196620 PGP196598:PGP196620 PQL196598:PQL196620 QAH196598:QAH196620 QKD196598:QKD196620 QTZ196598:QTZ196620 RDV196598:RDV196620 RNR196598:RNR196620 RXN196598:RXN196620 SHJ196598:SHJ196620 SRF196598:SRF196620 TBB196598:TBB196620 TKX196598:TKX196620 TUT196598:TUT196620 UEP196598:UEP196620 UOL196598:UOL196620 UYH196598:UYH196620 VID196598:VID196620 VRZ196598:VRZ196620 WBV196598:WBV196620 WLR196598:WLR196620 WVN196598:WVN196620 C262134:C262156 JB262134:JB262156 SX262134:SX262156 ACT262134:ACT262156 AMP262134:AMP262156 AWL262134:AWL262156 BGH262134:BGH262156 BQD262134:BQD262156 BZZ262134:BZZ262156 CJV262134:CJV262156 CTR262134:CTR262156 DDN262134:DDN262156 DNJ262134:DNJ262156 DXF262134:DXF262156 EHB262134:EHB262156 EQX262134:EQX262156 FAT262134:FAT262156 FKP262134:FKP262156 FUL262134:FUL262156 GEH262134:GEH262156 GOD262134:GOD262156 GXZ262134:GXZ262156 HHV262134:HHV262156 HRR262134:HRR262156 IBN262134:IBN262156 ILJ262134:ILJ262156 IVF262134:IVF262156 JFB262134:JFB262156 JOX262134:JOX262156 JYT262134:JYT262156 KIP262134:KIP262156 KSL262134:KSL262156 LCH262134:LCH262156 LMD262134:LMD262156 LVZ262134:LVZ262156 MFV262134:MFV262156 MPR262134:MPR262156 MZN262134:MZN262156 NJJ262134:NJJ262156 NTF262134:NTF262156 ODB262134:ODB262156 OMX262134:OMX262156 OWT262134:OWT262156 PGP262134:PGP262156 PQL262134:PQL262156 QAH262134:QAH262156 QKD262134:QKD262156 QTZ262134:QTZ262156 RDV262134:RDV262156 RNR262134:RNR262156 RXN262134:RXN262156 SHJ262134:SHJ262156 SRF262134:SRF262156 TBB262134:TBB262156 TKX262134:TKX262156 TUT262134:TUT262156 UEP262134:UEP262156 UOL262134:UOL262156 UYH262134:UYH262156 VID262134:VID262156 VRZ262134:VRZ262156 WBV262134:WBV262156 WLR262134:WLR262156 WVN262134:WVN262156 C327670:C327692 JB327670:JB327692 SX327670:SX327692 ACT327670:ACT327692 AMP327670:AMP327692 AWL327670:AWL327692 BGH327670:BGH327692 BQD327670:BQD327692 BZZ327670:BZZ327692 CJV327670:CJV327692 CTR327670:CTR327692 DDN327670:DDN327692 DNJ327670:DNJ327692 DXF327670:DXF327692 EHB327670:EHB327692 EQX327670:EQX327692 FAT327670:FAT327692 FKP327670:FKP327692 FUL327670:FUL327692 GEH327670:GEH327692 GOD327670:GOD327692 GXZ327670:GXZ327692 HHV327670:HHV327692 HRR327670:HRR327692 IBN327670:IBN327692 ILJ327670:ILJ327692 IVF327670:IVF327692 JFB327670:JFB327692 JOX327670:JOX327692 JYT327670:JYT327692 KIP327670:KIP327692 KSL327670:KSL327692 LCH327670:LCH327692 LMD327670:LMD327692 LVZ327670:LVZ327692 MFV327670:MFV327692 MPR327670:MPR327692 MZN327670:MZN327692 NJJ327670:NJJ327692 NTF327670:NTF327692 ODB327670:ODB327692 OMX327670:OMX327692 OWT327670:OWT327692 PGP327670:PGP327692 PQL327670:PQL327692 QAH327670:QAH327692 QKD327670:QKD327692 QTZ327670:QTZ327692 RDV327670:RDV327692 RNR327670:RNR327692 RXN327670:RXN327692 SHJ327670:SHJ327692 SRF327670:SRF327692 TBB327670:TBB327692 TKX327670:TKX327692 TUT327670:TUT327692 UEP327670:UEP327692 UOL327670:UOL327692 UYH327670:UYH327692 VID327670:VID327692 VRZ327670:VRZ327692 WBV327670:WBV327692 WLR327670:WLR327692 WVN327670:WVN327692 C393206:C393228 JB393206:JB393228 SX393206:SX393228 ACT393206:ACT393228 AMP393206:AMP393228 AWL393206:AWL393228 BGH393206:BGH393228 BQD393206:BQD393228 BZZ393206:BZZ393228 CJV393206:CJV393228 CTR393206:CTR393228 DDN393206:DDN393228 DNJ393206:DNJ393228 DXF393206:DXF393228 EHB393206:EHB393228 EQX393206:EQX393228 FAT393206:FAT393228 FKP393206:FKP393228 FUL393206:FUL393228 GEH393206:GEH393228 GOD393206:GOD393228 GXZ393206:GXZ393228 HHV393206:HHV393228 HRR393206:HRR393228 IBN393206:IBN393228 ILJ393206:ILJ393228 IVF393206:IVF393228 JFB393206:JFB393228 JOX393206:JOX393228 JYT393206:JYT393228 KIP393206:KIP393228 KSL393206:KSL393228 LCH393206:LCH393228 LMD393206:LMD393228 LVZ393206:LVZ393228 MFV393206:MFV393228 MPR393206:MPR393228 MZN393206:MZN393228 NJJ393206:NJJ393228 NTF393206:NTF393228 ODB393206:ODB393228 OMX393206:OMX393228 OWT393206:OWT393228 PGP393206:PGP393228 PQL393206:PQL393228 QAH393206:QAH393228 QKD393206:QKD393228 QTZ393206:QTZ393228 RDV393206:RDV393228 RNR393206:RNR393228 RXN393206:RXN393228 SHJ393206:SHJ393228 SRF393206:SRF393228 TBB393206:TBB393228 TKX393206:TKX393228 TUT393206:TUT393228 UEP393206:UEP393228 UOL393206:UOL393228 UYH393206:UYH393228 VID393206:VID393228 VRZ393206:VRZ393228 WBV393206:WBV393228 WLR393206:WLR393228 WVN393206:WVN393228 C458742:C458764 JB458742:JB458764 SX458742:SX458764 ACT458742:ACT458764 AMP458742:AMP458764 AWL458742:AWL458764 BGH458742:BGH458764 BQD458742:BQD458764 BZZ458742:BZZ458764 CJV458742:CJV458764 CTR458742:CTR458764 DDN458742:DDN458764 DNJ458742:DNJ458764 DXF458742:DXF458764 EHB458742:EHB458764 EQX458742:EQX458764 FAT458742:FAT458764 FKP458742:FKP458764 FUL458742:FUL458764 GEH458742:GEH458764 GOD458742:GOD458764 GXZ458742:GXZ458764 HHV458742:HHV458764 HRR458742:HRR458764 IBN458742:IBN458764 ILJ458742:ILJ458764 IVF458742:IVF458764 JFB458742:JFB458764 JOX458742:JOX458764 JYT458742:JYT458764 KIP458742:KIP458764 KSL458742:KSL458764 LCH458742:LCH458764 LMD458742:LMD458764 LVZ458742:LVZ458764 MFV458742:MFV458764 MPR458742:MPR458764 MZN458742:MZN458764 NJJ458742:NJJ458764 NTF458742:NTF458764 ODB458742:ODB458764 OMX458742:OMX458764 OWT458742:OWT458764 PGP458742:PGP458764 PQL458742:PQL458764 QAH458742:QAH458764 QKD458742:QKD458764 QTZ458742:QTZ458764 RDV458742:RDV458764 RNR458742:RNR458764 RXN458742:RXN458764 SHJ458742:SHJ458764 SRF458742:SRF458764 TBB458742:TBB458764 TKX458742:TKX458764 TUT458742:TUT458764 UEP458742:UEP458764 UOL458742:UOL458764 UYH458742:UYH458764 VID458742:VID458764 VRZ458742:VRZ458764 WBV458742:WBV458764 WLR458742:WLR458764 WVN458742:WVN458764 C524278:C524300 JB524278:JB524300 SX524278:SX524300 ACT524278:ACT524300 AMP524278:AMP524300 AWL524278:AWL524300 BGH524278:BGH524300 BQD524278:BQD524300 BZZ524278:BZZ524300 CJV524278:CJV524300 CTR524278:CTR524300 DDN524278:DDN524300 DNJ524278:DNJ524300 DXF524278:DXF524300 EHB524278:EHB524300 EQX524278:EQX524300 FAT524278:FAT524300 FKP524278:FKP524300 FUL524278:FUL524300 GEH524278:GEH524300 GOD524278:GOD524300 GXZ524278:GXZ524300 HHV524278:HHV524300 HRR524278:HRR524300 IBN524278:IBN524300 ILJ524278:ILJ524300 IVF524278:IVF524300 JFB524278:JFB524300 JOX524278:JOX524300 JYT524278:JYT524300 KIP524278:KIP524300 KSL524278:KSL524300 LCH524278:LCH524300 LMD524278:LMD524300 LVZ524278:LVZ524300 MFV524278:MFV524300 MPR524278:MPR524300 MZN524278:MZN524300 NJJ524278:NJJ524300 NTF524278:NTF524300 ODB524278:ODB524300 OMX524278:OMX524300 OWT524278:OWT524300 PGP524278:PGP524300 PQL524278:PQL524300 QAH524278:QAH524300 QKD524278:QKD524300 QTZ524278:QTZ524300 RDV524278:RDV524300 RNR524278:RNR524300 RXN524278:RXN524300 SHJ524278:SHJ524300 SRF524278:SRF524300 TBB524278:TBB524300 TKX524278:TKX524300 TUT524278:TUT524300 UEP524278:UEP524300 UOL524278:UOL524300 UYH524278:UYH524300 VID524278:VID524300 VRZ524278:VRZ524300 WBV524278:WBV524300 WLR524278:WLR524300 WVN524278:WVN524300 C589814:C589836 JB589814:JB589836 SX589814:SX589836 ACT589814:ACT589836 AMP589814:AMP589836 AWL589814:AWL589836 BGH589814:BGH589836 BQD589814:BQD589836 BZZ589814:BZZ589836 CJV589814:CJV589836 CTR589814:CTR589836 DDN589814:DDN589836 DNJ589814:DNJ589836 DXF589814:DXF589836 EHB589814:EHB589836 EQX589814:EQX589836 FAT589814:FAT589836 FKP589814:FKP589836 FUL589814:FUL589836 GEH589814:GEH589836 GOD589814:GOD589836 GXZ589814:GXZ589836 HHV589814:HHV589836 HRR589814:HRR589836 IBN589814:IBN589836 ILJ589814:ILJ589836 IVF589814:IVF589836 JFB589814:JFB589836 JOX589814:JOX589836 JYT589814:JYT589836 KIP589814:KIP589836 KSL589814:KSL589836 LCH589814:LCH589836 LMD589814:LMD589836 LVZ589814:LVZ589836 MFV589814:MFV589836 MPR589814:MPR589836 MZN589814:MZN589836 NJJ589814:NJJ589836 NTF589814:NTF589836 ODB589814:ODB589836 OMX589814:OMX589836 OWT589814:OWT589836 PGP589814:PGP589836 PQL589814:PQL589836 QAH589814:QAH589836 QKD589814:QKD589836 QTZ589814:QTZ589836 RDV589814:RDV589836 RNR589814:RNR589836 RXN589814:RXN589836 SHJ589814:SHJ589836 SRF589814:SRF589836 TBB589814:TBB589836 TKX589814:TKX589836 TUT589814:TUT589836 UEP589814:UEP589836 UOL589814:UOL589836 UYH589814:UYH589836 VID589814:VID589836 VRZ589814:VRZ589836 WBV589814:WBV589836 WLR589814:WLR589836 WVN589814:WVN589836 C655350:C655372 JB655350:JB655372 SX655350:SX655372 ACT655350:ACT655372 AMP655350:AMP655372 AWL655350:AWL655372 BGH655350:BGH655372 BQD655350:BQD655372 BZZ655350:BZZ655372 CJV655350:CJV655372 CTR655350:CTR655372 DDN655350:DDN655372 DNJ655350:DNJ655372 DXF655350:DXF655372 EHB655350:EHB655372 EQX655350:EQX655372 FAT655350:FAT655372 FKP655350:FKP655372 FUL655350:FUL655372 GEH655350:GEH655372 GOD655350:GOD655372 GXZ655350:GXZ655372 HHV655350:HHV655372 HRR655350:HRR655372 IBN655350:IBN655372 ILJ655350:ILJ655372 IVF655350:IVF655372 JFB655350:JFB655372 JOX655350:JOX655372 JYT655350:JYT655372 KIP655350:KIP655372 KSL655350:KSL655372 LCH655350:LCH655372 LMD655350:LMD655372 LVZ655350:LVZ655372 MFV655350:MFV655372 MPR655350:MPR655372 MZN655350:MZN655372 NJJ655350:NJJ655372 NTF655350:NTF655372 ODB655350:ODB655372 OMX655350:OMX655372 OWT655350:OWT655372 PGP655350:PGP655372 PQL655350:PQL655372 QAH655350:QAH655372 QKD655350:QKD655372 QTZ655350:QTZ655372 RDV655350:RDV655372 RNR655350:RNR655372 RXN655350:RXN655372 SHJ655350:SHJ655372 SRF655350:SRF655372 TBB655350:TBB655372 TKX655350:TKX655372 TUT655350:TUT655372 UEP655350:UEP655372 UOL655350:UOL655372 UYH655350:UYH655372 VID655350:VID655372 VRZ655350:VRZ655372 WBV655350:WBV655372 WLR655350:WLR655372 WVN655350:WVN655372 C720886:C720908 JB720886:JB720908 SX720886:SX720908 ACT720886:ACT720908 AMP720886:AMP720908 AWL720886:AWL720908 BGH720886:BGH720908 BQD720886:BQD720908 BZZ720886:BZZ720908 CJV720886:CJV720908 CTR720886:CTR720908 DDN720886:DDN720908 DNJ720886:DNJ720908 DXF720886:DXF720908 EHB720886:EHB720908 EQX720886:EQX720908 FAT720886:FAT720908 FKP720886:FKP720908 FUL720886:FUL720908 GEH720886:GEH720908 GOD720886:GOD720908 GXZ720886:GXZ720908 HHV720886:HHV720908 HRR720886:HRR720908 IBN720886:IBN720908 ILJ720886:ILJ720908 IVF720886:IVF720908 JFB720886:JFB720908 JOX720886:JOX720908 JYT720886:JYT720908 KIP720886:KIP720908 KSL720886:KSL720908 LCH720886:LCH720908 LMD720886:LMD720908 LVZ720886:LVZ720908 MFV720886:MFV720908 MPR720886:MPR720908 MZN720886:MZN720908 NJJ720886:NJJ720908 NTF720886:NTF720908 ODB720886:ODB720908 OMX720886:OMX720908 OWT720886:OWT720908 PGP720886:PGP720908 PQL720886:PQL720908 QAH720886:QAH720908 QKD720886:QKD720908 QTZ720886:QTZ720908 RDV720886:RDV720908 RNR720886:RNR720908 RXN720886:RXN720908 SHJ720886:SHJ720908 SRF720886:SRF720908 TBB720886:TBB720908 TKX720886:TKX720908 TUT720886:TUT720908 UEP720886:UEP720908 UOL720886:UOL720908 UYH720886:UYH720908 VID720886:VID720908 VRZ720886:VRZ720908 WBV720886:WBV720908 WLR720886:WLR720908 WVN720886:WVN720908 C786422:C786444 JB786422:JB786444 SX786422:SX786444 ACT786422:ACT786444 AMP786422:AMP786444 AWL786422:AWL786444 BGH786422:BGH786444 BQD786422:BQD786444 BZZ786422:BZZ786444 CJV786422:CJV786444 CTR786422:CTR786444 DDN786422:DDN786444 DNJ786422:DNJ786444 DXF786422:DXF786444 EHB786422:EHB786444 EQX786422:EQX786444 FAT786422:FAT786444 FKP786422:FKP786444 FUL786422:FUL786444 GEH786422:GEH786444 GOD786422:GOD786444 GXZ786422:GXZ786444 HHV786422:HHV786444 HRR786422:HRR786444 IBN786422:IBN786444 ILJ786422:ILJ786444 IVF786422:IVF786444 JFB786422:JFB786444 JOX786422:JOX786444 JYT786422:JYT786444 KIP786422:KIP786444 KSL786422:KSL786444 LCH786422:LCH786444 LMD786422:LMD786444 LVZ786422:LVZ786444 MFV786422:MFV786444 MPR786422:MPR786444 MZN786422:MZN786444 NJJ786422:NJJ786444 NTF786422:NTF786444 ODB786422:ODB786444 OMX786422:OMX786444 OWT786422:OWT786444 PGP786422:PGP786444 PQL786422:PQL786444 QAH786422:QAH786444 QKD786422:QKD786444 QTZ786422:QTZ786444 RDV786422:RDV786444 RNR786422:RNR786444 RXN786422:RXN786444 SHJ786422:SHJ786444 SRF786422:SRF786444 TBB786422:TBB786444 TKX786422:TKX786444 TUT786422:TUT786444 UEP786422:UEP786444 UOL786422:UOL786444 UYH786422:UYH786444 VID786422:VID786444 VRZ786422:VRZ786444 WBV786422:WBV786444 WLR786422:WLR786444 WVN786422:WVN786444 C851958:C851980 JB851958:JB851980 SX851958:SX851980 ACT851958:ACT851980 AMP851958:AMP851980 AWL851958:AWL851980 BGH851958:BGH851980 BQD851958:BQD851980 BZZ851958:BZZ851980 CJV851958:CJV851980 CTR851958:CTR851980 DDN851958:DDN851980 DNJ851958:DNJ851980 DXF851958:DXF851980 EHB851958:EHB851980 EQX851958:EQX851980 FAT851958:FAT851980 FKP851958:FKP851980 FUL851958:FUL851980 GEH851958:GEH851980 GOD851958:GOD851980 GXZ851958:GXZ851980 HHV851958:HHV851980 HRR851958:HRR851980 IBN851958:IBN851980 ILJ851958:ILJ851980 IVF851958:IVF851980 JFB851958:JFB851980 JOX851958:JOX851980 JYT851958:JYT851980 KIP851958:KIP851980 KSL851958:KSL851980 LCH851958:LCH851980 LMD851958:LMD851980 LVZ851958:LVZ851980 MFV851958:MFV851980 MPR851958:MPR851980 MZN851958:MZN851980 NJJ851958:NJJ851980 NTF851958:NTF851980 ODB851958:ODB851980 OMX851958:OMX851980 OWT851958:OWT851980 PGP851958:PGP851980 PQL851958:PQL851980 QAH851958:QAH851980 QKD851958:QKD851980 QTZ851958:QTZ851980 RDV851958:RDV851980 RNR851958:RNR851980 RXN851958:RXN851980 SHJ851958:SHJ851980 SRF851958:SRF851980 TBB851958:TBB851980 TKX851958:TKX851980 TUT851958:TUT851980 UEP851958:UEP851980 UOL851958:UOL851980 UYH851958:UYH851980 VID851958:VID851980 VRZ851958:VRZ851980 WBV851958:WBV851980 WLR851958:WLR851980 WVN851958:WVN851980 C917494:C917516 JB917494:JB917516 SX917494:SX917516 ACT917494:ACT917516 AMP917494:AMP917516 AWL917494:AWL917516 BGH917494:BGH917516 BQD917494:BQD917516 BZZ917494:BZZ917516 CJV917494:CJV917516 CTR917494:CTR917516 DDN917494:DDN917516 DNJ917494:DNJ917516 DXF917494:DXF917516 EHB917494:EHB917516 EQX917494:EQX917516 FAT917494:FAT917516 FKP917494:FKP917516 FUL917494:FUL917516 GEH917494:GEH917516 GOD917494:GOD917516 GXZ917494:GXZ917516 HHV917494:HHV917516 HRR917494:HRR917516 IBN917494:IBN917516 ILJ917494:ILJ917516 IVF917494:IVF917516 JFB917494:JFB917516 JOX917494:JOX917516 JYT917494:JYT917516 KIP917494:KIP917516 KSL917494:KSL917516 LCH917494:LCH917516 LMD917494:LMD917516 LVZ917494:LVZ917516 MFV917494:MFV917516 MPR917494:MPR917516 MZN917494:MZN917516 NJJ917494:NJJ917516 NTF917494:NTF917516 ODB917494:ODB917516 OMX917494:OMX917516 OWT917494:OWT917516 PGP917494:PGP917516 PQL917494:PQL917516 QAH917494:QAH917516 QKD917494:QKD917516 QTZ917494:QTZ917516 RDV917494:RDV917516 RNR917494:RNR917516 RXN917494:RXN917516 SHJ917494:SHJ917516 SRF917494:SRF917516 TBB917494:TBB917516 TKX917494:TKX917516 TUT917494:TUT917516 UEP917494:UEP917516 UOL917494:UOL917516 UYH917494:UYH917516 VID917494:VID917516 VRZ917494:VRZ917516 WBV917494:WBV917516 WLR917494:WLR917516 WVN917494:WVN917516 C983030:C983052 JB983030:JB983052 SX983030:SX983052 ACT983030:ACT983052 AMP983030:AMP983052 AWL983030:AWL983052 BGH983030:BGH983052 BQD983030:BQD983052 BZZ983030:BZZ983052 CJV983030:CJV983052 CTR983030:CTR983052 DDN983030:DDN983052 DNJ983030:DNJ983052 DXF983030:DXF983052 EHB983030:EHB983052 EQX983030:EQX983052 FAT983030:FAT983052 FKP983030:FKP983052 FUL983030:FUL983052 GEH983030:GEH983052 GOD983030:GOD983052 GXZ983030:GXZ983052 HHV983030:HHV983052 HRR983030:HRR983052 IBN983030:IBN983052 ILJ983030:ILJ983052 IVF983030:IVF983052 JFB983030:JFB983052 JOX983030:JOX983052 JYT983030:JYT983052 KIP983030:KIP983052 KSL983030:KSL983052 LCH983030:LCH983052 LMD983030:LMD983052 LVZ983030:LVZ983052 MFV983030:MFV983052 MPR983030:MPR983052 MZN983030:MZN983052 NJJ983030:NJJ983052 NTF983030:NTF983052 ODB983030:ODB983052 OMX983030:OMX983052 OWT983030:OWT983052 PGP983030:PGP983052 PQL983030:PQL983052 QAH983030:QAH983052 QKD983030:QKD983052 QTZ983030:QTZ983052 RDV983030:RDV983052 RNR983030:RNR983052 RXN983030:RXN983052 SHJ983030:SHJ983052 SRF983030:SRF983052 TBB983030:TBB983052 TKX983030:TKX983052 TUT983030:TUT983052 UEP983030:UEP983052 UOL983030:UOL983052 UYH983030:UYH983052 VID983030:VID983052 VRZ983030:VRZ983052 WBV983030:WBV983052 WLR983030:WLR983052 WVN983030:WVN983052 N65526:N65548 JJ65526:JJ65548 TF65526:TF65548 ADB65526:ADB65548 AMX65526:AMX65548 AWT65526:AWT65548 BGP65526:BGP65548 BQL65526:BQL65548 CAH65526:CAH65548 CKD65526:CKD65548 CTZ65526:CTZ65548 DDV65526:DDV65548 DNR65526:DNR65548 DXN65526:DXN65548 EHJ65526:EHJ65548 ERF65526:ERF65548 FBB65526:FBB65548 FKX65526:FKX65548 FUT65526:FUT65548 GEP65526:GEP65548 GOL65526:GOL65548 GYH65526:GYH65548 HID65526:HID65548 HRZ65526:HRZ65548 IBV65526:IBV65548 ILR65526:ILR65548 IVN65526:IVN65548 JFJ65526:JFJ65548 JPF65526:JPF65548 JZB65526:JZB65548 KIX65526:KIX65548 KST65526:KST65548 LCP65526:LCP65548 LML65526:LML65548 LWH65526:LWH65548 MGD65526:MGD65548 MPZ65526:MPZ65548 MZV65526:MZV65548 NJR65526:NJR65548 NTN65526:NTN65548 ODJ65526:ODJ65548 ONF65526:ONF65548 OXB65526:OXB65548 PGX65526:PGX65548 PQT65526:PQT65548 QAP65526:QAP65548 QKL65526:QKL65548 QUH65526:QUH65548 RED65526:RED65548 RNZ65526:RNZ65548 RXV65526:RXV65548 SHR65526:SHR65548 SRN65526:SRN65548 TBJ65526:TBJ65548 TLF65526:TLF65548 TVB65526:TVB65548 UEX65526:UEX65548 UOT65526:UOT65548 UYP65526:UYP65548 VIL65526:VIL65548 VSH65526:VSH65548 WCD65526:WCD65548 WLZ65526:WLZ65548 WVV65526:WVV65548 N131062:N131084 JJ131062:JJ131084 TF131062:TF131084 ADB131062:ADB131084 AMX131062:AMX131084 AWT131062:AWT131084 BGP131062:BGP131084 BQL131062:BQL131084 CAH131062:CAH131084 CKD131062:CKD131084 CTZ131062:CTZ131084 DDV131062:DDV131084 DNR131062:DNR131084 DXN131062:DXN131084 EHJ131062:EHJ131084 ERF131062:ERF131084 FBB131062:FBB131084 FKX131062:FKX131084 FUT131062:FUT131084 GEP131062:GEP131084 GOL131062:GOL131084 GYH131062:GYH131084 HID131062:HID131084 HRZ131062:HRZ131084 IBV131062:IBV131084 ILR131062:ILR131084 IVN131062:IVN131084 JFJ131062:JFJ131084 JPF131062:JPF131084 JZB131062:JZB131084 KIX131062:KIX131084 KST131062:KST131084 LCP131062:LCP131084 LML131062:LML131084 LWH131062:LWH131084 MGD131062:MGD131084 MPZ131062:MPZ131084 MZV131062:MZV131084 NJR131062:NJR131084 NTN131062:NTN131084 ODJ131062:ODJ131084 ONF131062:ONF131084 OXB131062:OXB131084 PGX131062:PGX131084 PQT131062:PQT131084 QAP131062:QAP131084 QKL131062:QKL131084 QUH131062:QUH131084 RED131062:RED131084 RNZ131062:RNZ131084 RXV131062:RXV131084 SHR131062:SHR131084 SRN131062:SRN131084 TBJ131062:TBJ131084 TLF131062:TLF131084 TVB131062:TVB131084 UEX131062:UEX131084 UOT131062:UOT131084 UYP131062:UYP131084 VIL131062:VIL131084 VSH131062:VSH131084 WCD131062:WCD131084 WLZ131062:WLZ131084 WVV131062:WVV131084 N196598:N196620 JJ196598:JJ196620 TF196598:TF196620 ADB196598:ADB196620 AMX196598:AMX196620 AWT196598:AWT196620 BGP196598:BGP196620 BQL196598:BQL196620 CAH196598:CAH196620 CKD196598:CKD196620 CTZ196598:CTZ196620 DDV196598:DDV196620 DNR196598:DNR196620 DXN196598:DXN196620 EHJ196598:EHJ196620 ERF196598:ERF196620 FBB196598:FBB196620 FKX196598:FKX196620 FUT196598:FUT196620 GEP196598:GEP196620 GOL196598:GOL196620 GYH196598:GYH196620 HID196598:HID196620 HRZ196598:HRZ196620 IBV196598:IBV196620 ILR196598:ILR196620 IVN196598:IVN196620 JFJ196598:JFJ196620 JPF196598:JPF196620 JZB196598:JZB196620 KIX196598:KIX196620 KST196598:KST196620 LCP196598:LCP196620 LML196598:LML196620 LWH196598:LWH196620 MGD196598:MGD196620 MPZ196598:MPZ196620 MZV196598:MZV196620 NJR196598:NJR196620 NTN196598:NTN196620 ODJ196598:ODJ196620 ONF196598:ONF196620 OXB196598:OXB196620 PGX196598:PGX196620 PQT196598:PQT196620 QAP196598:QAP196620 QKL196598:QKL196620 QUH196598:QUH196620 RED196598:RED196620 RNZ196598:RNZ196620 RXV196598:RXV196620 SHR196598:SHR196620 SRN196598:SRN196620 TBJ196598:TBJ196620 TLF196598:TLF196620 TVB196598:TVB196620 UEX196598:UEX196620 UOT196598:UOT196620 UYP196598:UYP196620 VIL196598:VIL196620 VSH196598:VSH196620 WCD196598:WCD196620 WLZ196598:WLZ196620 WVV196598:WVV196620 N262134:N262156 JJ262134:JJ262156 TF262134:TF262156 ADB262134:ADB262156 AMX262134:AMX262156 AWT262134:AWT262156 BGP262134:BGP262156 BQL262134:BQL262156 CAH262134:CAH262156 CKD262134:CKD262156 CTZ262134:CTZ262156 DDV262134:DDV262156 DNR262134:DNR262156 DXN262134:DXN262156 EHJ262134:EHJ262156 ERF262134:ERF262156 FBB262134:FBB262156 FKX262134:FKX262156 FUT262134:FUT262156 GEP262134:GEP262156 GOL262134:GOL262156 GYH262134:GYH262156 HID262134:HID262156 HRZ262134:HRZ262156 IBV262134:IBV262156 ILR262134:ILR262156 IVN262134:IVN262156 JFJ262134:JFJ262156 JPF262134:JPF262156 JZB262134:JZB262156 KIX262134:KIX262156 KST262134:KST262156 LCP262134:LCP262156 LML262134:LML262156 LWH262134:LWH262156 MGD262134:MGD262156 MPZ262134:MPZ262156 MZV262134:MZV262156 NJR262134:NJR262156 NTN262134:NTN262156 ODJ262134:ODJ262156 ONF262134:ONF262156 OXB262134:OXB262156 PGX262134:PGX262156 PQT262134:PQT262156 QAP262134:QAP262156 QKL262134:QKL262156 QUH262134:QUH262156 RED262134:RED262156 RNZ262134:RNZ262156 RXV262134:RXV262156 SHR262134:SHR262156 SRN262134:SRN262156 TBJ262134:TBJ262156 TLF262134:TLF262156 TVB262134:TVB262156 UEX262134:UEX262156 UOT262134:UOT262156 UYP262134:UYP262156 VIL262134:VIL262156 VSH262134:VSH262156 WCD262134:WCD262156 WLZ262134:WLZ262156 WVV262134:WVV262156 N327670:N327692 JJ327670:JJ327692 TF327670:TF327692 ADB327670:ADB327692 AMX327670:AMX327692 AWT327670:AWT327692 BGP327670:BGP327692 BQL327670:BQL327692 CAH327670:CAH327692 CKD327670:CKD327692 CTZ327670:CTZ327692 DDV327670:DDV327692 DNR327670:DNR327692 DXN327670:DXN327692 EHJ327670:EHJ327692 ERF327670:ERF327692 FBB327670:FBB327692 FKX327670:FKX327692 FUT327670:FUT327692 GEP327670:GEP327692 GOL327670:GOL327692 GYH327670:GYH327692 HID327670:HID327692 HRZ327670:HRZ327692 IBV327670:IBV327692 ILR327670:ILR327692 IVN327670:IVN327692 JFJ327670:JFJ327692 JPF327670:JPF327692 JZB327670:JZB327692 KIX327670:KIX327692 KST327670:KST327692 LCP327670:LCP327692 LML327670:LML327692 LWH327670:LWH327692 MGD327670:MGD327692 MPZ327670:MPZ327692 MZV327670:MZV327692 NJR327670:NJR327692 NTN327670:NTN327692 ODJ327670:ODJ327692 ONF327670:ONF327692 OXB327670:OXB327692 PGX327670:PGX327692 PQT327670:PQT327692 QAP327670:QAP327692 QKL327670:QKL327692 QUH327670:QUH327692 RED327670:RED327692 RNZ327670:RNZ327692 RXV327670:RXV327692 SHR327670:SHR327692 SRN327670:SRN327692 TBJ327670:TBJ327692 TLF327670:TLF327692 TVB327670:TVB327692 UEX327670:UEX327692 UOT327670:UOT327692 UYP327670:UYP327692 VIL327670:VIL327692 VSH327670:VSH327692 WCD327670:WCD327692 WLZ327670:WLZ327692 WVV327670:WVV327692 N393206:N393228 JJ393206:JJ393228 TF393206:TF393228 ADB393206:ADB393228 AMX393206:AMX393228 AWT393206:AWT393228 BGP393206:BGP393228 BQL393206:BQL393228 CAH393206:CAH393228 CKD393206:CKD393228 CTZ393206:CTZ393228 DDV393206:DDV393228 DNR393206:DNR393228 DXN393206:DXN393228 EHJ393206:EHJ393228 ERF393206:ERF393228 FBB393206:FBB393228 FKX393206:FKX393228 FUT393206:FUT393228 GEP393206:GEP393228 GOL393206:GOL393228 GYH393206:GYH393228 HID393206:HID393228 HRZ393206:HRZ393228 IBV393206:IBV393228 ILR393206:ILR393228 IVN393206:IVN393228 JFJ393206:JFJ393228 JPF393206:JPF393228 JZB393206:JZB393228 KIX393206:KIX393228 KST393206:KST393228 LCP393206:LCP393228 LML393206:LML393228 LWH393206:LWH393228 MGD393206:MGD393228 MPZ393206:MPZ393228 MZV393206:MZV393228 NJR393206:NJR393228 NTN393206:NTN393228 ODJ393206:ODJ393228 ONF393206:ONF393228 OXB393206:OXB393228 PGX393206:PGX393228 PQT393206:PQT393228 QAP393206:QAP393228 QKL393206:QKL393228 QUH393206:QUH393228 RED393206:RED393228 RNZ393206:RNZ393228 RXV393206:RXV393228 SHR393206:SHR393228 SRN393206:SRN393228 TBJ393206:TBJ393228 TLF393206:TLF393228 TVB393206:TVB393228 UEX393206:UEX393228 UOT393206:UOT393228 UYP393206:UYP393228 VIL393206:VIL393228 VSH393206:VSH393228 WCD393206:WCD393228 WLZ393206:WLZ393228 WVV393206:WVV393228 N458742:N458764 JJ458742:JJ458764 TF458742:TF458764 ADB458742:ADB458764 AMX458742:AMX458764 AWT458742:AWT458764 BGP458742:BGP458764 BQL458742:BQL458764 CAH458742:CAH458764 CKD458742:CKD458764 CTZ458742:CTZ458764 DDV458742:DDV458764 DNR458742:DNR458764 DXN458742:DXN458764 EHJ458742:EHJ458764 ERF458742:ERF458764 FBB458742:FBB458764 FKX458742:FKX458764 FUT458742:FUT458764 GEP458742:GEP458764 GOL458742:GOL458764 GYH458742:GYH458764 HID458742:HID458764 HRZ458742:HRZ458764 IBV458742:IBV458764 ILR458742:ILR458764 IVN458742:IVN458764 JFJ458742:JFJ458764 JPF458742:JPF458764 JZB458742:JZB458764 KIX458742:KIX458764 KST458742:KST458764 LCP458742:LCP458764 LML458742:LML458764 LWH458742:LWH458764 MGD458742:MGD458764 MPZ458742:MPZ458764 MZV458742:MZV458764 NJR458742:NJR458764 NTN458742:NTN458764 ODJ458742:ODJ458764 ONF458742:ONF458764 OXB458742:OXB458764 PGX458742:PGX458764 PQT458742:PQT458764 QAP458742:QAP458764 QKL458742:QKL458764 QUH458742:QUH458764 RED458742:RED458764 RNZ458742:RNZ458764 RXV458742:RXV458764 SHR458742:SHR458764 SRN458742:SRN458764 TBJ458742:TBJ458764 TLF458742:TLF458764 TVB458742:TVB458764 UEX458742:UEX458764 UOT458742:UOT458764 UYP458742:UYP458764 VIL458742:VIL458764 VSH458742:VSH458764 WCD458742:WCD458764 WLZ458742:WLZ458764 WVV458742:WVV458764 N524278:N524300 JJ524278:JJ524300 TF524278:TF524300 ADB524278:ADB524300 AMX524278:AMX524300 AWT524278:AWT524300 BGP524278:BGP524300 BQL524278:BQL524300 CAH524278:CAH524300 CKD524278:CKD524300 CTZ524278:CTZ524300 DDV524278:DDV524300 DNR524278:DNR524300 DXN524278:DXN524300 EHJ524278:EHJ524300 ERF524278:ERF524300 FBB524278:FBB524300 FKX524278:FKX524300 FUT524278:FUT524300 GEP524278:GEP524300 GOL524278:GOL524300 GYH524278:GYH524300 HID524278:HID524300 HRZ524278:HRZ524300 IBV524278:IBV524300 ILR524278:ILR524300 IVN524278:IVN524300 JFJ524278:JFJ524300 JPF524278:JPF524300 JZB524278:JZB524300 KIX524278:KIX524300 KST524278:KST524300 LCP524278:LCP524300 LML524278:LML524300 LWH524278:LWH524300 MGD524278:MGD524300 MPZ524278:MPZ524300 MZV524278:MZV524300 NJR524278:NJR524300 NTN524278:NTN524300 ODJ524278:ODJ524300 ONF524278:ONF524300 OXB524278:OXB524300 PGX524278:PGX524300 PQT524278:PQT524300 QAP524278:QAP524300 QKL524278:QKL524300 QUH524278:QUH524300 RED524278:RED524300 RNZ524278:RNZ524300 RXV524278:RXV524300 SHR524278:SHR524300 SRN524278:SRN524300 TBJ524278:TBJ524300 TLF524278:TLF524300 TVB524278:TVB524300 UEX524278:UEX524300 UOT524278:UOT524300 UYP524278:UYP524300 VIL524278:VIL524300 VSH524278:VSH524300 WCD524278:WCD524300 WLZ524278:WLZ524300 WVV524278:WVV524300 N589814:N589836 JJ589814:JJ589836 TF589814:TF589836 ADB589814:ADB589836 AMX589814:AMX589836 AWT589814:AWT589836 BGP589814:BGP589836 BQL589814:BQL589836 CAH589814:CAH589836 CKD589814:CKD589836 CTZ589814:CTZ589836 DDV589814:DDV589836 DNR589814:DNR589836 DXN589814:DXN589836 EHJ589814:EHJ589836 ERF589814:ERF589836 FBB589814:FBB589836 FKX589814:FKX589836 FUT589814:FUT589836 GEP589814:GEP589836 GOL589814:GOL589836 GYH589814:GYH589836 HID589814:HID589836 HRZ589814:HRZ589836 IBV589814:IBV589836 ILR589814:ILR589836 IVN589814:IVN589836 JFJ589814:JFJ589836 JPF589814:JPF589836 JZB589814:JZB589836 KIX589814:KIX589836 KST589814:KST589836 LCP589814:LCP589836 LML589814:LML589836 LWH589814:LWH589836 MGD589814:MGD589836 MPZ589814:MPZ589836 MZV589814:MZV589836 NJR589814:NJR589836 NTN589814:NTN589836 ODJ589814:ODJ589836 ONF589814:ONF589836 OXB589814:OXB589836 PGX589814:PGX589836 PQT589814:PQT589836 QAP589814:QAP589836 QKL589814:QKL589836 QUH589814:QUH589836 RED589814:RED589836 RNZ589814:RNZ589836 RXV589814:RXV589836 SHR589814:SHR589836 SRN589814:SRN589836 TBJ589814:TBJ589836 TLF589814:TLF589836 TVB589814:TVB589836 UEX589814:UEX589836 UOT589814:UOT589836 UYP589814:UYP589836 VIL589814:VIL589836 VSH589814:VSH589836 WCD589814:WCD589836 WLZ589814:WLZ589836 WVV589814:WVV589836 N655350:N655372 JJ655350:JJ655372 TF655350:TF655372 ADB655350:ADB655372 AMX655350:AMX655372 AWT655350:AWT655372 BGP655350:BGP655372 BQL655350:BQL655372 CAH655350:CAH655372 CKD655350:CKD655372 CTZ655350:CTZ655372 DDV655350:DDV655372 DNR655350:DNR655372 DXN655350:DXN655372 EHJ655350:EHJ655372 ERF655350:ERF655372 FBB655350:FBB655372 FKX655350:FKX655372 FUT655350:FUT655372 GEP655350:GEP655372 GOL655350:GOL655372 GYH655350:GYH655372 HID655350:HID655372 HRZ655350:HRZ655372 IBV655350:IBV655372 ILR655350:ILR655372 IVN655350:IVN655372 JFJ655350:JFJ655372 JPF655350:JPF655372 JZB655350:JZB655372 KIX655350:KIX655372 KST655350:KST655372 LCP655350:LCP655372 LML655350:LML655372 LWH655350:LWH655372 MGD655350:MGD655372 MPZ655350:MPZ655372 MZV655350:MZV655372 NJR655350:NJR655372 NTN655350:NTN655372 ODJ655350:ODJ655372 ONF655350:ONF655372 OXB655350:OXB655372 PGX655350:PGX655372 PQT655350:PQT655372 QAP655350:QAP655372 QKL655350:QKL655372 QUH655350:QUH655372 RED655350:RED655372 RNZ655350:RNZ655372 RXV655350:RXV655372 SHR655350:SHR655372 SRN655350:SRN655372 TBJ655350:TBJ655372 TLF655350:TLF655372 TVB655350:TVB655372 UEX655350:UEX655372 UOT655350:UOT655372 UYP655350:UYP655372 VIL655350:VIL655372 VSH655350:VSH655372 WCD655350:WCD655372 WLZ655350:WLZ655372 WVV655350:WVV655372 N720886:N720908 JJ720886:JJ720908 TF720886:TF720908 ADB720886:ADB720908 AMX720886:AMX720908 AWT720886:AWT720908 BGP720886:BGP720908 BQL720886:BQL720908 CAH720886:CAH720908 CKD720886:CKD720908 CTZ720886:CTZ720908 DDV720886:DDV720908 DNR720886:DNR720908 DXN720886:DXN720908 EHJ720886:EHJ720908 ERF720886:ERF720908 FBB720886:FBB720908 FKX720886:FKX720908 FUT720886:FUT720908 GEP720886:GEP720908 GOL720886:GOL720908 GYH720886:GYH720908 HID720886:HID720908 HRZ720886:HRZ720908 IBV720886:IBV720908 ILR720886:ILR720908 IVN720886:IVN720908 JFJ720886:JFJ720908 JPF720886:JPF720908 JZB720886:JZB720908 KIX720886:KIX720908 KST720886:KST720908 LCP720886:LCP720908 LML720886:LML720908 LWH720886:LWH720908 MGD720886:MGD720908 MPZ720886:MPZ720908 MZV720886:MZV720908 NJR720886:NJR720908 NTN720886:NTN720908 ODJ720886:ODJ720908 ONF720886:ONF720908 OXB720886:OXB720908 PGX720886:PGX720908 PQT720886:PQT720908 QAP720886:QAP720908 QKL720886:QKL720908 QUH720886:QUH720908 RED720886:RED720908 RNZ720886:RNZ720908 RXV720886:RXV720908 SHR720886:SHR720908 SRN720886:SRN720908 TBJ720886:TBJ720908 TLF720886:TLF720908 TVB720886:TVB720908 UEX720886:UEX720908 UOT720886:UOT720908 UYP720886:UYP720908 VIL720886:VIL720908 VSH720886:VSH720908 WCD720886:WCD720908 WLZ720886:WLZ720908 WVV720886:WVV720908 N786422:N786444 JJ786422:JJ786444 TF786422:TF786444 ADB786422:ADB786444 AMX786422:AMX786444 AWT786422:AWT786444 BGP786422:BGP786444 BQL786422:BQL786444 CAH786422:CAH786444 CKD786422:CKD786444 CTZ786422:CTZ786444 DDV786422:DDV786444 DNR786422:DNR786444 DXN786422:DXN786444 EHJ786422:EHJ786444 ERF786422:ERF786444 FBB786422:FBB786444 FKX786422:FKX786444 FUT786422:FUT786444 GEP786422:GEP786444 GOL786422:GOL786444 GYH786422:GYH786444 HID786422:HID786444 HRZ786422:HRZ786444 IBV786422:IBV786444 ILR786422:ILR786444 IVN786422:IVN786444 JFJ786422:JFJ786444 JPF786422:JPF786444 JZB786422:JZB786444 KIX786422:KIX786444 KST786422:KST786444 LCP786422:LCP786444 LML786422:LML786444 LWH786422:LWH786444 MGD786422:MGD786444 MPZ786422:MPZ786444 MZV786422:MZV786444 NJR786422:NJR786444 NTN786422:NTN786444 ODJ786422:ODJ786444 ONF786422:ONF786444 OXB786422:OXB786444 PGX786422:PGX786444 PQT786422:PQT786444 QAP786422:QAP786444 QKL786422:QKL786444 QUH786422:QUH786444 RED786422:RED786444 RNZ786422:RNZ786444 RXV786422:RXV786444 SHR786422:SHR786444 SRN786422:SRN786444 TBJ786422:TBJ786444 TLF786422:TLF786444 TVB786422:TVB786444 UEX786422:UEX786444 UOT786422:UOT786444 UYP786422:UYP786444 VIL786422:VIL786444 VSH786422:VSH786444 WCD786422:WCD786444 WLZ786422:WLZ786444 WVV786422:WVV786444 N851958:N851980 JJ851958:JJ851980 TF851958:TF851980 ADB851958:ADB851980 AMX851958:AMX851980 AWT851958:AWT851980 BGP851958:BGP851980 BQL851958:BQL851980 CAH851958:CAH851980 CKD851958:CKD851980 CTZ851958:CTZ851980 DDV851958:DDV851980 DNR851958:DNR851980 DXN851958:DXN851980 EHJ851958:EHJ851980 ERF851958:ERF851980 FBB851958:FBB851980 FKX851958:FKX851980 FUT851958:FUT851980 GEP851958:GEP851980 GOL851958:GOL851980 GYH851958:GYH851980 HID851958:HID851980 HRZ851958:HRZ851980 IBV851958:IBV851980 ILR851958:ILR851980 IVN851958:IVN851980 JFJ851958:JFJ851980 JPF851958:JPF851980 JZB851958:JZB851980 KIX851958:KIX851980 KST851958:KST851980 LCP851958:LCP851980 LML851958:LML851980 LWH851958:LWH851980 MGD851958:MGD851980 MPZ851958:MPZ851980 MZV851958:MZV851980 NJR851958:NJR851980 NTN851958:NTN851980 ODJ851958:ODJ851980 ONF851958:ONF851980 OXB851958:OXB851980 PGX851958:PGX851980 PQT851958:PQT851980 QAP851958:QAP851980 QKL851958:QKL851980 QUH851958:QUH851980 RED851958:RED851980 RNZ851958:RNZ851980 RXV851958:RXV851980 SHR851958:SHR851980 SRN851958:SRN851980 TBJ851958:TBJ851980 TLF851958:TLF851980 TVB851958:TVB851980 UEX851958:UEX851980 UOT851958:UOT851980 UYP851958:UYP851980 VIL851958:VIL851980 VSH851958:VSH851980 WCD851958:WCD851980 WLZ851958:WLZ851980 WVV851958:WVV851980 N917494:N917516 JJ917494:JJ917516 TF917494:TF917516 ADB917494:ADB917516 AMX917494:AMX917516 AWT917494:AWT917516 BGP917494:BGP917516 BQL917494:BQL917516 CAH917494:CAH917516 CKD917494:CKD917516 CTZ917494:CTZ917516 DDV917494:DDV917516 DNR917494:DNR917516 DXN917494:DXN917516 EHJ917494:EHJ917516 ERF917494:ERF917516 FBB917494:FBB917516 FKX917494:FKX917516 FUT917494:FUT917516 GEP917494:GEP917516 GOL917494:GOL917516 GYH917494:GYH917516 HID917494:HID917516 HRZ917494:HRZ917516 IBV917494:IBV917516 ILR917494:ILR917516 IVN917494:IVN917516 JFJ917494:JFJ917516 JPF917494:JPF917516 JZB917494:JZB917516 KIX917494:KIX917516 KST917494:KST917516 LCP917494:LCP917516 LML917494:LML917516 LWH917494:LWH917516 MGD917494:MGD917516 MPZ917494:MPZ917516 MZV917494:MZV917516 NJR917494:NJR917516 NTN917494:NTN917516 ODJ917494:ODJ917516 ONF917494:ONF917516 OXB917494:OXB917516 PGX917494:PGX917516 PQT917494:PQT917516 QAP917494:QAP917516 QKL917494:QKL917516 QUH917494:QUH917516 RED917494:RED917516 RNZ917494:RNZ917516 RXV917494:RXV917516 SHR917494:SHR917516 SRN917494:SRN917516 TBJ917494:TBJ917516 TLF917494:TLF917516 TVB917494:TVB917516 UEX917494:UEX917516 UOT917494:UOT917516 UYP917494:UYP917516 VIL917494:VIL917516 VSH917494:VSH917516 WCD917494:WCD917516 WLZ917494:WLZ917516 WVV917494:WVV917516 N983030:N983052 JJ983030:JJ983052 TF983030:TF983052 ADB983030:ADB983052 AMX983030:AMX983052 AWT983030:AWT983052 BGP983030:BGP983052 BQL983030:BQL983052 CAH983030:CAH983052 CKD983030:CKD983052 CTZ983030:CTZ983052 DDV983030:DDV983052 DNR983030:DNR983052 DXN983030:DXN983052 EHJ983030:EHJ983052 ERF983030:ERF983052 FBB983030:FBB983052 FKX983030:FKX983052 FUT983030:FUT983052 GEP983030:GEP983052 GOL983030:GOL983052 GYH983030:GYH983052 HID983030:HID983052 HRZ983030:HRZ983052 IBV983030:IBV983052 ILR983030:ILR983052 IVN983030:IVN983052 JFJ983030:JFJ983052 JPF983030:JPF983052 JZB983030:JZB983052 KIX983030:KIX983052 KST983030:KST983052 LCP983030:LCP983052 LML983030:LML983052 LWH983030:LWH983052 MGD983030:MGD983052 MPZ983030:MPZ983052 MZV983030:MZV983052 NJR983030:NJR983052 NTN983030:NTN983052 ODJ983030:ODJ983052 ONF983030:ONF983052 OXB983030:OXB983052 PGX983030:PGX983052 PQT983030:PQT983052 QAP983030:QAP983052 QKL983030:QKL983052 QUH983030:QUH983052 RED983030:RED983052 RNZ983030:RNZ983052 RXV983030:RXV983052 SHR983030:SHR983052 SRN983030:SRN983052 TBJ983030:TBJ983052 TLF983030:TLF983052 TVB983030:TVB983052 UEX983030:UEX983052 UOT983030:UOT983052 UYP983030:UYP983052 VIL983030:VIL983052 VSH983030:VSH983052 WCD983030:WCD983052 WLZ983030:WLZ983052 F65526:J65548 F131062:J131084 F196598:J196620 F262134:J262156 F327670:J327692 F393206:J393228 F458742:J458764 F524278:J524300 F589814:J589836 F655350:J655372 F720886:J720908 F786422:J786444 F851958:J851980 F917494:J917516 F983030:J983052" xr:uid="{2804758D-B9CD-4DC0-A409-B28BD152974C}">
      <formula1>0</formula1>
    </dataValidation>
    <dataValidation type="decimal" operator="lessThanOrEqual" allowBlank="1" showInputMessage="1" showErrorMessage="1" errorTitle="Positief bedrag" error="Gelieve een negatief bedrag in te geven" sqref="D65526:D65548 JC65526:JC65548 SY65526:SY65548 ACU65526:ACU65548 AMQ65526:AMQ65548 AWM65526:AWM65548 BGI65526:BGI65548 BQE65526:BQE65548 CAA65526:CAA65548 CJW65526:CJW65548 CTS65526:CTS65548 DDO65526:DDO65548 DNK65526:DNK65548 DXG65526:DXG65548 EHC65526:EHC65548 EQY65526:EQY65548 FAU65526:FAU65548 FKQ65526:FKQ65548 FUM65526:FUM65548 GEI65526:GEI65548 GOE65526:GOE65548 GYA65526:GYA65548 HHW65526:HHW65548 HRS65526:HRS65548 IBO65526:IBO65548 ILK65526:ILK65548 IVG65526:IVG65548 JFC65526:JFC65548 JOY65526:JOY65548 JYU65526:JYU65548 KIQ65526:KIQ65548 KSM65526:KSM65548 LCI65526:LCI65548 LME65526:LME65548 LWA65526:LWA65548 MFW65526:MFW65548 MPS65526:MPS65548 MZO65526:MZO65548 NJK65526:NJK65548 NTG65526:NTG65548 ODC65526:ODC65548 OMY65526:OMY65548 OWU65526:OWU65548 PGQ65526:PGQ65548 PQM65526:PQM65548 QAI65526:QAI65548 QKE65526:QKE65548 QUA65526:QUA65548 RDW65526:RDW65548 RNS65526:RNS65548 RXO65526:RXO65548 SHK65526:SHK65548 SRG65526:SRG65548 TBC65526:TBC65548 TKY65526:TKY65548 TUU65526:TUU65548 UEQ65526:UEQ65548 UOM65526:UOM65548 UYI65526:UYI65548 VIE65526:VIE65548 VSA65526:VSA65548 WBW65526:WBW65548 WLS65526:WLS65548 WVO65526:WVO65548 D131062:D131084 JC131062:JC131084 SY131062:SY131084 ACU131062:ACU131084 AMQ131062:AMQ131084 AWM131062:AWM131084 BGI131062:BGI131084 BQE131062:BQE131084 CAA131062:CAA131084 CJW131062:CJW131084 CTS131062:CTS131084 DDO131062:DDO131084 DNK131062:DNK131084 DXG131062:DXG131084 EHC131062:EHC131084 EQY131062:EQY131084 FAU131062:FAU131084 FKQ131062:FKQ131084 FUM131062:FUM131084 GEI131062:GEI131084 GOE131062:GOE131084 GYA131062:GYA131084 HHW131062:HHW131084 HRS131062:HRS131084 IBO131062:IBO131084 ILK131062:ILK131084 IVG131062:IVG131084 JFC131062:JFC131084 JOY131062:JOY131084 JYU131062:JYU131084 KIQ131062:KIQ131084 KSM131062:KSM131084 LCI131062:LCI131084 LME131062:LME131084 LWA131062:LWA131084 MFW131062:MFW131084 MPS131062:MPS131084 MZO131062:MZO131084 NJK131062:NJK131084 NTG131062:NTG131084 ODC131062:ODC131084 OMY131062:OMY131084 OWU131062:OWU131084 PGQ131062:PGQ131084 PQM131062:PQM131084 QAI131062:QAI131084 QKE131062:QKE131084 QUA131062:QUA131084 RDW131062:RDW131084 RNS131062:RNS131084 RXO131062:RXO131084 SHK131062:SHK131084 SRG131062:SRG131084 TBC131062:TBC131084 TKY131062:TKY131084 TUU131062:TUU131084 UEQ131062:UEQ131084 UOM131062:UOM131084 UYI131062:UYI131084 VIE131062:VIE131084 VSA131062:VSA131084 WBW131062:WBW131084 WLS131062:WLS131084 WVO131062:WVO131084 D196598:D196620 JC196598:JC196620 SY196598:SY196620 ACU196598:ACU196620 AMQ196598:AMQ196620 AWM196598:AWM196620 BGI196598:BGI196620 BQE196598:BQE196620 CAA196598:CAA196620 CJW196598:CJW196620 CTS196598:CTS196620 DDO196598:DDO196620 DNK196598:DNK196620 DXG196598:DXG196620 EHC196598:EHC196620 EQY196598:EQY196620 FAU196598:FAU196620 FKQ196598:FKQ196620 FUM196598:FUM196620 GEI196598:GEI196620 GOE196598:GOE196620 GYA196598:GYA196620 HHW196598:HHW196620 HRS196598:HRS196620 IBO196598:IBO196620 ILK196598:ILK196620 IVG196598:IVG196620 JFC196598:JFC196620 JOY196598:JOY196620 JYU196598:JYU196620 KIQ196598:KIQ196620 KSM196598:KSM196620 LCI196598:LCI196620 LME196598:LME196620 LWA196598:LWA196620 MFW196598:MFW196620 MPS196598:MPS196620 MZO196598:MZO196620 NJK196598:NJK196620 NTG196598:NTG196620 ODC196598:ODC196620 OMY196598:OMY196620 OWU196598:OWU196620 PGQ196598:PGQ196620 PQM196598:PQM196620 QAI196598:QAI196620 QKE196598:QKE196620 QUA196598:QUA196620 RDW196598:RDW196620 RNS196598:RNS196620 RXO196598:RXO196620 SHK196598:SHK196620 SRG196598:SRG196620 TBC196598:TBC196620 TKY196598:TKY196620 TUU196598:TUU196620 UEQ196598:UEQ196620 UOM196598:UOM196620 UYI196598:UYI196620 VIE196598:VIE196620 VSA196598:VSA196620 WBW196598:WBW196620 WLS196598:WLS196620 WVO196598:WVO196620 D262134:D262156 JC262134:JC262156 SY262134:SY262156 ACU262134:ACU262156 AMQ262134:AMQ262156 AWM262134:AWM262156 BGI262134:BGI262156 BQE262134:BQE262156 CAA262134:CAA262156 CJW262134:CJW262156 CTS262134:CTS262156 DDO262134:DDO262156 DNK262134:DNK262156 DXG262134:DXG262156 EHC262134:EHC262156 EQY262134:EQY262156 FAU262134:FAU262156 FKQ262134:FKQ262156 FUM262134:FUM262156 GEI262134:GEI262156 GOE262134:GOE262156 GYA262134:GYA262156 HHW262134:HHW262156 HRS262134:HRS262156 IBO262134:IBO262156 ILK262134:ILK262156 IVG262134:IVG262156 JFC262134:JFC262156 JOY262134:JOY262156 JYU262134:JYU262156 KIQ262134:KIQ262156 KSM262134:KSM262156 LCI262134:LCI262156 LME262134:LME262156 LWA262134:LWA262156 MFW262134:MFW262156 MPS262134:MPS262156 MZO262134:MZO262156 NJK262134:NJK262156 NTG262134:NTG262156 ODC262134:ODC262156 OMY262134:OMY262156 OWU262134:OWU262156 PGQ262134:PGQ262156 PQM262134:PQM262156 QAI262134:QAI262156 QKE262134:QKE262156 QUA262134:QUA262156 RDW262134:RDW262156 RNS262134:RNS262156 RXO262134:RXO262156 SHK262134:SHK262156 SRG262134:SRG262156 TBC262134:TBC262156 TKY262134:TKY262156 TUU262134:TUU262156 UEQ262134:UEQ262156 UOM262134:UOM262156 UYI262134:UYI262156 VIE262134:VIE262156 VSA262134:VSA262156 WBW262134:WBW262156 WLS262134:WLS262156 WVO262134:WVO262156 D327670:D327692 JC327670:JC327692 SY327670:SY327692 ACU327670:ACU327692 AMQ327670:AMQ327692 AWM327670:AWM327692 BGI327670:BGI327692 BQE327670:BQE327692 CAA327670:CAA327692 CJW327670:CJW327692 CTS327670:CTS327692 DDO327670:DDO327692 DNK327670:DNK327692 DXG327670:DXG327692 EHC327670:EHC327692 EQY327670:EQY327692 FAU327670:FAU327692 FKQ327670:FKQ327692 FUM327670:FUM327692 GEI327670:GEI327692 GOE327670:GOE327692 GYA327670:GYA327692 HHW327670:HHW327692 HRS327670:HRS327692 IBO327670:IBO327692 ILK327670:ILK327692 IVG327670:IVG327692 JFC327670:JFC327692 JOY327670:JOY327692 JYU327670:JYU327692 KIQ327670:KIQ327692 KSM327670:KSM327692 LCI327670:LCI327692 LME327670:LME327692 LWA327670:LWA327692 MFW327670:MFW327692 MPS327670:MPS327692 MZO327670:MZO327692 NJK327670:NJK327692 NTG327670:NTG327692 ODC327670:ODC327692 OMY327670:OMY327692 OWU327670:OWU327692 PGQ327670:PGQ327692 PQM327670:PQM327692 QAI327670:QAI327692 QKE327670:QKE327692 QUA327670:QUA327692 RDW327670:RDW327692 RNS327670:RNS327692 RXO327670:RXO327692 SHK327670:SHK327692 SRG327670:SRG327692 TBC327670:TBC327692 TKY327670:TKY327692 TUU327670:TUU327692 UEQ327670:UEQ327692 UOM327670:UOM327692 UYI327670:UYI327692 VIE327670:VIE327692 VSA327670:VSA327692 WBW327670:WBW327692 WLS327670:WLS327692 WVO327670:WVO327692 D393206:D393228 JC393206:JC393228 SY393206:SY393228 ACU393206:ACU393228 AMQ393206:AMQ393228 AWM393206:AWM393228 BGI393206:BGI393228 BQE393206:BQE393228 CAA393206:CAA393228 CJW393206:CJW393228 CTS393206:CTS393228 DDO393206:DDO393228 DNK393206:DNK393228 DXG393206:DXG393228 EHC393206:EHC393228 EQY393206:EQY393228 FAU393206:FAU393228 FKQ393206:FKQ393228 FUM393206:FUM393228 GEI393206:GEI393228 GOE393206:GOE393228 GYA393206:GYA393228 HHW393206:HHW393228 HRS393206:HRS393228 IBO393206:IBO393228 ILK393206:ILK393228 IVG393206:IVG393228 JFC393206:JFC393228 JOY393206:JOY393228 JYU393206:JYU393228 KIQ393206:KIQ393228 KSM393206:KSM393228 LCI393206:LCI393228 LME393206:LME393228 LWA393206:LWA393228 MFW393206:MFW393228 MPS393206:MPS393228 MZO393206:MZO393228 NJK393206:NJK393228 NTG393206:NTG393228 ODC393206:ODC393228 OMY393206:OMY393228 OWU393206:OWU393228 PGQ393206:PGQ393228 PQM393206:PQM393228 QAI393206:QAI393228 QKE393206:QKE393228 QUA393206:QUA393228 RDW393206:RDW393228 RNS393206:RNS393228 RXO393206:RXO393228 SHK393206:SHK393228 SRG393206:SRG393228 TBC393206:TBC393228 TKY393206:TKY393228 TUU393206:TUU393228 UEQ393206:UEQ393228 UOM393206:UOM393228 UYI393206:UYI393228 VIE393206:VIE393228 VSA393206:VSA393228 WBW393206:WBW393228 WLS393206:WLS393228 WVO393206:WVO393228 D458742:D458764 JC458742:JC458764 SY458742:SY458764 ACU458742:ACU458764 AMQ458742:AMQ458764 AWM458742:AWM458764 BGI458742:BGI458764 BQE458742:BQE458764 CAA458742:CAA458764 CJW458742:CJW458764 CTS458742:CTS458764 DDO458742:DDO458764 DNK458742:DNK458764 DXG458742:DXG458764 EHC458742:EHC458764 EQY458742:EQY458764 FAU458742:FAU458764 FKQ458742:FKQ458764 FUM458742:FUM458764 GEI458742:GEI458764 GOE458742:GOE458764 GYA458742:GYA458764 HHW458742:HHW458764 HRS458742:HRS458764 IBO458742:IBO458764 ILK458742:ILK458764 IVG458742:IVG458764 JFC458742:JFC458764 JOY458742:JOY458764 JYU458742:JYU458764 KIQ458742:KIQ458764 KSM458742:KSM458764 LCI458742:LCI458764 LME458742:LME458764 LWA458742:LWA458764 MFW458742:MFW458764 MPS458742:MPS458764 MZO458742:MZO458764 NJK458742:NJK458764 NTG458742:NTG458764 ODC458742:ODC458764 OMY458742:OMY458764 OWU458742:OWU458764 PGQ458742:PGQ458764 PQM458742:PQM458764 QAI458742:QAI458764 QKE458742:QKE458764 QUA458742:QUA458764 RDW458742:RDW458764 RNS458742:RNS458764 RXO458742:RXO458764 SHK458742:SHK458764 SRG458742:SRG458764 TBC458742:TBC458764 TKY458742:TKY458764 TUU458742:TUU458764 UEQ458742:UEQ458764 UOM458742:UOM458764 UYI458742:UYI458764 VIE458742:VIE458764 VSA458742:VSA458764 WBW458742:WBW458764 WLS458742:WLS458764 WVO458742:WVO458764 D524278:D524300 JC524278:JC524300 SY524278:SY524300 ACU524278:ACU524300 AMQ524278:AMQ524300 AWM524278:AWM524300 BGI524278:BGI524300 BQE524278:BQE524300 CAA524278:CAA524300 CJW524278:CJW524300 CTS524278:CTS524300 DDO524278:DDO524300 DNK524278:DNK524300 DXG524278:DXG524300 EHC524278:EHC524300 EQY524278:EQY524300 FAU524278:FAU524300 FKQ524278:FKQ524300 FUM524278:FUM524300 GEI524278:GEI524300 GOE524278:GOE524300 GYA524278:GYA524300 HHW524278:HHW524300 HRS524278:HRS524300 IBO524278:IBO524300 ILK524278:ILK524300 IVG524278:IVG524300 JFC524278:JFC524300 JOY524278:JOY524300 JYU524278:JYU524300 KIQ524278:KIQ524300 KSM524278:KSM524300 LCI524278:LCI524300 LME524278:LME524300 LWA524278:LWA524300 MFW524278:MFW524300 MPS524278:MPS524300 MZO524278:MZO524300 NJK524278:NJK524300 NTG524278:NTG524300 ODC524278:ODC524300 OMY524278:OMY524300 OWU524278:OWU524300 PGQ524278:PGQ524300 PQM524278:PQM524300 QAI524278:QAI524300 QKE524278:QKE524300 QUA524278:QUA524300 RDW524278:RDW524300 RNS524278:RNS524300 RXO524278:RXO524300 SHK524278:SHK524300 SRG524278:SRG524300 TBC524278:TBC524300 TKY524278:TKY524300 TUU524278:TUU524300 UEQ524278:UEQ524300 UOM524278:UOM524300 UYI524278:UYI524300 VIE524278:VIE524300 VSA524278:VSA524300 WBW524278:WBW524300 WLS524278:WLS524300 WVO524278:WVO524300 D589814:D589836 JC589814:JC589836 SY589814:SY589836 ACU589814:ACU589836 AMQ589814:AMQ589836 AWM589814:AWM589836 BGI589814:BGI589836 BQE589814:BQE589836 CAA589814:CAA589836 CJW589814:CJW589836 CTS589814:CTS589836 DDO589814:DDO589836 DNK589814:DNK589836 DXG589814:DXG589836 EHC589814:EHC589836 EQY589814:EQY589836 FAU589814:FAU589836 FKQ589814:FKQ589836 FUM589814:FUM589836 GEI589814:GEI589836 GOE589814:GOE589836 GYA589814:GYA589836 HHW589814:HHW589836 HRS589814:HRS589836 IBO589814:IBO589836 ILK589814:ILK589836 IVG589814:IVG589836 JFC589814:JFC589836 JOY589814:JOY589836 JYU589814:JYU589836 KIQ589814:KIQ589836 KSM589814:KSM589836 LCI589814:LCI589836 LME589814:LME589836 LWA589814:LWA589836 MFW589814:MFW589836 MPS589814:MPS589836 MZO589814:MZO589836 NJK589814:NJK589836 NTG589814:NTG589836 ODC589814:ODC589836 OMY589814:OMY589836 OWU589814:OWU589836 PGQ589814:PGQ589836 PQM589814:PQM589836 QAI589814:QAI589836 QKE589814:QKE589836 QUA589814:QUA589836 RDW589814:RDW589836 RNS589814:RNS589836 RXO589814:RXO589836 SHK589814:SHK589836 SRG589814:SRG589836 TBC589814:TBC589836 TKY589814:TKY589836 TUU589814:TUU589836 UEQ589814:UEQ589836 UOM589814:UOM589836 UYI589814:UYI589836 VIE589814:VIE589836 VSA589814:VSA589836 WBW589814:WBW589836 WLS589814:WLS589836 WVO589814:WVO589836 D655350:D655372 JC655350:JC655372 SY655350:SY655372 ACU655350:ACU655372 AMQ655350:AMQ655372 AWM655350:AWM655372 BGI655350:BGI655372 BQE655350:BQE655372 CAA655350:CAA655372 CJW655350:CJW655372 CTS655350:CTS655372 DDO655350:DDO655372 DNK655350:DNK655372 DXG655350:DXG655372 EHC655350:EHC655372 EQY655350:EQY655372 FAU655350:FAU655372 FKQ655350:FKQ655372 FUM655350:FUM655372 GEI655350:GEI655372 GOE655350:GOE655372 GYA655350:GYA655372 HHW655350:HHW655372 HRS655350:HRS655372 IBO655350:IBO655372 ILK655350:ILK655372 IVG655350:IVG655372 JFC655350:JFC655372 JOY655350:JOY655372 JYU655350:JYU655372 KIQ655350:KIQ655372 KSM655350:KSM655372 LCI655350:LCI655372 LME655350:LME655372 LWA655350:LWA655372 MFW655350:MFW655372 MPS655350:MPS655372 MZO655350:MZO655372 NJK655350:NJK655372 NTG655350:NTG655372 ODC655350:ODC655372 OMY655350:OMY655372 OWU655350:OWU655372 PGQ655350:PGQ655372 PQM655350:PQM655372 QAI655350:QAI655372 QKE655350:QKE655372 QUA655350:QUA655372 RDW655350:RDW655372 RNS655350:RNS655372 RXO655350:RXO655372 SHK655350:SHK655372 SRG655350:SRG655372 TBC655350:TBC655372 TKY655350:TKY655372 TUU655350:TUU655372 UEQ655350:UEQ655372 UOM655350:UOM655372 UYI655350:UYI655372 VIE655350:VIE655372 VSA655350:VSA655372 WBW655350:WBW655372 WLS655350:WLS655372 WVO655350:WVO655372 D720886:D720908 JC720886:JC720908 SY720886:SY720908 ACU720886:ACU720908 AMQ720886:AMQ720908 AWM720886:AWM720908 BGI720886:BGI720908 BQE720886:BQE720908 CAA720886:CAA720908 CJW720886:CJW720908 CTS720886:CTS720908 DDO720886:DDO720908 DNK720886:DNK720908 DXG720886:DXG720908 EHC720886:EHC720908 EQY720886:EQY720908 FAU720886:FAU720908 FKQ720886:FKQ720908 FUM720886:FUM720908 GEI720886:GEI720908 GOE720886:GOE720908 GYA720886:GYA720908 HHW720886:HHW720908 HRS720886:HRS720908 IBO720886:IBO720908 ILK720886:ILK720908 IVG720886:IVG720908 JFC720886:JFC720908 JOY720886:JOY720908 JYU720886:JYU720908 KIQ720886:KIQ720908 KSM720886:KSM720908 LCI720886:LCI720908 LME720886:LME720908 LWA720886:LWA720908 MFW720886:MFW720908 MPS720886:MPS720908 MZO720886:MZO720908 NJK720886:NJK720908 NTG720886:NTG720908 ODC720886:ODC720908 OMY720886:OMY720908 OWU720886:OWU720908 PGQ720886:PGQ720908 PQM720886:PQM720908 QAI720886:QAI720908 QKE720886:QKE720908 QUA720886:QUA720908 RDW720886:RDW720908 RNS720886:RNS720908 RXO720886:RXO720908 SHK720886:SHK720908 SRG720886:SRG720908 TBC720886:TBC720908 TKY720886:TKY720908 TUU720886:TUU720908 UEQ720886:UEQ720908 UOM720886:UOM720908 UYI720886:UYI720908 VIE720886:VIE720908 VSA720886:VSA720908 WBW720886:WBW720908 WLS720886:WLS720908 WVO720886:WVO720908 D786422:D786444 JC786422:JC786444 SY786422:SY786444 ACU786422:ACU786444 AMQ786422:AMQ786444 AWM786422:AWM786444 BGI786422:BGI786444 BQE786422:BQE786444 CAA786422:CAA786444 CJW786422:CJW786444 CTS786422:CTS786444 DDO786422:DDO786444 DNK786422:DNK786444 DXG786422:DXG786444 EHC786422:EHC786444 EQY786422:EQY786444 FAU786422:FAU786444 FKQ786422:FKQ786444 FUM786422:FUM786444 GEI786422:GEI786444 GOE786422:GOE786444 GYA786422:GYA786444 HHW786422:HHW786444 HRS786422:HRS786444 IBO786422:IBO786444 ILK786422:ILK786444 IVG786422:IVG786444 JFC786422:JFC786444 JOY786422:JOY786444 JYU786422:JYU786444 KIQ786422:KIQ786444 KSM786422:KSM786444 LCI786422:LCI786444 LME786422:LME786444 LWA786422:LWA786444 MFW786422:MFW786444 MPS786422:MPS786444 MZO786422:MZO786444 NJK786422:NJK786444 NTG786422:NTG786444 ODC786422:ODC786444 OMY786422:OMY786444 OWU786422:OWU786444 PGQ786422:PGQ786444 PQM786422:PQM786444 QAI786422:QAI786444 QKE786422:QKE786444 QUA786422:QUA786444 RDW786422:RDW786444 RNS786422:RNS786444 RXO786422:RXO786444 SHK786422:SHK786444 SRG786422:SRG786444 TBC786422:TBC786444 TKY786422:TKY786444 TUU786422:TUU786444 UEQ786422:UEQ786444 UOM786422:UOM786444 UYI786422:UYI786444 VIE786422:VIE786444 VSA786422:VSA786444 WBW786422:WBW786444 WLS786422:WLS786444 WVO786422:WVO786444 D851958:D851980 JC851958:JC851980 SY851958:SY851980 ACU851958:ACU851980 AMQ851958:AMQ851980 AWM851958:AWM851980 BGI851958:BGI851980 BQE851958:BQE851980 CAA851958:CAA851980 CJW851958:CJW851980 CTS851958:CTS851980 DDO851958:DDO851980 DNK851958:DNK851980 DXG851958:DXG851980 EHC851958:EHC851980 EQY851958:EQY851980 FAU851958:FAU851980 FKQ851958:FKQ851980 FUM851958:FUM851980 GEI851958:GEI851980 GOE851958:GOE851980 GYA851958:GYA851980 HHW851958:HHW851980 HRS851958:HRS851980 IBO851958:IBO851980 ILK851958:ILK851980 IVG851958:IVG851980 JFC851958:JFC851980 JOY851958:JOY851980 JYU851958:JYU851980 KIQ851958:KIQ851980 KSM851958:KSM851980 LCI851958:LCI851980 LME851958:LME851980 LWA851958:LWA851980 MFW851958:MFW851980 MPS851958:MPS851980 MZO851958:MZO851980 NJK851958:NJK851980 NTG851958:NTG851980 ODC851958:ODC851980 OMY851958:OMY851980 OWU851958:OWU851980 PGQ851958:PGQ851980 PQM851958:PQM851980 QAI851958:QAI851980 QKE851958:QKE851980 QUA851958:QUA851980 RDW851958:RDW851980 RNS851958:RNS851980 RXO851958:RXO851980 SHK851958:SHK851980 SRG851958:SRG851980 TBC851958:TBC851980 TKY851958:TKY851980 TUU851958:TUU851980 UEQ851958:UEQ851980 UOM851958:UOM851980 UYI851958:UYI851980 VIE851958:VIE851980 VSA851958:VSA851980 WBW851958:WBW851980 WLS851958:WLS851980 WVO851958:WVO851980 D917494:D917516 JC917494:JC917516 SY917494:SY917516 ACU917494:ACU917516 AMQ917494:AMQ917516 AWM917494:AWM917516 BGI917494:BGI917516 BQE917494:BQE917516 CAA917494:CAA917516 CJW917494:CJW917516 CTS917494:CTS917516 DDO917494:DDO917516 DNK917494:DNK917516 DXG917494:DXG917516 EHC917494:EHC917516 EQY917494:EQY917516 FAU917494:FAU917516 FKQ917494:FKQ917516 FUM917494:FUM917516 GEI917494:GEI917516 GOE917494:GOE917516 GYA917494:GYA917516 HHW917494:HHW917516 HRS917494:HRS917516 IBO917494:IBO917516 ILK917494:ILK917516 IVG917494:IVG917516 JFC917494:JFC917516 JOY917494:JOY917516 JYU917494:JYU917516 KIQ917494:KIQ917516 KSM917494:KSM917516 LCI917494:LCI917516 LME917494:LME917516 LWA917494:LWA917516 MFW917494:MFW917516 MPS917494:MPS917516 MZO917494:MZO917516 NJK917494:NJK917516 NTG917494:NTG917516 ODC917494:ODC917516 OMY917494:OMY917516 OWU917494:OWU917516 PGQ917494:PGQ917516 PQM917494:PQM917516 QAI917494:QAI917516 QKE917494:QKE917516 QUA917494:QUA917516 RDW917494:RDW917516 RNS917494:RNS917516 RXO917494:RXO917516 SHK917494:SHK917516 SRG917494:SRG917516 TBC917494:TBC917516 TKY917494:TKY917516 TUU917494:TUU917516 UEQ917494:UEQ917516 UOM917494:UOM917516 UYI917494:UYI917516 VIE917494:VIE917516 VSA917494:VSA917516 WBW917494:WBW917516 WLS917494:WLS917516 WVO917494:WVO917516 D983030:D983052 JC983030:JC983052 SY983030:SY983052 ACU983030:ACU983052 AMQ983030:AMQ983052 AWM983030:AWM983052 BGI983030:BGI983052 BQE983030:BQE983052 CAA983030:CAA983052 CJW983030:CJW983052 CTS983030:CTS983052 DDO983030:DDO983052 DNK983030:DNK983052 DXG983030:DXG983052 EHC983030:EHC983052 EQY983030:EQY983052 FAU983030:FAU983052 FKQ983030:FKQ983052 FUM983030:FUM983052 GEI983030:GEI983052 GOE983030:GOE983052 GYA983030:GYA983052 HHW983030:HHW983052 HRS983030:HRS983052 IBO983030:IBO983052 ILK983030:ILK983052 IVG983030:IVG983052 JFC983030:JFC983052 JOY983030:JOY983052 JYU983030:JYU983052 KIQ983030:KIQ983052 KSM983030:KSM983052 LCI983030:LCI983052 LME983030:LME983052 LWA983030:LWA983052 MFW983030:MFW983052 MPS983030:MPS983052 MZO983030:MZO983052 NJK983030:NJK983052 NTG983030:NTG983052 ODC983030:ODC983052 OMY983030:OMY983052 OWU983030:OWU983052 PGQ983030:PGQ983052 PQM983030:PQM983052 QAI983030:QAI983052 QKE983030:QKE983052 QUA983030:QUA983052 RDW983030:RDW983052 RNS983030:RNS983052 RXO983030:RXO983052 SHK983030:SHK983052 SRG983030:SRG983052 TBC983030:TBC983052 TKY983030:TKY983052 TUU983030:TUU983052 UEQ983030:UEQ983052 UOM983030:UOM983052 UYI983030:UYI983052 VIE983030:VIE983052 VSA983030:VSA983052 WBW983030:WBW983052 WLS983030:WLS983052 WVO983030:WVO983052 P65526:P65548 JL65526:JL65548 TH65526:TH65548 ADD65526:ADD65548 AMZ65526:AMZ65548 AWV65526:AWV65548 BGR65526:BGR65548 BQN65526:BQN65548 CAJ65526:CAJ65548 CKF65526:CKF65548 CUB65526:CUB65548 DDX65526:DDX65548 DNT65526:DNT65548 DXP65526:DXP65548 EHL65526:EHL65548 ERH65526:ERH65548 FBD65526:FBD65548 FKZ65526:FKZ65548 FUV65526:FUV65548 GER65526:GER65548 GON65526:GON65548 GYJ65526:GYJ65548 HIF65526:HIF65548 HSB65526:HSB65548 IBX65526:IBX65548 ILT65526:ILT65548 IVP65526:IVP65548 JFL65526:JFL65548 JPH65526:JPH65548 JZD65526:JZD65548 KIZ65526:KIZ65548 KSV65526:KSV65548 LCR65526:LCR65548 LMN65526:LMN65548 LWJ65526:LWJ65548 MGF65526:MGF65548 MQB65526:MQB65548 MZX65526:MZX65548 NJT65526:NJT65548 NTP65526:NTP65548 ODL65526:ODL65548 ONH65526:ONH65548 OXD65526:OXD65548 PGZ65526:PGZ65548 PQV65526:PQV65548 QAR65526:QAR65548 QKN65526:QKN65548 QUJ65526:QUJ65548 REF65526:REF65548 ROB65526:ROB65548 RXX65526:RXX65548 SHT65526:SHT65548 SRP65526:SRP65548 TBL65526:TBL65548 TLH65526:TLH65548 TVD65526:TVD65548 UEZ65526:UEZ65548 UOV65526:UOV65548 UYR65526:UYR65548 VIN65526:VIN65548 VSJ65526:VSJ65548 WCF65526:WCF65548 WMB65526:WMB65548 WVX65526:WVX65548 P131062:P131084 JL131062:JL131084 TH131062:TH131084 ADD131062:ADD131084 AMZ131062:AMZ131084 AWV131062:AWV131084 BGR131062:BGR131084 BQN131062:BQN131084 CAJ131062:CAJ131084 CKF131062:CKF131084 CUB131062:CUB131084 DDX131062:DDX131084 DNT131062:DNT131084 DXP131062:DXP131084 EHL131062:EHL131084 ERH131062:ERH131084 FBD131062:FBD131084 FKZ131062:FKZ131084 FUV131062:FUV131084 GER131062:GER131084 GON131062:GON131084 GYJ131062:GYJ131084 HIF131062:HIF131084 HSB131062:HSB131084 IBX131062:IBX131084 ILT131062:ILT131084 IVP131062:IVP131084 JFL131062:JFL131084 JPH131062:JPH131084 JZD131062:JZD131084 KIZ131062:KIZ131084 KSV131062:KSV131084 LCR131062:LCR131084 LMN131062:LMN131084 LWJ131062:LWJ131084 MGF131062:MGF131084 MQB131062:MQB131084 MZX131062:MZX131084 NJT131062:NJT131084 NTP131062:NTP131084 ODL131062:ODL131084 ONH131062:ONH131084 OXD131062:OXD131084 PGZ131062:PGZ131084 PQV131062:PQV131084 QAR131062:QAR131084 QKN131062:QKN131084 QUJ131062:QUJ131084 REF131062:REF131084 ROB131062:ROB131084 RXX131062:RXX131084 SHT131062:SHT131084 SRP131062:SRP131084 TBL131062:TBL131084 TLH131062:TLH131084 TVD131062:TVD131084 UEZ131062:UEZ131084 UOV131062:UOV131084 UYR131062:UYR131084 VIN131062:VIN131084 VSJ131062:VSJ131084 WCF131062:WCF131084 WMB131062:WMB131084 WVX131062:WVX131084 P196598:P196620 JL196598:JL196620 TH196598:TH196620 ADD196598:ADD196620 AMZ196598:AMZ196620 AWV196598:AWV196620 BGR196598:BGR196620 BQN196598:BQN196620 CAJ196598:CAJ196620 CKF196598:CKF196620 CUB196598:CUB196620 DDX196598:DDX196620 DNT196598:DNT196620 DXP196598:DXP196620 EHL196598:EHL196620 ERH196598:ERH196620 FBD196598:FBD196620 FKZ196598:FKZ196620 FUV196598:FUV196620 GER196598:GER196620 GON196598:GON196620 GYJ196598:GYJ196620 HIF196598:HIF196620 HSB196598:HSB196620 IBX196598:IBX196620 ILT196598:ILT196620 IVP196598:IVP196620 JFL196598:JFL196620 JPH196598:JPH196620 JZD196598:JZD196620 KIZ196598:KIZ196620 KSV196598:KSV196620 LCR196598:LCR196620 LMN196598:LMN196620 LWJ196598:LWJ196620 MGF196598:MGF196620 MQB196598:MQB196620 MZX196598:MZX196620 NJT196598:NJT196620 NTP196598:NTP196620 ODL196598:ODL196620 ONH196598:ONH196620 OXD196598:OXD196620 PGZ196598:PGZ196620 PQV196598:PQV196620 QAR196598:QAR196620 QKN196598:QKN196620 QUJ196598:QUJ196620 REF196598:REF196620 ROB196598:ROB196620 RXX196598:RXX196620 SHT196598:SHT196620 SRP196598:SRP196620 TBL196598:TBL196620 TLH196598:TLH196620 TVD196598:TVD196620 UEZ196598:UEZ196620 UOV196598:UOV196620 UYR196598:UYR196620 VIN196598:VIN196620 VSJ196598:VSJ196620 WCF196598:WCF196620 WMB196598:WMB196620 WVX196598:WVX196620 P262134:P262156 JL262134:JL262156 TH262134:TH262156 ADD262134:ADD262156 AMZ262134:AMZ262156 AWV262134:AWV262156 BGR262134:BGR262156 BQN262134:BQN262156 CAJ262134:CAJ262156 CKF262134:CKF262156 CUB262134:CUB262156 DDX262134:DDX262156 DNT262134:DNT262156 DXP262134:DXP262156 EHL262134:EHL262156 ERH262134:ERH262156 FBD262134:FBD262156 FKZ262134:FKZ262156 FUV262134:FUV262156 GER262134:GER262156 GON262134:GON262156 GYJ262134:GYJ262156 HIF262134:HIF262156 HSB262134:HSB262156 IBX262134:IBX262156 ILT262134:ILT262156 IVP262134:IVP262156 JFL262134:JFL262156 JPH262134:JPH262156 JZD262134:JZD262156 KIZ262134:KIZ262156 KSV262134:KSV262156 LCR262134:LCR262156 LMN262134:LMN262156 LWJ262134:LWJ262156 MGF262134:MGF262156 MQB262134:MQB262156 MZX262134:MZX262156 NJT262134:NJT262156 NTP262134:NTP262156 ODL262134:ODL262156 ONH262134:ONH262156 OXD262134:OXD262156 PGZ262134:PGZ262156 PQV262134:PQV262156 QAR262134:QAR262156 QKN262134:QKN262156 QUJ262134:QUJ262156 REF262134:REF262156 ROB262134:ROB262156 RXX262134:RXX262156 SHT262134:SHT262156 SRP262134:SRP262156 TBL262134:TBL262156 TLH262134:TLH262156 TVD262134:TVD262156 UEZ262134:UEZ262156 UOV262134:UOV262156 UYR262134:UYR262156 VIN262134:VIN262156 VSJ262134:VSJ262156 WCF262134:WCF262156 WMB262134:WMB262156 WVX262134:WVX262156 P327670:P327692 JL327670:JL327692 TH327670:TH327692 ADD327670:ADD327692 AMZ327670:AMZ327692 AWV327670:AWV327692 BGR327670:BGR327692 BQN327670:BQN327692 CAJ327670:CAJ327692 CKF327670:CKF327692 CUB327670:CUB327692 DDX327670:DDX327692 DNT327670:DNT327692 DXP327670:DXP327692 EHL327670:EHL327692 ERH327670:ERH327692 FBD327670:FBD327692 FKZ327670:FKZ327692 FUV327670:FUV327692 GER327670:GER327692 GON327670:GON327692 GYJ327670:GYJ327692 HIF327670:HIF327692 HSB327670:HSB327692 IBX327670:IBX327692 ILT327670:ILT327692 IVP327670:IVP327692 JFL327670:JFL327692 JPH327670:JPH327692 JZD327670:JZD327692 KIZ327670:KIZ327692 KSV327670:KSV327692 LCR327670:LCR327692 LMN327670:LMN327692 LWJ327670:LWJ327692 MGF327670:MGF327692 MQB327670:MQB327692 MZX327670:MZX327692 NJT327670:NJT327692 NTP327670:NTP327692 ODL327670:ODL327692 ONH327670:ONH327692 OXD327670:OXD327692 PGZ327670:PGZ327692 PQV327670:PQV327692 QAR327670:QAR327692 QKN327670:QKN327692 QUJ327670:QUJ327692 REF327670:REF327692 ROB327670:ROB327692 RXX327670:RXX327692 SHT327670:SHT327692 SRP327670:SRP327692 TBL327670:TBL327692 TLH327670:TLH327692 TVD327670:TVD327692 UEZ327670:UEZ327692 UOV327670:UOV327692 UYR327670:UYR327692 VIN327670:VIN327692 VSJ327670:VSJ327692 WCF327670:WCF327692 WMB327670:WMB327692 WVX327670:WVX327692 P393206:P393228 JL393206:JL393228 TH393206:TH393228 ADD393206:ADD393228 AMZ393206:AMZ393228 AWV393206:AWV393228 BGR393206:BGR393228 BQN393206:BQN393228 CAJ393206:CAJ393228 CKF393206:CKF393228 CUB393206:CUB393228 DDX393206:DDX393228 DNT393206:DNT393228 DXP393206:DXP393228 EHL393206:EHL393228 ERH393206:ERH393228 FBD393206:FBD393228 FKZ393206:FKZ393228 FUV393206:FUV393228 GER393206:GER393228 GON393206:GON393228 GYJ393206:GYJ393228 HIF393206:HIF393228 HSB393206:HSB393228 IBX393206:IBX393228 ILT393206:ILT393228 IVP393206:IVP393228 JFL393206:JFL393228 JPH393206:JPH393228 JZD393206:JZD393228 KIZ393206:KIZ393228 KSV393206:KSV393228 LCR393206:LCR393228 LMN393206:LMN393228 LWJ393206:LWJ393228 MGF393206:MGF393228 MQB393206:MQB393228 MZX393206:MZX393228 NJT393206:NJT393228 NTP393206:NTP393228 ODL393206:ODL393228 ONH393206:ONH393228 OXD393206:OXD393228 PGZ393206:PGZ393228 PQV393206:PQV393228 QAR393206:QAR393228 QKN393206:QKN393228 QUJ393206:QUJ393228 REF393206:REF393228 ROB393206:ROB393228 RXX393206:RXX393228 SHT393206:SHT393228 SRP393206:SRP393228 TBL393206:TBL393228 TLH393206:TLH393228 TVD393206:TVD393228 UEZ393206:UEZ393228 UOV393206:UOV393228 UYR393206:UYR393228 VIN393206:VIN393228 VSJ393206:VSJ393228 WCF393206:WCF393228 WMB393206:WMB393228 WVX393206:WVX393228 P458742:P458764 JL458742:JL458764 TH458742:TH458764 ADD458742:ADD458764 AMZ458742:AMZ458764 AWV458742:AWV458764 BGR458742:BGR458764 BQN458742:BQN458764 CAJ458742:CAJ458764 CKF458742:CKF458764 CUB458742:CUB458764 DDX458742:DDX458764 DNT458742:DNT458764 DXP458742:DXP458764 EHL458742:EHL458764 ERH458742:ERH458764 FBD458742:FBD458764 FKZ458742:FKZ458764 FUV458742:FUV458764 GER458742:GER458764 GON458742:GON458764 GYJ458742:GYJ458764 HIF458742:HIF458764 HSB458742:HSB458764 IBX458742:IBX458764 ILT458742:ILT458764 IVP458742:IVP458764 JFL458742:JFL458764 JPH458742:JPH458764 JZD458742:JZD458764 KIZ458742:KIZ458764 KSV458742:KSV458764 LCR458742:LCR458764 LMN458742:LMN458764 LWJ458742:LWJ458764 MGF458742:MGF458764 MQB458742:MQB458764 MZX458742:MZX458764 NJT458742:NJT458764 NTP458742:NTP458764 ODL458742:ODL458764 ONH458742:ONH458764 OXD458742:OXD458764 PGZ458742:PGZ458764 PQV458742:PQV458764 QAR458742:QAR458764 QKN458742:QKN458764 QUJ458742:QUJ458764 REF458742:REF458764 ROB458742:ROB458764 RXX458742:RXX458764 SHT458742:SHT458764 SRP458742:SRP458764 TBL458742:TBL458764 TLH458742:TLH458764 TVD458742:TVD458764 UEZ458742:UEZ458764 UOV458742:UOV458764 UYR458742:UYR458764 VIN458742:VIN458764 VSJ458742:VSJ458764 WCF458742:WCF458764 WMB458742:WMB458764 WVX458742:WVX458764 P524278:P524300 JL524278:JL524300 TH524278:TH524300 ADD524278:ADD524300 AMZ524278:AMZ524300 AWV524278:AWV524300 BGR524278:BGR524300 BQN524278:BQN524300 CAJ524278:CAJ524300 CKF524278:CKF524300 CUB524278:CUB524300 DDX524278:DDX524300 DNT524278:DNT524300 DXP524278:DXP524300 EHL524278:EHL524300 ERH524278:ERH524300 FBD524278:FBD524300 FKZ524278:FKZ524300 FUV524278:FUV524300 GER524278:GER524300 GON524278:GON524300 GYJ524278:GYJ524300 HIF524278:HIF524300 HSB524278:HSB524300 IBX524278:IBX524300 ILT524278:ILT524300 IVP524278:IVP524300 JFL524278:JFL524300 JPH524278:JPH524300 JZD524278:JZD524300 KIZ524278:KIZ524300 KSV524278:KSV524300 LCR524278:LCR524300 LMN524278:LMN524300 LWJ524278:LWJ524300 MGF524278:MGF524300 MQB524278:MQB524300 MZX524278:MZX524300 NJT524278:NJT524300 NTP524278:NTP524300 ODL524278:ODL524300 ONH524278:ONH524300 OXD524278:OXD524300 PGZ524278:PGZ524300 PQV524278:PQV524300 QAR524278:QAR524300 QKN524278:QKN524300 QUJ524278:QUJ524300 REF524278:REF524300 ROB524278:ROB524300 RXX524278:RXX524300 SHT524278:SHT524300 SRP524278:SRP524300 TBL524278:TBL524300 TLH524278:TLH524300 TVD524278:TVD524300 UEZ524278:UEZ524300 UOV524278:UOV524300 UYR524278:UYR524300 VIN524278:VIN524300 VSJ524278:VSJ524300 WCF524278:WCF524300 WMB524278:WMB524300 WVX524278:WVX524300 P589814:P589836 JL589814:JL589836 TH589814:TH589836 ADD589814:ADD589836 AMZ589814:AMZ589836 AWV589814:AWV589836 BGR589814:BGR589836 BQN589814:BQN589836 CAJ589814:CAJ589836 CKF589814:CKF589836 CUB589814:CUB589836 DDX589814:DDX589836 DNT589814:DNT589836 DXP589814:DXP589836 EHL589814:EHL589836 ERH589814:ERH589836 FBD589814:FBD589836 FKZ589814:FKZ589836 FUV589814:FUV589836 GER589814:GER589836 GON589814:GON589836 GYJ589814:GYJ589836 HIF589814:HIF589836 HSB589814:HSB589836 IBX589814:IBX589836 ILT589814:ILT589836 IVP589814:IVP589836 JFL589814:JFL589836 JPH589814:JPH589836 JZD589814:JZD589836 KIZ589814:KIZ589836 KSV589814:KSV589836 LCR589814:LCR589836 LMN589814:LMN589836 LWJ589814:LWJ589836 MGF589814:MGF589836 MQB589814:MQB589836 MZX589814:MZX589836 NJT589814:NJT589836 NTP589814:NTP589836 ODL589814:ODL589836 ONH589814:ONH589836 OXD589814:OXD589836 PGZ589814:PGZ589836 PQV589814:PQV589836 QAR589814:QAR589836 QKN589814:QKN589836 QUJ589814:QUJ589836 REF589814:REF589836 ROB589814:ROB589836 RXX589814:RXX589836 SHT589814:SHT589836 SRP589814:SRP589836 TBL589814:TBL589836 TLH589814:TLH589836 TVD589814:TVD589836 UEZ589814:UEZ589836 UOV589814:UOV589836 UYR589814:UYR589836 VIN589814:VIN589836 VSJ589814:VSJ589836 WCF589814:WCF589836 WMB589814:WMB589836 WVX589814:WVX589836 P655350:P655372 JL655350:JL655372 TH655350:TH655372 ADD655350:ADD655372 AMZ655350:AMZ655372 AWV655350:AWV655372 BGR655350:BGR655372 BQN655350:BQN655372 CAJ655350:CAJ655372 CKF655350:CKF655372 CUB655350:CUB655372 DDX655350:DDX655372 DNT655350:DNT655372 DXP655350:DXP655372 EHL655350:EHL655372 ERH655350:ERH655372 FBD655350:FBD655372 FKZ655350:FKZ655372 FUV655350:FUV655372 GER655350:GER655372 GON655350:GON655372 GYJ655350:GYJ655372 HIF655350:HIF655372 HSB655350:HSB655372 IBX655350:IBX655372 ILT655350:ILT655372 IVP655350:IVP655372 JFL655350:JFL655372 JPH655350:JPH655372 JZD655350:JZD655372 KIZ655350:KIZ655372 KSV655350:KSV655372 LCR655350:LCR655372 LMN655350:LMN655372 LWJ655350:LWJ655372 MGF655350:MGF655372 MQB655350:MQB655372 MZX655350:MZX655372 NJT655350:NJT655372 NTP655350:NTP655372 ODL655350:ODL655372 ONH655350:ONH655372 OXD655350:OXD655372 PGZ655350:PGZ655372 PQV655350:PQV655372 QAR655350:QAR655372 QKN655350:QKN655372 QUJ655350:QUJ655372 REF655350:REF655372 ROB655350:ROB655372 RXX655350:RXX655372 SHT655350:SHT655372 SRP655350:SRP655372 TBL655350:TBL655372 TLH655350:TLH655372 TVD655350:TVD655372 UEZ655350:UEZ655372 UOV655350:UOV655372 UYR655350:UYR655372 VIN655350:VIN655372 VSJ655350:VSJ655372 WCF655350:WCF655372 WMB655350:WMB655372 WVX655350:WVX655372 P720886:P720908 JL720886:JL720908 TH720886:TH720908 ADD720886:ADD720908 AMZ720886:AMZ720908 AWV720886:AWV720908 BGR720886:BGR720908 BQN720886:BQN720908 CAJ720886:CAJ720908 CKF720886:CKF720908 CUB720886:CUB720908 DDX720886:DDX720908 DNT720886:DNT720908 DXP720886:DXP720908 EHL720886:EHL720908 ERH720886:ERH720908 FBD720886:FBD720908 FKZ720886:FKZ720908 FUV720886:FUV720908 GER720886:GER720908 GON720886:GON720908 GYJ720886:GYJ720908 HIF720886:HIF720908 HSB720886:HSB720908 IBX720886:IBX720908 ILT720886:ILT720908 IVP720886:IVP720908 JFL720886:JFL720908 JPH720886:JPH720908 JZD720886:JZD720908 KIZ720886:KIZ720908 KSV720886:KSV720908 LCR720886:LCR720908 LMN720886:LMN720908 LWJ720886:LWJ720908 MGF720886:MGF720908 MQB720886:MQB720908 MZX720886:MZX720908 NJT720886:NJT720908 NTP720886:NTP720908 ODL720886:ODL720908 ONH720886:ONH720908 OXD720886:OXD720908 PGZ720886:PGZ720908 PQV720886:PQV720908 QAR720886:QAR720908 QKN720886:QKN720908 QUJ720886:QUJ720908 REF720886:REF720908 ROB720886:ROB720908 RXX720886:RXX720908 SHT720886:SHT720908 SRP720886:SRP720908 TBL720886:TBL720908 TLH720886:TLH720908 TVD720886:TVD720908 UEZ720886:UEZ720908 UOV720886:UOV720908 UYR720886:UYR720908 VIN720886:VIN720908 VSJ720886:VSJ720908 WCF720886:WCF720908 WMB720886:WMB720908 WVX720886:WVX720908 P786422:P786444 JL786422:JL786444 TH786422:TH786444 ADD786422:ADD786444 AMZ786422:AMZ786444 AWV786422:AWV786444 BGR786422:BGR786444 BQN786422:BQN786444 CAJ786422:CAJ786444 CKF786422:CKF786444 CUB786422:CUB786444 DDX786422:DDX786444 DNT786422:DNT786444 DXP786422:DXP786444 EHL786422:EHL786444 ERH786422:ERH786444 FBD786422:FBD786444 FKZ786422:FKZ786444 FUV786422:FUV786444 GER786422:GER786444 GON786422:GON786444 GYJ786422:GYJ786444 HIF786422:HIF786444 HSB786422:HSB786444 IBX786422:IBX786444 ILT786422:ILT786444 IVP786422:IVP786444 JFL786422:JFL786444 JPH786422:JPH786444 JZD786422:JZD786444 KIZ786422:KIZ786444 KSV786422:KSV786444 LCR786422:LCR786444 LMN786422:LMN786444 LWJ786422:LWJ786444 MGF786422:MGF786444 MQB786422:MQB786444 MZX786422:MZX786444 NJT786422:NJT786444 NTP786422:NTP786444 ODL786422:ODL786444 ONH786422:ONH786444 OXD786422:OXD786444 PGZ786422:PGZ786444 PQV786422:PQV786444 QAR786422:QAR786444 QKN786422:QKN786444 QUJ786422:QUJ786444 REF786422:REF786444 ROB786422:ROB786444 RXX786422:RXX786444 SHT786422:SHT786444 SRP786422:SRP786444 TBL786422:TBL786444 TLH786422:TLH786444 TVD786422:TVD786444 UEZ786422:UEZ786444 UOV786422:UOV786444 UYR786422:UYR786444 VIN786422:VIN786444 VSJ786422:VSJ786444 WCF786422:WCF786444 WMB786422:WMB786444 WVX786422:WVX786444 P851958:P851980 JL851958:JL851980 TH851958:TH851980 ADD851958:ADD851980 AMZ851958:AMZ851980 AWV851958:AWV851980 BGR851958:BGR851980 BQN851958:BQN851980 CAJ851958:CAJ851980 CKF851958:CKF851980 CUB851958:CUB851980 DDX851958:DDX851980 DNT851958:DNT851980 DXP851958:DXP851980 EHL851958:EHL851980 ERH851958:ERH851980 FBD851958:FBD851980 FKZ851958:FKZ851980 FUV851958:FUV851980 GER851958:GER851980 GON851958:GON851980 GYJ851958:GYJ851980 HIF851958:HIF851980 HSB851958:HSB851980 IBX851958:IBX851980 ILT851958:ILT851980 IVP851958:IVP851980 JFL851958:JFL851980 JPH851958:JPH851980 JZD851958:JZD851980 KIZ851958:KIZ851980 KSV851958:KSV851980 LCR851958:LCR851980 LMN851958:LMN851980 LWJ851958:LWJ851980 MGF851958:MGF851980 MQB851958:MQB851980 MZX851958:MZX851980 NJT851958:NJT851980 NTP851958:NTP851980 ODL851958:ODL851980 ONH851958:ONH851980 OXD851958:OXD851980 PGZ851958:PGZ851980 PQV851958:PQV851980 QAR851958:QAR851980 QKN851958:QKN851980 QUJ851958:QUJ851980 REF851958:REF851980 ROB851958:ROB851980 RXX851958:RXX851980 SHT851958:SHT851980 SRP851958:SRP851980 TBL851958:TBL851980 TLH851958:TLH851980 TVD851958:TVD851980 UEZ851958:UEZ851980 UOV851958:UOV851980 UYR851958:UYR851980 VIN851958:VIN851980 VSJ851958:VSJ851980 WCF851958:WCF851980 WMB851958:WMB851980 WVX851958:WVX851980 P917494:P917516 JL917494:JL917516 TH917494:TH917516 ADD917494:ADD917516 AMZ917494:AMZ917516 AWV917494:AWV917516 BGR917494:BGR917516 BQN917494:BQN917516 CAJ917494:CAJ917516 CKF917494:CKF917516 CUB917494:CUB917516 DDX917494:DDX917516 DNT917494:DNT917516 DXP917494:DXP917516 EHL917494:EHL917516 ERH917494:ERH917516 FBD917494:FBD917516 FKZ917494:FKZ917516 FUV917494:FUV917516 GER917494:GER917516 GON917494:GON917516 GYJ917494:GYJ917516 HIF917494:HIF917516 HSB917494:HSB917516 IBX917494:IBX917516 ILT917494:ILT917516 IVP917494:IVP917516 JFL917494:JFL917516 JPH917494:JPH917516 JZD917494:JZD917516 KIZ917494:KIZ917516 KSV917494:KSV917516 LCR917494:LCR917516 LMN917494:LMN917516 LWJ917494:LWJ917516 MGF917494:MGF917516 MQB917494:MQB917516 MZX917494:MZX917516 NJT917494:NJT917516 NTP917494:NTP917516 ODL917494:ODL917516 ONH917494:ONH917516 OXD917494:OXD917516 PGZ917494:PGZ917516 PQV917494:PQV917516 QAR917494:QAR917516 QKN917494:QKN917516 QUJ917494:QUJ917516 REF917494:REF917516 ROB917494:ROB917516 RXX917494:RXX917516 SHT917494:SHT917516 SRP917494:SRP917516 TBL917494:TBL917516 TLH917494:TLH917516 TVD917494:TVD917516 UEZ917494:UEZ917516 UOV917494:UOV917516 UYR917494:UYR917516 VIN917494:VIN917516 VSJ917494:VSJ917516 WCF917494:WCF917516 WMB917494:WMB917516 WVX917494:WVX917516 P983030:P983052 JL983030:JL983052 TH983030:TH983052 ADD983030:ADD983052 AMZ983030:AMZ983052 AWV983030:AWV983052 BGR983030:BGR983052 BQN983030:BQN983052 CAJ983030:CAJ983052 CKF983030:CKF983052 CUB983030:CUB983052 DDX983030:DDX983052 DNT983030:DNT983052 DXP983030:DXP983052 EHL983030:EHL983052 ERH983030:ERH983052 FBD983030:FBD983052 FKZ983030:FKZ983052 FUV983030:FUV983052 GER983030:GER983052 GON983030:GON983052 GYJ983030:GYJ983052 HIF983030:HIF983052 HSB983030:HSB983052 IBX983030:IBX983052 ILT983030:ILT983052 IVP983030:IVP983052 JFL983030:JFL983052 JPH983030:JPH983052 JZD983030:JZD983052 KIZ983030:KIZ983052 KSV983030:KSV983052 LCR983030:LCR983052 LMN983030:LMN983052 LWJ983030:LWJ983052 MGF983030:MGF983052 MQB983030:MQB983052 MZX983030:MZX983052 NJT983030:NJT983052 NTP983030:NTP983052 ODL983030:ODL983052 ONH983030:ONH983052 OXD983030:OXD983052 PGZ983030:PGZ983052 PQV983030:PQV983052 QAR983030:QAR983052 QKN983030:QKN983052 QUJ983030:QUJ983052 REF983030:REF983052 ROB983030:ROB983052 RXX983030:RXX983052 SHT983030:SHT983052 SRP983030:SRP983052 TBL983030:TBL983052 TLH983030:TLH983052 TVD983030:TVD983052 UEZ983030:UEZ983052 UOV983030:UOV983052 UYR983030:UYR983052 VIN983030:VIN983052 VSJ983030:VSJ983052 WCF983030:WCF983052 WMB983030:WMB983052 WVX983030:WVX983052 K65526:M65548 JG65526:JI65548 TC65526:TE65548 ACY65526:ADA65548 AMU65526:AMW65548 AWQ65526:AWS65548 BGM65526:BGO65548 BQI65526:BQK65548 CAE65526:CAG65548 CKA65526:CKC65548 CTW65526:CTY65548 DDS65526:DDU65548 DNO65526:DNQ65548 DXK65526:DXM65548 EHG65526:EHI65548 ERC65526:ERE65548 FAY65526:FBA65548 FKU65526:FKW65548 FUQ65526:FUS65548 GEM65526:GEO65548 GOI65526:GOK65548 GYE65526:GYG65548 HIA65526:HIC65548 HRW65526:HRY65548 IBS65526:IBU65548 ILO65526:ILQ65548 IVK65526:IVM65548 JFG65526:JFI65548 JPC65526:JPE65548 JYY65526:JZA65548 KIU65526:KIW65548 KSQ65526:KSS65548 LCM65526:LCO65548 LMI65526:LMK65548 LWE65526:LWG65548 MGA65526:MGC65548 MPW65526:MPY65548 MZS65526:MZU65548 NJO65526:NJQ65548 NTK65526:NTM65548 ODG65526:ODI65548 ONC65526:ONE65548 OWY65526:OXA65548 PGU65526:PGW65548 PQQ65526:PQS65548 QAM65526:QAO65548 QKI65526:QKK65548 QUE65526:QUG65548 REA65526:REC65548 RNW65526:RNY65548 RXS65526:RXU65548 SHO65526:SHQ65548 SRK65526:SRM65548 TBG65526:TBI65548 TLC65526:TLE65548 TUY65526:TVA65548 UEU65526:UEW65548 UOQ65526:UOS65548 UYM65526:UYO65548 VII65526:VIK65548 VSE65526:VSG65548 WCA65526:WCC65548 WLW65526:WLY65548 WVS65526:WVU65548 K131062:M131084 JG131062:JI131084 TC131062:TE131084 ACY131062:ADA131084 AMU131062:AMW131084 AWQ131062:AWS131084 BGM131062:BGO131084 BQI131062:BQK131084 CAE131062:CAG131084 CKA131062:CKC131084 CTW131062:CTY131084 DDS131062:DDU131084 DNO131062:DNQ131084 DXK131062:DXM131084 EHG131062:EHI131084 ERC131062:ERE131084 FAY131062:FBA131084 FKU131062:FKW131084 FUQ131062:FUS131084 GEM131062:GEO131084 GOI131062:GOK131084 GYE131062:GYG131084 HIA131062:HIC131084 HRW131062:HRY131084 IBS131062:IBU131084 ILO131062:ILQ131084 IVK131062:IVM131084 JFG131062:JFI131084 JPC131062:JPE131084 JYY131062:JZA131084 KIU131062:KIW131084 KSQ131062:KSS131084 LCM131062:LCO131084 LMI131062:LMK131084 LWE131062:LWG131084 MGA131062:MGC131084 MPW131062:MPY131084 MZS131062:MZU131084 NJO131062:NJQ131084 NTK131062:NTM131084 ODG131062:ODI131084 ONC131062:ONE131084 OWY131062:OXA131084 PGU131062:PGW131084 PQQ131062:PQS131084 QAM131062:QAO131084 QKI131062:QKK131084 QUE131062:QUG131084 REA131062:REC131084 RNW131062:RNY131084 RXS131062:RXU131084 SHO131062:SHQ131084 SRK131062:SRM131084 TBG131062:TBI131084 TLC131062:TLE131084 TUY131062:TVA131084 UEU131062:UEW131084 UOQ131062:UOS131084 UYM131062:UYO131084 VII131062:VIK131084 VSE131062:VSG131084 WCA131062:WCC131084 WLW131062:WLY131084 WVS131062:WVU131084 K196598:M196620 JG196598:JI196620 TC196598:TE196620 ACY196598:ADA196620 AMU196598:AMW196620 AWQ196598:AWS196620 BGM196598:BGO196620 BQI196598:BQK196620 CAE196598:CAG196620 CKA196598:CKC196620 CTW196598:CTY196620 DDS196598:DDU196620 DNO196598:DNQ196620 DXK196598:DXM196620 EHG196598:EHI196620 ERC196598:ERE196620 FAY196598:FBA196620 FKU196598:FKW196620 FUQ196598:FUS196620 GEM196598:GEO196620 GOI196598:GOK196620 GYE196598:GYG196620 HIA196598:HIC196620 HRW196598:HRY196620 IBS196598:IBU196620 ILO196598:ILQ196620 IVK196598:IVM196620 JFG196598:JFI196620 JPC196598:JPE196620 JYY196598:JZA196620 KIU196598:KIW196620 KSQ196598:KSS196620 LCM196598:LCO196620 LMI196598:LMK196620 LWE196598:LWG196620 MGA196598:MGC196620 MPW196598:MPY196620 MZS196598:MZU196620 NJO196598:NJQ196620 NTK196598:NTM196620 ODG196598:ODI196620 ONC196598:ONE196620 OWY196598:OXA196620 PGU196598:PGW196620 PQQ196598:PQS196620 QAM196598:QAO196620 QKI196598:QKK196620 QUE196598:QUG196620 REA196598:REC196620 RNW196598:RNY196620 RXS196598:RXU196620 SHO196598:SHQ196620 SRK196598:SRM196620 TBG196598:TBI196620 TLC196598:TLE196620 TUY196598:TVA196620 UEU196598:UEW196620 UOQ196598:UOS196620 UYM196598:UYO196620 VII196598:VIK196620 VSE196598:VSG196620 WCA196598:WCC196620 WLW196598:WLY196620 WVS196598:WVU196620 K262134:M262156 JG262134:JI262156 TC262134:TE262156 ACY262134:ADA262156 AMU262134:AMW262156 AWQ262134:AWS262156 BGM262134:BGO262156 BQI262134:BQK262156 CAE262134:CAG262156 CKA262134:CKC262156 CTW262134:CTY262156 DDS262134:DDU262156 DNO262134:DNQ262156 DXK262134:DXM262156 EHG262134:EHI262156 ERC262134:ERE262156 FAY262134:FBA262156 FKU262134:FKW262156 FUQ262134:FUS262156 GEM262134:GEO262156 GOI262134:GOK262156 GYE262134:GYG262156 HIA262134:HIC262156 HRW262134:HRY262156 IBS262134:IBU262156 ILO262134:ILQ262156 IVK262134:IVM262156 JFG262134:JFI262156 JPC262134:JPE262156 JYY262134:JZA262156 KIU262134:KIW262156 KSQ262134:KSS262156 LCM262134:LCO262156 LMI262134:LMK262156 LWE262134:LWG262156 MGA262134:MGC262156 MPW262134:MPY262156 MZS262134:MZU262156 NJO262134:NJQ262156 NTK262134:NTM262156 ODG262134:ODI262156 ONC262134:ONE262156 OWY262134:OXA262156 PGU262134:PGW262156 PQQ262134:PQS262156 QAM262134:QAO262156 QKI262134:QKK262156 QUE262134:QUG262156 REA262134:REC262156 RNW262134:RNY262156 RXS262134:RXU262156 SHO262134:SHQ262156 SRK262134:SRM262156 TBG262134:TBI262156 TLC262134:TLE262156 TUY262134:TVA262156 UEU262134:UEW262156 UOQ262134:UOS262156 UYM262134:UYO262156 VII262134:VIK262156 VSE262134:VSG262156 WCA262134:WCC262156 WLW262134:WLY262156 WVS262134:WVU262156 K327670:M327692 JG327670:JI327692 TC327670:TE327692 ACY327670:ADA327692 AMU327670:AMW327692 AWQ327670:AWS327692 BGM327670:BGO327692 BQI327670:BQK327692 CAE327670:CAG327692 CKA327670:CKC327692 CTW327670:CTY327692 DDS327670:DDU327692 DNO327670:DNQ327692 DXK327670:DXM327692 EHG327670:EHI327692 ERC327670:ERE327692 FAY327670:FBA327692 FKU327670:FKW327692 FUQ327670:FUS327692 GEM327670:GEO327692 GOI327670:GOK327692 GYE327670:GYG327692 HIA327670:HIC327692 HRW327670:HRY327692 IBS327670:IBU327692 ILO327670:ILQ327692 IVK327670:IVM327692 JFG327670:JFI327692 JPC327670:JPE327692 JYY327670:JZA327692 KIU327670:KIW327692 KSQ327670:KSS327692 LCM327670:LCO327692 LMI327670:LMK327692 LWE327670:LWG327692 MGA327670:MGC327692 MPW327670:MPY327692 MZS327670:MZU327692 NJO327670:NJQ327692 NTK327670:NTM327692 ODG327670:ODI327692 ONC327670:ONE327692 OWY327670:OXA327692 PGU327670:PGW327692 PQQ327670:PQS327692 QAM327670:QAO327692 QKI327670:QKK327692 QUE327670:QUG327692 REA327670:REC327692 RNW327670:RNY327692 RXS327670:RXU327692 SHO327670:SHQ327692 SRK327670:SRM327692 TBG327670:TBI327692 TLC327670:TLE327692 TUY327670:TVA327692 UEU327670:UEW327692 UOQ327670:UOS327692 UYM327670:UYO327692 VII327670:VIK327692 VSE327670:VSG327692 WCA327670:WCC327692 WLW327670:WLY327692 WVS327670:WVU327692 K393206:M393228 JG393206:JI393228 TC393206:TE393228 ACY393206:ADA393228 AMU393206:AMW393228 AWQ393206:AWS393228 BGM393206:BGO393228 BQI393206:BQK393228 CAE393206:CAG393228 CKA393206:CKC393228 CTW393206:CTY393228 DDS393206:DDU393228 DNO393206:DNQ393228 DXK393206:DXM393228 EHG393206:EHI393228 ERC393206:ERE393228 FAY393206:FBA393228 FKU393206:FKW393228 FUQ393206:FUS393228 GEM393206:GEO393228 GOI393206:GOK393228 GYE393206:GYG393228 HIA393206:HIC393228 HRW393206:HRY393228 IBS393206:IBU393228 ILO393206:ILQ393228 IVK393206:IVM393228 JFG393206:JFI393228 JPC393206:JPE393228 JYY393206:JZA393228 KIU393206:KIW393228 KSQ393206:KSS393228 LCM393206:LCO393228 LMI393206:LMK393228 LWE393206:LWG393228 MGA393206:MGC393228 MPW393206:MPY393228 MZS393206:MZU393228 NJO393206:NJQ393228 NTK393206:NTM393228 ODG393206:ODI393228 ONC393206:ONE393228 OWY393206:OXA393228 PGU393206:PGW393228 PQQ393206:PQS393228 QAM393206:QAO393228 QKI393206:QKK393228 QUE393206:QUG393228 REA393206:REC393228 RNW393206:RNY393228 RXS393206:RXU393228 SHO393206:SHQ393228 SRK393206:SRM393228 TBG393206:TBI393228 TLC393206:TLE393228 TUY393206:TVA393228 UEU393206:UEW393228 UOQ393206:UOS393228 UYM393206:UYO393228 VII393206:VIK393228 VSE393206:VSG393228 WCA393206:WCC393228 WLW393206:WLY393228 WVS393206:WVU393228 K458742:M458764 JG458742:JI458764 TC458742:TE458764 ACY458742:ADA458764 AMU458742:AMW458764 AWQ458742:AWS458764 BGM458742:BGO458764 BQI458742:BQK458764 CAE458742:CAG458764 CKA458742:CKC458764 CTW458742:CTY458764 DDS458742:DDU458764 DNO458742:DNQ458764 DXK458742:DXM458764 EHG458742:EHI458764 ERC458742:ERE458764 FAY458742:FBA458764 FKU458742:FKW458764 FUQ458742:FUS458764 GEM458742:GEO458764 GOI458742:GOK458764 GYE458742:GYG458764 HIA458742:HIC458764 HRW458742:HRY458764 IBS458742:IBU458764 ILO458742:ILQ458764 IVK458742:IVM458764 JFG458742:JFI458764 JPC458742:JPE458764 JYY458742:JZA458764 KIU458742:KIW458764 KSQ458742:KSS458764 LCM458742:LCO458764 LMI458742:LMK458764 LWE458742:LWG458764 MGA458742:MGC458764 MPW458742:MPY458764 MZS458742:MZU458764 NJO458742:NJQ458764 NTK458742:NTM458764 ODG458742:ODI458764 ONC458742:ONE458764 OWY458742:OXA458764 PGU458742:PGW458764 PQQ458742:PQS458764 QAM458742:QAO458764 QKI458742:QKK458764 QUE458742:QUG458764 REA458742:REC458764 RNW458742:RNY458764 RXS458742:RXU458764 SHO458742:SHQ458764 SRK458742:SRM458764 TBG458742:TBI458764 TLC458742:TLE458764 TUY458742:TVA458764 UEU458742:UEW458764 UOQ458742:UOS458764 UYM458742:UYO458764 VII458742:VIK458764 VSE458742:VSG458764 WCA458742:WCC458764 WLW458742:WLY458764 WVS458742:WVU458764 K524278:M524300 JG524278:JI524300 TC524278:TE524300 ACY524278:ADA524300 AMU524278:AMW524300 AWQ524278:AWS524300 BGM524278:BGO524300 BQI524278:BQK524300 CAE524278:CAG524300 CKA524278:CKC524300 CTW524278:CTY524300 DDS524278:DDU524300 DNO524278:DNQ524300 DXK524278:DXM524300 EHG524278:EHI524300 ERC524278:ERE524300 FAY524278:FBA524300 FKU524278:FKW524300 FUQ524278:FUS524300 GEM524278:GEO524300 GOI524278:GOK524300 GYE524278:GYG524300 HIA524278:HIC524300 HRW524278:HRY524300 IBS524278:IBU524300 ILO524278:ILQ524300 IVK524278:IVM524300 JFG524278:JFI524300 JPC524278:JPE524300 JYY524278:JZA524300 KIU524278:KIW524300 KSQ524278:KSS524300 LCM524278:LCO524300 LMI524278:LMK524300 LWE524278:LWG524300 MGA524278:MGC524300 MPW524278:MPY524300 MZS524278:MZU524300 NJO524278:NJQ524300 NTK524278:NTM524300 ODG524278:ODI524300 ONC524278:ONE524300 OWY524278:OXA524300 PGU524278:PGW524300 PQQ524278:PQS524300 QAM524278:QAO524300 QKI524278:QKK524300 QUE524278:QUG524300 REA524278:REC524300 RNW524278:RNY524300 RXS524278:RXU524300 SHO524278:SHQ524300 SRK524278:SRM524300 TBG524278:TBI524300 TLC524278:TLE524300 TUY524278:TVA524300 UEU524278:UEW524300 UOQ524278:UOS524300 UYM524278:UYO524300 VII524278:VIK524300 VSE524278:VSG524300 WCA524278:WCC524300 WLW524278:WLY524300 WVS524278:WVU524300 K589814:M589836 JG589814:JI589836 TC589814:TE589836 ACY589814:ADA589836 AMU589814:AMW589836 AWQ589814:AWS589836 BGM589814:BGO589836 BQI589814:BQK589836 CAE589814:CAG589836 CKA589814:CKC589836 CTW589814:CTY589836 DDS589814:DDU589836 DNO589814:DNQ589836 DXK589814:DXM589836 EHG589814:EHI589836 ERC589814:ERE589836 FAY589814:FBA589836 FKU589814:FKW589836 FUQ589814:FUS589836 GEM589814:GEO589836 GOI589814:GOK589836 GYE589814:GYG589836 HIA589814:HIC589836 HRW589814:HRY589836 IBS589814:IBU589836 ILO589814:ILQ589836 IVK589814:IVM589836 JFG589814:JFI589836 JPC589814:JPE589836 JYY589814:JZA589836 KIU589814:KIW589836 KSQ589814:KSS589836 LCM589814:LCO589836 LMI589814:LMK589836 LWE589814:LWG589836 MGA589814:MGC589836 MPW589814:MPY589836 MZS589814:MZU589836 NJO589814:NJQ589836 NTK589814:NTM589836 ODG589814:ODI589836 ONC589814:ONE589836 OWY589814:OXA589836 PGU589814:PGW589836 PQQ589814:PQS589836 QAM589814:QAO589836 QKI589814:QKK589836 QUE589814:QUG589836 REA589814:REC589836 RNW589814:RNY589836 RXS589814:RXU589836 SHO589814:SHQ589836 SRK589814:SRM589836 TBG589814:TBI589836 TLC589814:TLE589836 TUY589814:TVA589836 UEU589814:UEW589836 UOQ589814:UOS589836 UYM589814:UYO589836 VII589814:VIK589836 VSE589814:VSG589836 WCA589814:WCC589836 WLW589814:WLY589836 WVS589814:WVU589836 K655350:M655372 JG655350:JI655372 TC655350:TE655372 ACY655350:ADA655372 AMU655350:AMW655372 AWQ655350:AWS655372 BGM655350:BGO655372 BQI655350:BQK655372 CAE655350:CAG655372 CKA655350:CKC655372 CTW655350:CTY655372 DDS655350:DDU655372 DNO655350:DNQ655372 DXK655350:DXM655372 EHG655350:EHI655372 ERC655350:ERE655372 FAY655350:FBA655372 FKU655350:FKW655372 FUQ655350:FUS655372 GEM655350:GEO655372 GOI655350:GOK655372 GYE655350:GYG655372 HIA655350:HIC655372 HRW655350:HRY655372 IBS655350:IBU655372 ILO655350:ILQ655372 IVK655350:IVM655372 JFG655350:JFI655372 JPC655350:JPE655372 JYY655350:JZA655372 KIU655350:KIW655372 KSQ655350:KSS655372 LCM655350:LCO655372 LMI655350:LMK655372 LWE655350:LWG655372 MGA655350:MGC655372 MPW655350:MPY655372 MZS655350:MZU655372 NJO655350:NJQ655372 NTK655350:NTM655372 ODG655350:ODI655372 ONC655350:ONE655372 OWY655350:OXA655372 PGU655350:PGW655372 PQQ655350:PQS655372 QAM655350:QAO655372 QKI655350:QKK655372 QUE655350:QUG655372 REA655350:REC655372 RNW655350:RNY655372 RXS655350:RXU655372 SHO655350:SHQ655372 SRK655350:SRM655372 TBG655350:TBI655372 TLC655350:TLE655372 TUY655350:TVA655372 UEU655350:UEW655372 UOQ655350:UOS655372 UYM655350:UYO655372 VII655350:VIK655372 VSE655350:VSG655372 WCA655350:WCC655372 WLW655350:WLY655372 WVS655350:WVU655372 K720886:M720908 JG720886:JI720908 TC720886:TE720908 ACY720886:ADA720908 AMU720886:AMW720908 AWQ720886:AWS720908 BGM720886:BGO720908 BQI720886:BQK720908 CAE720886:CAG720908 CKA720886:CKC720908 CTW720886:CTY720908 DDS720886:DDU720908 DNO720886:DNQ720908 DXK720886:DXM720908 EHG720886:EHI720908 ERC720886:ERE720908 FAY720886:FBA720908 FKU720886:FKW720908 FUQ720886:FUS720908 GEM720886:GEO720908 GOI720886:GOK720908 GYE720886:GYG720908 HIA720886:HIC720908 HRW720886:HRY720908 IBS720886:IBU720908 ILO720886:ILQ720908 IVK720886:IVM720908 JFG720886:JFI720908 JPC720886:JPE720908 JYY720886:JZA720908 KIU720886:KIW720908 KSQ720886:KSS720908 LCM720886:LCO720908 LMI720886:LMK720908 LWE720886:LWG720908 MGA720886:MGC720908 MPW720886:MPY720908 MZS720886:MZU720908 NJO720886:NJQ720908 NTK720886:NTM720908 ODG720886:ODI720908 ONC720886:ONE720908 OWY720886:OXA720908 PGU720886:PGW720908 PQQ720886:PQS720908 QAM720886:QAO720908 QKI720886:QKK720908 QUE720886:QUG720908 REA720886:REC720908 RNW720886:RNY720908 RXS720886:RXU720908 SHO720886:SHQ720908 SRK720886:SRM720908 TBG720886:TBI720908 TLC720886:TLE720908 TUY720886:TVA720908 UEU720886:UEW720908 UOQ720886:UOS720908 UYM720886:UYO720908 VII720886:VIK720908 VSE720886:VSG720908 WCA720886:WCC720908 WLW720886:WLY720908 WVS720886:WVU720908 K786422:M786444 JG786422:JI786444 TC786422:TE786444 ACY786422:ADA786444 AMU786422:AMW786444 AWQ786422:AWS786444 BGM786422:BGO786444 BQI786422:BQK786444 CAE786422:CAG786444 CKA786422:CKC786444 CTW786422:CTY786444 DDS786422:DDU786444 DNO786422:DNQ786444 DXK786422:DXM786444 EHG786422:EHI786444 ERC786422:ERE786444 FAY786422:FBA786444 FKU786422:FKW786444 FUQ786422:FUS786444 GEM786422:GEO786444 GOI786422:GOK786444 GYE786422:GYG786444 HIA786422:HIC786444 HRW786422:HRY786444 IBS786422:IBU786444 ILO786422:ILQ786444 IVK786422:IVM786444 JFG786422:JFI786444 JPC786422:JPE786444 JYY786422:JZA786444 KIU786422:KIW786444 KSQ786422:KSS786444 LCM786422:LCO786444 LMI786422:LMK786444 LWE786422:LWG786444 MGA786422:MGC786444 MPW786422:MPY786444 MZS786422:MZU786444 NJO786422:NJQ786444 NTK786422:NTM786444 ODG786422:ODI786444 ONC786422:ONE786444 OWY786422:OXA786444 PGU786422:PGW786444 PQQ786422:PQS786444 QAM786422:QAO786444 QKI786422:QKK786444 QUE786422:QUG786444 REA786422:REC786444 RNW786422:RNY786444 RXS786422:RXU786444 SHO786422:SHQ786444 SRK786422:SRM786444 TBG786422:TBI786444 TLC786422:TLE786444 TUY786422:TVA786444 UEU786422:UEW786444 UOQ786422:UOS786444 UYM786422:UYO786444 VII786422:VIK786444 VSE786422:VSG786444 WCA786422:WCC786444 WLW786422:WLY786444 WVS786422:WVU786444 K851958:M851980 JG851958:JI851980 TC851958:TE851980 ACY851958:ADA851980 AMU851958:AMW851980 AWQ851958:AWS851980 BGM851958:BGO851980 BQI851958:BQK851980 CAE851958:CAG851980 CKA851958:CKC851980 CTW851958:CTY851980 DDS851958:DDU851980 DNO851958:DNQ851980 DXK851958:DXM851980 EHG851958:EHI851980 ERC851958:ERE851980 FAY851958:FBA851980 FKU851958:FKW851980 FUQ851958:FUS851980 GEM851958:GEO851980 GOI851958:GOK851980 GYE851958:GYG851980 HIA851958:HIC851980 HRW851958:HRY851980 IBS851958:IBU851980 ILO851958:ILQ851980 IVK851958:IVM851980 JFG851958:JFI851980 JPC851958:JPE851980 JYY851958:JZA851980 KIU851958:KIW851980 KSQ851958:KSS851980 LCM851958:LCO851980 LMI851958:LMK851980 LWE851958:LWG851980 MGA851958:MGC851980 MPW851958:MPY851980 MZS851958:MZU851980 NJO851958:NJQ851980 NTK851958:NTM851980 ODG851958:ODI851980 ONC851958:ONE851980 OWY851958:OXA851980 PGU851958:PGW851980 PQQ851958:PQS851980 QAM851958:QAO851980 QKI851958:QKK851980 QUE851958:QUG851980 REA851958:REC851980 RNW851958:RNY851980 RXS851958:RXU851980 SHO851958:SHQ851980 SRK851958:SRM851980 TBG851958:TBI851980 TLC851958:TLE851980 TUY851958:TVA851980 UEU851958:UEW851980 UOQ851958:UOS851980 UYM851958:UYO851980 VII851958:VIK851980 VSE851958:VSG851980 WCA851958:WCC851980 WLW851958:WLY851980 WVS851958:WVU851980 K917494:M917516 JG917494:JI917516 TC917494:TE917516 ACY917494:ADA917516 AMU917494:AMW917516 AWQ917494:AWS917516 BGM917494:BGO917516 BQI917494:BQK917516 CAE917494:CAG917516 CKA917494:CKC917516 CTW917494:CTY917516 DDS917494:DDU917516 DNO917494:DNQ917516 DXK917494:DXM917516 EHG917494:EHI917516 ERC917494:ERE917516 FAY917494:FBA917516 FKU917494:FKW917516 FUQ917494:FUS917516 GEM917494:GEO917516 GOI917494:GOK917516 GYE917494:GYG917516 HIA917494:HIC917516 HRW917494:HRY917516 IBS917494:IBU917516 ILO917494:ILQ917516 IVK917494:IVM917516 JFG917494:JFI917516 JPC917494:JPE917516 JYY917494:JZA917516 KIU917494:KIW917516 KSQ917494:KSS917516 LCM917494:LCO917516 LMI917494:LMK917516 LWE917494:LWG917516 MGA917494:MGC917516 MPW917494:MPY917516 MZS917494:MZU917516 NJO917494:NJQ917516 NTK917494:NTM917516 ODG917494:ODI917516 ONC917494:ONE917516 OWY917494:OXA917516 PGU917494:PGW917516 PQQ917494:PQS917516 QAM917494:QAO917516 QKI917494:QKK917516 QUE917494:QUG917516 REA917494:REC917516 RNW917494:RNY917516 RXS917494:RXU917516 SHO917494:SHQ917516 SRK917494:SRM917516 TBG917494:TBI917516 TLC917494:TLE917516 TUY917494:TVA917516 UEU917494:UEW917516 UOQ917494:UOS917516 UYM917494:UYO917516 VII917494:VIK917516 VSE917494:VSG917516 WCA917494:WCC917516 WLW917494:WLY917516 WVS917494:WVU917516 K983030:M983052 JG983030:JI983052 TC983030:TE983052 ACY983030:ADA983052 AMU983030:AMW983052 AWQ983030:AWS983052 BGM983030:BGO983052 BQI983030:BQK983052 CAE983030:CAG983052 CKA983030:CKC983052 CTW983030:CTY983052 DDS983030:DDU983052 DNO983030:DNQ983052 DXK983030:DXM983052 EHG983030:EHI983052 ERC983030:ERE983052 FAY983030:FBA983052 FKU983030:FKW983052 FUQ983030:FUS983052 GEM983030:GEO983052 GOI983030:GOK983052 GYE983030:GYG983052 HIA983030:HIC983052 HRW983030:HRY983052 IBS983030:IBU983052 ILO983030:ILQ983052 IVK983030:IVM983052 JFG983030:JFI983052 JPC983030:JPE983052 JYY983030:JZA983052 KIU983030:KIW983052 KSQ983030:KSS983052 LCM983030:LCO983052 LMI983030:LMK983052 LWE983030:LWG983052 MGA983030:MGC983052 MPW983030:MPY983052 MZS983030:MZU983052 NJO983030:NJQ983052 NTK983030:NTM983052 ODG983030:ODI983052 ONC983030:ONE983052 OWY983030:OXA983052 PGU983030:PGW983052 PQQ983030:PQS983052 QAM983030:QAO983052 QKI983030:QKK983052 QUE983030:QUG983052 REA983030:REC983052 RNW983030:RNY983052 RXS983030:RXU983052 SHO983030:SHQ983052 SRK983030:SRM983052 TBG983030:TBI983052 TLC983030:TLE983052 TUY983030:TVA983052 UEU983030:UEW983052 UOQ983030:UOS983052 UYM983030:UYO983052 VII983030:VIK983052 VSE983030:VSG983052 WCA983030:WCC983052 WLW983030:WLY983052 WVS983030:WVU983052 G20:I43 D20:D43 D53:D76 G53:I76" xr:uid="{7763F0F7-7262-4157-8BA0-4661C1E36A10}">
      <formula1>0</formula1>
    </dataValidation>
  </dataValidations>
  <pageMargins left="0.74803149606299213" right="0.74803149606299213" top="0.98425196850393704" bottom="0.98425196850393704" header="0.51181102362204722" footer="0.51181102362204722"/>
  <pageSetup paperSize="8" scale="43" fitToWidth="2" fitToHeight="2"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3" id="{9A8CB768-8540-4745-AD94-3C0277C87E03}">
            <xm:f>TITELBLAD!$F$16="ex-ante"</xm:f>
            <x14:dxf>
              <fill>
                <patternFill patternType="lightUp"/>
              </fill>
            </x14:dxf>
          </x14:cfRule>
          <xm:sqref>A50:E79 G50:J79</xm:sqref>
        </x14:conditionalFormatting>
        <x14:conditionalFormatting xmlns:xm="http://schemas.microsoft.com/office/excel/2006/main">
          <x14:cfRule type="expression" priority="1" id="{8CD2113A-8F99-453A-8E60-4FC3DF031158}">
            <xm:f>TITELBLAD!$F$16="ex-ante"</xm:f>
            <x14:dxf>
              <fill>
                <patternFill patternType="lightUp"/>
              </fill>
            </x14:dxf>
          </x14:cfRule>
          <xm:sqref>F50:F79</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1235F-ABB3-4F98-9CD1-5146AB4A39E8}">
  <sheetPr>
    <pageSetUpPr fitToPage="1"/>
  </sheetPr>
  <dimension ref="A1:Q34"/>
  <sheetViews>
    <sheetView zoomScaleNormal="100" workbookViewId="0">
      <selection activeCell="J30" sqref="J30"/>
    </sheetView>
  </sheetViews>
  <sheetFormatPr defaultColWidth="9.140625" defaultRowHeight="12.75" x14ac:dyDescent="0.2"/>
  <cols>
    <col min="1" max="1" width="9.140625" style="661"/>
    <col min="2" max="2" width="26.5703125" style="661" bestFit="1" customWidth="1"/>
    <col min="3" max="3" width="34.85546875" style="661" bestFit="1" customWidth="1"/>
    <col min="4" max="5" width="25.7109375" style="661" customWidth="1"/>
    <col min="6" max="7" width="18.42578125" style="661" customWidth="1"/>
    <col min="8" max="257" width="9.140625" style="661"/>
    <col min="258" max="258" width="26.5703125" style="661" bestFit="1" customWidth="1"/>
    <col min="259" max="259" width="34.85546875" style="661" bestFit="1" customWidth="1"/>
    <col min="260" max="263" width="18.42578125" style="661" customWidth="1"/>
    <col min="264" max="513" width="9.140625" style="661"/>
    <col min="514" max="514" width="26.5703125" style="661" bestFit="1" customWidth="1"/>
    <col min="515" max="515" width="34.85546875" style="661" bestFit="1" customWidth="1"/>
    <col min="516" max="519" width="18.42578125" style="661" customWidth="1"/>
    <col min="520" max="769" width="9.140625" style="661"/>
    <col min="770" max="770" width="26.5703125" style="661" bestFit="1" customWidth="1"/>
    <col min="771" max="771" width="34.85546875" style="661" bestFit="1" customWidth="1"/>
    <col min="772" max="775" width="18.42578125" style="661" customWidth="1"/>
    <col min="776" max="1025" width="9.140625" style="661"/>
    <col min="1026" max="1026" width="26.5703125" style="661" bestFit="1" customWidth="1"/>
    <col min="1027" max="1027" width="34.85546875" style="661" bestFit="1" customWidth="1"/>
    <col min="1028" max="1031" width="18.42578125" style="661" customWidth="1"/>
    <col min="1032" max="1281" width="9.140625" style="661"/>
    <col min="1282" max="1282" width="26.5703125" style="661" bestFit="1" customWidth="1"/>
    <col min="1283" max="1283" width="34.85546875" style="661" bestFit="1" customWidth="1"/>
    <col min="1284" max="1287" width="18.42578125" style="661" customWidth="1"/>
    <col min="1288" max="1537" width="9.140625" style="661"/>
    <col min="1538" max="1538" width="26.5703125" style="661" bestFit="1" customWidth="1"/>
    <col min="1539" max="1539" width="34.85546875" style="661" bestFit="1" customWidth="1"/>
    <col min="1540" max="1543" width="18.42578125" style="661" customWidth="1"/>
    <col min="1544" max="1793" width="9.140625" style="661"/>
    <col min="1794" max="1794" width="26.5703125" style="661" bestFit="1" customWidth="1"/>
    <col min="1795" max="1795" width="34.85546875" style="661" bestFit="1" customWidth="1"/>
    <col min="1796" max="1799" width="18.42578125" style="661" customWidth="1"/>
    <col min="1800" max="2049" width="9.140625" style="661"/>
    <col min="2050" max="2050" width="26.5703125" style="661" bestFit="1" customWidth="1"/>
    <col min="2051" max="2051" width="34.85546875" style="661" bestFit="1" customWidth="1"/>
    <col min="2052" max="2055" width="18.42578125" style="661" customWidth="1"/>
    <col min="2056" max="2305" width="9.140625" style="661"/>
    <col min="2306" max="2306" width="26.5703125" style="661" bestFit="1" customWidth="1"/>
    <col min="2307" max="2307" width="34.85546875" style="661" bestFit="1" customWidth="1"/>
    <col min="2308" max="2311" width="18.42578125" style="661" customWidth="1"/>
    <col min="2312" max="2561" width="9.140625" style="661"/>
    <col min="2562" max="2562" width="26.5703125" style="661" bestFit="1" customWidth="1"/>
    <col min="2563" max="2563" width="34.85546875" style="661" bestFit="1" customWidth="1"/>
    <col min="2564" max="2567" width="18.42578125" style="661" customWidth="1"/>
    <col min="2568" max="2817" width="9.140625" style="661"/>
    <col min="2818" max="2818" width="26.5703125" style="661" bestFit="1" customWidth="1"/>
    <col min="2819" max="2819" width="34.85546875" style="661" bestFit="1" customWidth="1"/>
    <col min="2820" max="2823" width="18.42578125" style="661" customWidth="1"/>
    <col min="2824" max="3073" width="9.140625" style="661"/>
    <col min="3074" max="3074" width="26.5703125" style="661" bestFit="1" customWidth="1"/>
    <col min="3075" max="3075" width="34.85546875" style="661" bestFit="1" customWidth="1"/>
    <col min="3076" max="3079" width="18.42578125" style="661" customWidth="1"/>
    <col min="3080" max="3329" width="9.140625" style="661"/>
    <col min="3330" max="3330" width="26.5703125" style="661" bestFit="1" customWidth="1"/>
    <col min="3331" max="3331" width="34.85546875" style="661" bestFit="1" customWidth="1"/>
    <col min="3332" max="3335" width="18.42578125" style="661" customWidth="1"/>
    <col min="3336" max="3585" width="9.140625" style="661"/>
    <col min="3586" max="3586" width="26.5703125" style="661" bestFit="1" customWidth="1"/>
    <col min="3587" max="3587" width="34.85546875" style="661" bestFit="1" customWidth="1"/>
    <col min="3588" max="3591" width="18.42578125" style="661" customWidth="1"/>
    <col min="3592" max="3841" width="9.140625" style="661"/>
    <col min="3842" max="3842" width="26.5703125" style="661" bestFit="1" customWidth="1"/>
    <col min="3843" max="3843" width="34.85546875" style="661" bestFit="1" customWidth="1"/>
    <col min="3844" max="3847" width="18.42578125" style="661" customWidth="1"/>
    <col min="3848" max="4097" width="9.140625" style="661"/>
    <col min="4098" max="4098" width="26.5703125" style="661" bestFit="1" customWidth="1"/>
    <col min="4099" max="4099" width="34.85546875" style="661" bestFit="1" customWidth="1"/>
    <col min="4100" max="4103" width="18.42578125" style="661" customWidth="1"/>
    <col min="4104" max="4353" width="9.140625" style="661"/>
    <col min="4354" max="4354" width="26.5703125" style="661" bestFit="1" customWidth="1"/>
    <col min="4355" max="4355" width="34.85546875" style="661" bestFit="1" customWidth="1"/>
    <col min="4356" max="4359" width="18.42578125" style="661" customWidth="1"/>
    <col min="4360" max="4609" width="9.140625" style="661"/>
    <col min="4610" max="4610" width="26.5703125" style="661" bestFit="1" customWidth="1"/>
    <col min="4611" max="4611" width="34.85546875" style="661" bestFit="1" customWidth="1"/>
    <col min="4612" max="4615" width="18.42578125" style="661" customWidth="1"/>
    <col min="4616" max="4865" width="9.140625" style="661"/>
    <col min="4866" max="4866" width="26.5703125" style="661" bestFit="1" customWidth="1"/>
    <col min="4867" max="4867" width="34.85546875" style="661" bestFit="1" customWidth="1"/>
    <col min="4868" max="4871" width="18.42578125" style="661" customWidth="1"/>
    <col min="4872" max="5121" width="9.140625" style="661"/>
    <col min="5122" max="5122" width="26.5703125" style="661" bestFit="1" customWidth="1"/>
    <col min="5123" max="5123" width="34.85546875" style="661" bestFit="1" customWidth="1"/>
    <col min="5124" max="5127" width="18.42578125" style="661" customWidth="1"/>
    <col min="5128" max="5377" width="9.140625" style="661"/>
    <col min="5378" max="5378" width="26.5703125" style="661" bestFit="1" customWidth="1"/>
    <col min="5379" max="5379" width="34.85546875" style="661" bestFit="1" customWidth="1"/>
    <col min="5380" max="5383" width="18.42578125" style="661" customWidth="1"/>
    <col min="5384" max="5633" width="9.140625" style="661"/>
    <col min="5634" max="5634" width="26.5703125" style="661" bestFit="1" customWidth="1"/>
    <col min="5635" max="5635" width="34.85546875" style="661" bestFit="1" customWidth="1"/>
    <col min="5636" max="5639" width="18.42578125" style="661" customWidth="1"/>
    <col min="5640" max="5889" width="9.140625" style="661"/>
    <col min="5890" max="5890" width="26.5703125" style="661" bestFit="1" customWidth="1"/>
    <col min="5891" max="5891" width="34.85546875" style="661" bestFit="1" customWidth="1"/>
    <col min="5892" max="5895" width="18.42578125" style="661" customWidth="1"/>
    <col min="5896" max="6145" width="9.140625" style="661"/>
    <col min="6146" max="6146" width="26.5703125" style="661" bestFit="1" customWidth="1"/>
    <col min="6147" max="6147" width="34.85546875" style="661" bestFit="1" customWidth="1"/>
    <col min="6148" max="6151" width="18.42578125" style="661" customWidth="1"/>
    <col min="6152" max="6401" width="9.140625" style="661"/>
    <col min="6402" max="6402" width="26.5703125" style="661" bestFit="1" customWidth="1"/>
    <col min="6403" max="6403" width="34.85546875" style="661" bestFit="1" customWidth="1"/>
    <col min="6404" max="6407" width="18.42578125" style="661" customWidth="1"/>
    <col min="6408" max="6657" width="9.140625" style="661"/>
    <col min="6658" max="6658" width="26.5703125" style="661" bestFit="1" customWidth="1"/>
    <col min="6659" max="6659" width="34.85546875" style="661" bestFit="1" customWidth="1"/>
    <col min="6660" max="6663" width="18.42578125" style="661" customWidth="1"/>
    <col min="6664" max="6913" width="9.140625" style="661"/>
    <col min="6914" max="6914" width="26.5703125" style="661" bestFit="1" customWidth="1"/>
    <col min="6915" max="6915" width="34.85546875" style="661" bestFit="1" customWidth="1"/>
    <col min="6916" max="6919" width="18.42578125" style="661" customWidth="1"/>
    <col min="6920" max="7169" width="9.140625" style="661"/>
    <col min="7170" max="7170" width="26.5703125" style="661" bestFit="1" customWidth="1"/>
    <col min="7171" max="7171" width="34.85546875" style="661" bestFit="1" customWidth="1"/>
    <col min="7172" max="7175" width="18.42578125" style="661" customWidth="1"/>
    <col min="7176" max="7425" width="9.140625" style="661"/>
    <col min="7426" max="7426" width="26.5703125" style="661" bestFit="1" customWidth="1"/>
    <col min="7427" max="7427" width="34.85546875" style="661" bestFit="1" customWidth="1"/>
    <col min="7428" max="7431" width="18.42578125" style="661" customWidth="1"/>
    <col min="7432" max="7681" width="9.140625" style="661"/>
    <col min="7682" max="7682" width="26.5703125" style="661" bestFit="1" customWidth="1"/>
    <col min="7683" max="7683" width="34.85546875" style="661" bestFit="1" customWidth="1"/>
    <col min="7684" max="7687" width="18.42578125" style="661" customWidth="1"/>
    <col min="7688" max="7937" width="9.140625" style="661"/>
    <col min="7938" max="7938" width="26.5703125" style="661" bestFit="1" customWidth="1"/>
    <col min="7939" max="7939" width="34.85546875" style="661" bestFit="1" customWidth="1"/>
    <col min="7940" max="7943" width="18.42578125" style="661" customWidth="1"/>
    <col min="7944" max="8193" width="9.140625" style="661"/>
    <col min="8194" max="8194" width="26.5703125" style="661" bestFit="1" customWidth="1"/>
    <col min="8195" max="8195" width="34.85546875" style="661" bestFit="1" customWidth="1"/>
    <col min="8196" max="8199" width="18.42578125" style="661" customWidth="1"/>
    <col min="8200" max="8449" width="9.140625" style="661"/>
    <col min="8450" max="8450" width="26.5703125" style="661" bestFit="1" customWidth="1"/>
    <col min="8451" max="8451" width="34.85546875" style="661" bestFit="1" customWidth="1"/>
    <col min="8452" max="8455" width="18.42578125" style="661" customWidth="1"/>
    <col min="8456" max="8705" width="9.140625" style="661"/>
    <col min="8706" max="8706" width="26.5703125" style="661" bestFit="1" customWidth="1"/>
    <col min="8707" max="8707" width="34.85546875" style="661" bestFit="1" customWidth="1"/>
    <col min="8708" max="8711" width="18.42578125" style="661" customWidth="1"/>
    <col min="8712" max="8961" width="9.140625" style="661"/>
    <col min="8962" max="8962" width="26.5703125" style="661" bestFit="1" customWidth="1"/>
    <col min="8963" max="8963" width="34.85546875" style="661" bestFit="1" customWidth="1"/>
    <col min="8964" max="8967" width="18.42578125" style="661" customWidth="1"/>
    <col min="8968" max="9217" width="9.140625" style="661"/>
    <col min="9218" max="9218" width="26.5703125" style="661" bestFit="1" customWidth="1"/>
    <col min="9219" max="9219" width="34.85546875" style="661" bestFit="1" customWidth="1"/>
    <col min="9220" max="9223" width="18.42578125" style="661" customWidth="1"/>
    <col min="9224" max="9473" width="9.140625" style="661"/>
    <col min="9474" max="9474" width="26.5703125" style="661" bestFit="1" customWidth="1"/>
    <col min="9475" max="9475" width="34.85546875" style="661" bestFit="1" customWidth="1"/>
    <col min="9476" max="9479" width="18.42578125" style="661" customWidth="1"/>
    <col min="9480" max="9729" width="9.140625" style="661"/>
    <col min="9730" max="9730" width="26.5703125" style="661" bestFit="1" customWidth="1"/>
    <col min="9731" max="9731" width="34.85546875" style="661" bestFit="1" customWidth="1"/>
    <col min="9732" max="9735" width="18.42578125" style="661" customWidth="1"/>
    <col min="9736" max="9985" width="9.140625" style="661"/>
    <col min="9986" max="9986" width="26.5703125" style="661" bestFit="1" customWidth="1"/>
    <col min="9987" max="9987" width="34.85546875" style="661" bestFit="1" customWidth="1"/>
    <col min="9988" max="9991" width="18.42578125" style="661" customWidth="1"/>
    <col min="9992" max="10241" width="9.140625" style="661"/>
    <col min="10242" max="10242" width="26.5703125" style="661" bestFit="1" customWidth="1"/>
    <col min="10243" max="10243" width="34.85546875" style="661" bestFit="1" customWidth="1"/>
    <col min="10244" max="10247" width="18.42578125" style="661" customWidth="1"/>
    <col min="10248" max="10497" width="9.140625" style="661"/>
    <col min="10498" max="10498" width="26.5703125" style="661" bestFit="1" customWidth="1"/>
    <col min="10499" max="10499" width="34.85546875" style="661" bestFit="1" customWidth="1"/>
    <col min="10500" max="10503" width="18.42578125" style="661" customWidth="1"/>
    <col min="10504" max="10753" width="9.140625" style="661"/>
    <col min="10754" max="10754" width="26.5703125" style="661" bestFit="1" customWidth="1"/>
    <col min="10755" max="10755" width="34.85546875" style="661" bestFit="1" customWidth="1"/>
    <col min="10756" max="10759" width="18.42578125" style="661" customWidth="1"/>
    <col min="10760" max="11009" width="9.140625" style="661"/>
    <col min="11010" max="11010" width="26.5703125" style="661" bestFit="1" customWidth="1"/>
    <col min="11011" max="11011" width="34.85546875" style="661" bestFit="1" customWidth="1"/>
    <col min="11012" max="11015" width="18.42578125" style="661" customWidth="1"/>
    <col min="11016" max="11265" width="9.140625" style="661"/>
    <col min="11266" max="11266" width="26.5703125" style="661" bestFit="1" customWidth="1"/>
    <col min="11267" max="11267" width="34.85546875" style="661" bestFit="1" customWidth="1"/>
    <col min="11268" max="11271" width="18.42578125" style="661" customWidth="1"/>
    <col min="11272" max="11521" width="9.140625" style="661"/>
    <col min="11522" max="11522" width="26.5703125" style="661" bestFit="1" customWidth="1"/>
    <col min="11523" max="11523" width="34.85546875" style="661" bestFit="1" customWidth="1"/>
    <col min="11524" max="11527" width="18.42578125" style="661" customWidth="1"/>
    <col min="11528" max="11777" width="9.140625" style="661"/>
    <col min="11778" max="11778" width="26.5703125" style="661" bestFit="1" customWidth="1"/>
    <col min="11779" max="11779" width="34.85546875" style="661" bestFit="1" customWidth="1"/>
    <col min="11780" max="11783" width="18.42578125" style="661" customWidth="1"/>
    <col min="11784" max="12033" width="9.140625" style="661"/>
    <col min="12034" max="12034" width="26.5703125" style="661" bestFit="1" customWidth="1"/>
    <col min="12035" max="12035" width="34.85546875" style="661" bestFit="1" customWidth="1"/>
    <col min="12036" max="12039" width="18.42578125" style="661" customWidth="1"/>
    <col min="12040" max="12289" width="9.140625" style="661"/>
    <col min="12290" max="12290" width="26.5703125" style="661" bestFit="1" customWidth="1"/>
    <col min="12291" max="12291" width="34.85546875" style="661" bestFit="1" customWidth="1"/>
    <col min="12292" max="12295" width="18.42578125" style="661" customWidth="1"/>
    <col min="12296" max="12545" width="9.140625" style="661"/>
    <col min="12546" max="12546" width="26.5703125" style="661" bestFit="1" customWidth="1"/>
    <col min="12547" max="12547" width="34.85546875" style="661" bestFit="1" customWidth="1"/>
    <col min="12548" max="12551" width="18.42578125" style="661" customWidth="1"/>
    <col min="12552" max="12801" width="9.140625" style="661"/>
    <col min="12802" max="12802" width="26.5703125" style="661" bestFit="1" customWidth="1"/>
    <col min="12803" max="12803" width="34.85546875" style="661" bestFit="1" customWidth="1"/>
    <col min="12804" max="12807" width="18.42578125" style="661" customWidth="1"/>
    <col min="12808" max="13057" width="9.140625" style="661"/>
    <col min="13058" max="13058" width="26.5703125" style="661" bestFit="1" customWidth="1"/>
    <col min="13059" max="13059" width="34.85546875" style="661" bestFit="1" customWidth="1"/>
    <col min="13060" max="13063" width="18.42578125" style="661" customWidth="1"/>
    <col min="13064" max="13313" width="9.140625" style="661"/>
    <col min="13314" max="13314" width="26.5703125" style="661" bestFit="1" customWidth="1"/>
    <col min="13315" max="13315" width="34.85546875" style="661" bestFit="1" customWidth="1"/>
    <col min="13316" max="13319" width="18.42578125" style="661" customWidth="1"/>
    <col min="13320" max="13569" width="9.140625" style="661"/>
    <col min="13570" max="13570" width="26.5703125" style="661" bestFit="1" customWidth="1"/>
    <col min="13571" max="13571" width="34.85546875" style="661" bestFit="1" customWidth="1"/>
    <col min="13572" max="13575" width="18.42578125" style="661" customWidth="1"/>
    <col min="13576" max="13825" width="9.140625" style="661"/>
    <col min="13826" max="13826" width="26.5703125" style="661" bestFit="1" customWidth="1"/>
    <col min="13827" max="13827" width="34.85546875" style="661" bestFit="1" customWidth="1"/>
    <col min="13828" max="13831" width="18.42578125" style="661" customWidth="1"/>
    <col min="13832" max="14081" width="9.140625" style="661"/>
    <col min="14082" max="14082" width="26.5703125" style="661" bestFit="1" customWidth="1"/>
    <col min="14083" max="14083" width="34.85546875" style="661" bestFit="1" customWidth="1"/>
    <col min="14084" max="14087" width="18.42578125" style="661" customWidth="1"/>
    <col min="14088" max="14337" width="9.140625" style="661"/>
    <col min="14338" max="14338" width="26.5703125" style="661" bestFit="1" customWidth="1"/>
    <col min="14339" max="14339" width="34.85546875" style="661" bestFit="1" customWidth="1"/>
    <col min="14340" max="14343" width="18.42578125" style="661" customWidth="1"/>
    <col min="14344" max="14593" width="9.140625" style="661"/>
    <col min="14594" max="14594" width="26.5703125" style="661" bestFit="1" customWidth="1"/>
    <col min="14595" max="14595" width="34.85546875" style="661" bestFit="1" customWidth="1"/>
    <col min="14596" max="14599" width="18.42578125" style="661" customWidth="1"/>
    <col min="14600" max="14849" width="9.140625" style="661"/>
    <col min="14850" max="14850" width="26.5703125" style="661" bestFit="1" customWidth="1"/>
    <col min="14851" max="14851" width="34.85546875" style="661" bestFit="1" customWidth="1"/>
    <col min="14852" max="14855" width="18.42578125" style="661" customWidth="1"/>
    <col min="14856" max="15105" width="9.140625" style="661"/>
    <col min="15106" max="15106" width="26.5703125" style="661" bestFit="1" customWidth="1"/>
    <col min="15107" max="15107" width="34.85546875" style="661" bestFit="1" customWidth="1"/>
    <col min="15108" max="15111" width="18.42578125" style="661" customWidth="1"/>
    <col min="15112" max="15361" width="9.140625" style="661"/>
    <col min="15362" max="15362" width="26.5703125" style="661" bestFit="1" customWidth="1"/>
    <col min="15363" max="15363" width="34.85546875" style="661" bestFit="1" customWidth="1"/>
    <col min="15364" max="15367" width="18.42578125" style="661" customWidth="1"/>
    <col min="15368" max="15617" width="9.140625" style="661"/>
    <col min="15618" max="15618" width="26.5703125" style="661" bestFit="1" customWidth="1"/>
    <col min="15619" max="15619" width="34.85546875" style="661" bestFit="1" customWidth="1"/>
    <col min="15620" max="15623" width="18.42578125" style="661" customWidth="1"/>
    <col min="15624" max="15873" width="9.140625" style="661"/>
    <col min="15874" max="15874" width="26.5703125" style="661" bestFit="1" customWidth="1"/>
    <col min="15875" max="15875" width="34.85546875" style="661" bestFit="1" customWidth="1"/>
    <col min="15876" max="15879" width="18.42578125" style="661" customWidth="1"/>
    <col min="15880" max="16129" width="9.140625" style="661"/>
    <col min="16130" max="16130" width="26.5703125" style="661" bestFit="1" customWidth="1"/>
    <col min="16131" max="16131" width="34.85546875" style="661" bestFit="1" customWidth="1"/>
    <col min="16132" max="16135" width="18.42578125" style="661" customWidth="1"/>
    <col min="16136" max="16384" width="9.140625" style="661"/>
  </cols>
  <sheetData>
    <row r="1" spans="1:17" ht="16.5" thickBot="1" x14ac:dyDescent="0.25">
      <c r="A1" s="1383" t="s">
        <v>436</v>
      </c>
      <c r="B1" s="1384"/>
      <c r="C1" s="1384"/>
      <c r="D1" s="1384"/>
      <c r="E1" s="1384"/>
      <c r="F1" s="1385"/>
      <c r="G1" s="806"/>
      <c r="H1" s="669"/>
      <c r="I1" s="669"/>
      <c r="J1" s="669"/>
      <c r="K1" s="662" t="str">
        <f>+TITELBLAD!C10</f>
        <v>gas</v>
      </c>
      <c r="L1" s="669"/>
      <c r="M1" s="669"/>
      <c r="N1" s="669"/>
      <c r="O1" s="669"/>
      <c r="P1" s="669"/>
      <c r="Q1" s="669"/>
    </row>
    <row r="2" spans="1:17" x14ac:dyDescent="0.2">
      <c r="A2" s="669"/>
      <c r="B2" s="669"/>
      <c r="C2" s="669"/>
      <c r="D2" s="669"/>
      <c r="E2" s="669"/>
      <c r="F2" s="669"/>
      <c r="G2" s="669"/>
      <c r="H2" s="669"/>
      <c r="I2" s="669"/>
      <c r="J2" s="669"/>
      <c r="K2" s="674">
        <f>+TITELBLAD!E16</f>
        <v>2021</v>
      </c>
      <c r="L2" s="669"/>
      <c r="M2" s="669"/>
      <c r="N2" s="669"/>
      <c r="O2" s="669"/>
      <c r="P2" s="669"/>
      <c r="Q2" s="669"/>
    </row>
    <row r="3" spans="1:17" ht="13.5" thickBot="1" x14ac:dyDescent="0.25">
      <c r="H3" s="669"/>
      <c r="I3" s="669"/>
      <c r="J3" s="669"/>
      <c r="K3" s="662"/>
      <c r="L3" s="669"/>
      <c r="M3" s="669"/>
      <c r="N3" s="669"/>
      <c r="O3" s="669"/>
      <c r="P3" s="669"/>
      <c r="Q3" s="669"/>
    </row>
    <row r="4" spans="1:17" ht="12.95" customHeight="1" x14ac:dyDescent="0.2">
      <c r="B4" s="677"/>
      <c r="C4" s="678"/>
      <c r="D4" s="1389" t="str">
        <f>"BUDGET "&amp;K2</f>
        <v>BUDGET 2021</v>
      </c>
      <c r="E4" s="1389" t="str">
        <f>"REALITEIT "&amp;K2</f>
        <v>REALITEIT 2021</v>
      </c>
      <c r="H4" s="669"/>
      <c r="I4" s="669"/>
      <c r="J4" s="669"/>
      <c r="K4" s="669"/>
      <c r="L4" s="669"/>
      <c r="M4" s="669"/>
      <c r="N4" s="669"/>
      <c r="O4" s="669"/>
      <c r="P4" s="669"/>
      <c r="Q4" s="669"/>
    </row>
    <row r="5" spans="1:17" ht="13.5" thickBot="1" x14ac:dyDescent="0.25">
      <c r="B5" s="679"/>
      <c r="C5" s="680"/>
      <c r="D5" s="1390"/>
      <c r="E5" s="1390"/>
      <c r="H5" s="669"/>
      <c r="I5" s="669"/>
      <c r="J5" s="669"/>
      <c r="K5" s="669"/>
      <c r="L5" s="669"/>
      <c r="M5" s="669"/>
      <c r="N5" s="669"/>
      <c r="O5" s="669"/>
      <c r="P5" s="669"/>
      <c r="Q5" s="669"/>
    </row>
    <row r="6" spans="1:17" x14ac:dyDescent="0.2">
      <c r="B6" s="677"/>
      <c r="C6" s="678"/>
      <c r="D6" s="681"/>
      <c r="E6" s="681"/>
      <c r="H6" s="669"/>
      <c r="I6" s="669"/>
      <c r="J6" s="669"/>
      <c r="K6" s="669"/>
      <c r="L6" s="669"/>
      <c r="M6" s="669"/>
      <c r="N6" s="669"/>
      <c r="O6" s="669"/>
      <c r="P6" s="669"/>
      <c r="Q6" s="669"/>
    </row>
    <row r="7" spans="1:17" x14ac:dyDescent="0.2">
      <c r="B7" s="1386" t="str">
        <f>"Startwaarde (01/01/"&amp;K2&amp;")"</f>
        <v>Startwaarde (01/01/2021)</v>
      </c>
      <c r="C7" s="682" t="s">
        <v>357</v>
      </c>
      <c r="D7" s="683">
        <f>IF($K$1="elektriciteit",T13A!E66,IF('T14'!$K$1="gas",T13C!E45,"FOUT"))</f>
        <v>0</v>
      </c>
      <c r="E7" s="683">
        <f>IF($K$1="elektriciteit",T13A!E120,IF('T14'!$K$1="gas",T13C!E78,"FOUT"))</f>
        <v>0</v>
      </c>
      <c r="H7" s="669"/>
      <c r="I7" s="669"/>
      <c r="J7" s="669"/>
      <c r="K7" s="669"/>
      <c r="L7" s="669"/>
      <c r="M7" s="669"/>
      <c r="N7" s="669"/>
      <c r="O7" s="669"/>
      <c r="P7" s="669"/>
      <c r="Q7" s="669"/>
    </row>
    <row r="8" spans="1:17" x14ac:dyDescent="0.2">
      <c r="B8" s="1386"/>
      <c r="C8" s="682" t="s">
        <v>358</v>
      </c>
      <c r="D8" s="683">
        <f>IF($K$1="elektriciteit",T13B!E66,IF('T14'!$K$1="gas",T13D!E45,"FOUT"))</f>
        <v>0</v>
      </c>
      <c r="E8" s="684">
        <f>IF($K$1="elektriciteit",T13B!E120,IF('T14'!$K$1="gas",T13D!E78,"FOUT"))</f>
        <v>0</v>
      </c>
      <c r="H8" s="669"/>
      <c r="I8" s="669"/>
      <c r="J8" s="669"/>
      <c r="K8" s="669"/>
      <c r="L8" s="669"/>
      <c r="M8" s="669"/>
      <c r="N8" s="669"/>
      <c r="O8" s="669"/>
      <c r="P8" s="669"/>
      <c r="Q8" s="669"/>
    </row>
    <row r="9" spans="1:17" x14ac:dyDescent="0.2">
      <c r="B9" s="685"/>
      <c r="C9" s="686"/>
      <c r="D9" s="687"/>
      <c r="E9" s="688"/>
      <c r="H9" s="669"/>
      <c r="I9" s="669"/>
      <c r="J9" s="669"/>
      <c r="K9" s="669"/>
      <c r="L9" s="669"/>
      <c r="M9" s="669"/>
      <c r="N9" s="669"/>
      <c r="O9" s="669"/>
      <c r="P9" s="669"/>
      <c r="Q9" s="669"/>
    </row>
    <row r="10" spans="1:17" x14ac:dyDescent="0.2">
      <c r="B10" s="689"/>
      <c r="C10" s="690"/>
      <c r="D10" s="691"/>
      <c r="E10" s="692"/>
      <c r="H10" s="669"/>
      <c r="I10" s="669"/>
      <c r="J10" s="669"/>
      <c r="K10" s="669"/>
      <c r="L10" s="669"/>
      <c r="M10" s="669"/>
      <c r="N10" s="669"/>
      <c r="O10" s="669"/>
      <c r="P10" s="669"/>
      <c r="Q10" s="669"/>
    </row>
    <row r="11" spans="1:17" x14ac:dyDescent="0.2">
      <c r="B11" s="805" t="str">
        <f>"Startwaarde RAB m.b.t. herwaarderingsmeerwaarden (01/01/"&amp;K2&amp;")"</f>
        <v>Startwaarde RAB m.b.t. herwaarderingsmeerwaarden (01/01/2021)</v>
      </c>
      <c r="C11" s="693"/>
      <c r="D11" s="705">
        <f>+D8+D7</f>
        <v>0</v>
      </c>
      <c r="E11" s="705">
        <f>+E8+E7</f>
        <v>0</v>
      </c>
      <c r="H11" s="669"/>
      <c r="I11" s="669"/>
      <c r="J11" s="669"/>
      <c r="K11" s="669"/>
      <c r="L11" s="669"/>
      <c r="M11" s="669"/>
      <c r="N11" s="669"/>
      <c r="O11" s="669"/>
      <c r="P11" s="669"/>
      <c r="Q11" s="669"/>
    </row>
    <row r="12" spans="1:17" x14ac:dyDescent="0.2">
      <c r="B12" s="685"/>
      <c r="C12" s="693"/>
      <c r="D12" s="694"/>
      <c r="E12" s="695"/>
      <c r="H12" s="669"/>
      <c r="I12" s="669"/>
      <c r="J12" s="669"/>
      <c r="K12" s="669"/>
      <c r="L12" s="669"/>
      <c r="M12" s="669"/>
      <c r="N12" s="669"/>
      <c r="O12" s="669"/>
      <c r="P12" s="669"/>
      <c r="Q12" s="669"/>
    </row>
    <row r="13" spans="1:17" x14ac:dyDescent="0.2">
      <c r="B13" s="689"/>
      <c r="C13" s="696"/>
      <c r="D13" s="691"/>
      <c r="E13" s="692"/>
    </row>
    <row r="14" spans="1:17" x14ac:dyDescent="0.2">
      <c r="B14" s="685" t="s">
        <v>359</v>
      </c>
      <c r="C14" s="682" t="s">
        <v>357</v>
      </c>
      <c r="D14" s="683">
        <f>IF($K$1="elektriciteit",T13A!G66,IF('T14'!$K$1="gas",T13C!G45,"FOUT"))</f>
        <v>0</v>
      </c>
      <c r="E14" s="683">
        <f>IF($K$1="elektriciteit",T13A!G120,IF('T14'!$K$1="gas",T13C!G78,"FOUT"))</f>
        <v>0</v>
      </c>
    </row>
    <row r="15" spans="1:17" x14ac:dyDescent="0.2">
      <c r="B15" s="685"/>
      <c r="C15" s="682" t="s">
        <v>358</v>
      </c>
      <c r="D15" s="683">
        <f>IF($K$1="elektriciteit",T13B!G66,IF('T14'!$K$1="gas",T13D!G45,"FOUT"))</f>
        <v>0</v>
      </c>
      <c r="E15" s="684">
        <f>IF($K$1="elektriciteit",T13B!G120,IF('T14'!$K$1="gas",T13D!G78,"FOUT"))</f>
        <v>0</v>
      </c>
    </row>
    <row r="16" spans="1:17" x14ac:dyDescent="0.2">
      <c r="B16" s="697"/>
      <c r="C16" s="698"/>
      <c r="D16" s="699"/>
      <c r="E16" s="700"/>
    </row>
    <row r="17" spans="2:5" x14ac:dyDescent="0.2">
      <c r="B17" s="689"/>
      <c r="C17" s="696"/>
      <c r="D17" s="691"/>
      <c r="E17" s="692"/>
    </row>
    <row r="18" spans="2:5" x14ac:dyDescent="0.2">
      <c r="B18" s="1397" t="s">
        <v>439</v>
      </c>
      <c r="C18" s="682" t="s">
        <v>357</v>
      </c>
      <c r="D18" s="683">
        <f>IF($K$1="elektriciteit",T13A!H66+T13A!I66,IF('T14'!$K$1="gas",T13C!H45+T13C!I45,"FOUT"))</f>
        <v>0</v>
      </c>
      <c r="E18" s="683">
        <f>IF($K$1="elektriciteit",T13A!H120+T13A!I120,IF('T14'!$K$1="gas",T13C!H78+T13C!I78,"FOUT"))</f>
        <v>0</v>
      </c>
    </row>
    <row r="19" spans="2:5" ht="14.1" customHeight="1" x14ac:dyDescent="0.2">
      <c r="B19" s="1397"/>
      <c r="C19" s="682" t="s">
        <v>358</v>
      </c>
      <c r="D19" s="683">
        <f>IF($K$1="elektriciteit",T13B!H66+T13B!I66,IF('T14'!$K$1="gas",T13D!H45+T13D!I45,"FOUT"))</f>
        <v>0</v>
      </c>
      <c r="E19" s="684">
        <f>IF($K$1="elektriciteit",T13B!H120+T13B!I120,IF('T14'!$K$1="gas",T13D!H78+T13D!I78,"FOUT"))</f>
        <v>0</v>
      </c>
    </row>
    <row r="20" spans="2:5" x14ac:dyDescent="0.2">
      <c r="B20" s="697"/>
      <c r="C20" s="698"/>
      <c r="D20" s="699"/>
      <c r="E20" s="700"/>
    </row>
    <row r="21" spans="2:5" x14ac:dyDescent="0.2">
      <c r="B21" s="685"/>
      <c r="C21" s="693"/>
      <c r="D21" s="694"/>
      <c r="E21" s="695"/>
    </row>
    <row r="22" spans="2:5" x14ac:dyDescent="0.2">
      <c r="B22" s="685" t="str">
        <f>"Eindwaarde (31/12/"&amp;K2&amp;")"</f>
        <v>Eindwaarde (31/12/2021)</v>
      </c>
      <c r="C22" s="682" t="s">
        <v>357</v>
      </c>
      <c r="D22" s="683">
        <f>+D7+D14+D18</f>
        <v>0</v>
      </c>
      <c r="E22" s="684">
        <f>+E7+E14+E18</f>
        <v>0</v>
      </c>
    </row>
    <row r="23" spans="2:5" x14ac:dyDescent="0.2">
      <c r="B23" s="685"/>
      <c r="C23" s="682" t="s">
        <v>358</v>
      </c>
      <c r="D23" s="683">
        <f t="shared" ref="D23:E23" si="0">+D8+D15+D19</f>
        <v>0</v>
      </c>
      <c r="E23" s="684">
        <f t="shared" si="0"/>
        <v>0</v>
      </c>
    </row>
    <row r="24" spans="2:5" x14ac:dyDescent="0.2">
      <c r="B24" s="701"/>
      <c r="C24" s="702"/>
      <c r="D24" s="703"/>
      <c r="E24" s="704"/>
    </row>
    <row r="25" spans="2:5" x14ac:dyDescent="0.2">
      <c r="B25" s="685"/>
      <c r="C25" s="693"/>
      <c r="D25" s="694"/>
      <c r="E25" s="695"/>
    </row>
    <row r="26" spans="2:5" x14ac:dyDescent="0.2">
      <c r="B26" s="805" t="str">
        <f>"Eindwaarde RAB m.b.t. herwaarderingsmeerwaarden (31/12/"&amp;K2&amp;")"</f>
        <v>Eindwaarde RAB m.b.t. herwaarderingsmeerwaarden (31/12/2021)</v>
      </c>
      <c r="C26" s="693"/>
      <c r="D26" s="705">
        <f>D22+D23</f>
        <v>0</v>
      </c>
      <c r="E26" s="706">
        <f>E22+E23</f>
        <v>0</v>
      </c>
    </row>
    <row r="27" spans="2:5" x14ac:dyDescent="0.2">
      <c r="B27" s="697"/>
      <c r="C27" s="698"/>
      <c r="D27" s="699"/>
      <c r="E27" s="700"/>
    </row>
    <row r="28" spans="2:5" x14ac:dyDescent="0.2">
      <c r="B28" s="1391" t="str">
        <f>"Gemiddelde RAB m.b.t. herwaarderingsmeerwaarden voor het jaar "&amp;'T9 - Overzicht'!B6</f>
        <v>Gemiddelde RAB m.b.t. herwaarderingsmeerwaarden voor het jaar 2021</v>
      </c>
      <c r="C28" s="1392"/>
      <c r="D28" s="694"/>
      <c r="E28" s="695"/>
    </row>
    <row r="29" spans="2:5" x14ac:dyDescent="0.2">
      <c r="B29" s="1393"/>
      <c r="C29" s="1394"/>
      <c r="D29" s="705">
        <f>(D11+D26)/2</f>
        <v>0</v>
      </c>
      <c r="E29" s="706">
        <f>(E11+E26)/2</f>
        <v>0</v>
      </c>
    </row>
    <row r="30" spans="2:5" ht="13.5" thickBot="1" x14ac:dyDescent="0.25">
      <c r="B30" s="1395"/>
      <c r="C30" s="1396"/>
      <c r="D30" s="707"/>
      <c r="E30" s="708"/>
    </row>
    <row r="31" spans="2:5" ht="7.5" customHeight="1" thickBot="1" x14ac:dyDescent="0.25"/>
    <row r="32" spans="2:5" ht="14.45" customHeight="1" thickBot="1" x14ac:dyDescent="0.25">
      <c r="B32" s="1387" t="str">
        <f>"Kapitaalkostpercentage herwaarderingsmeerwaarden voor "&amp;TITELBLAD!E16</f>
        <v>Kapitaalkostpercentage herwaarderingsmeerwaarden voor 2021</v>
      </c>
      <c r="C32" s="1388"/>
      <c r="D32" s="672">
        <f>IF($K$2=2021,0.035,IF($K$2=2022,0.0306,IF($K$2=2023,0.0263,IF($K$2=2024,0.0219,"FOUT"))))</f>
        <v>3.5000000000000003E-2</v>
      </c>
      <c r="E32" s="673">
        <f>IF($K$2=2021,0.035,IF($K$2=2022,0.0306,IF($K$2=2023,0.0263,IF($K$2=2024,0.0219,"FOUT"))))</f>
        <v>3.5000000000000003E-2</v>
      </c>
    </row>
    <row r="33" spans="2:5" ht="7.5" customHeight="1" thickBot="1" x14ac:dyDescent="0.25"/>
    <row r="34" spans="2:5" ht="14.45" customHeight="1" thickBot="1" x14ac:dyDescent="0.25">
      <c r="B34" s="1387" t="s">
        <v>360</v>
      </c>
      <c r="C34" s="1388"/>
      <c r="D34" s="675">
        <f>+D29*D32</f>
        <v>0</v>
      </c>
      <c r="E34" s="676">
        <f>+E29*E32</f>
        <v>0</v>
      </c>
    </row>
  </sheetData>
  <sheetProtection algorithmName="SHA-512" hashValue="6f91J1s0FhLgoeyMGFbaMZ+PduRagFKh/R8oUd8V9BITlxDQeOdsKf50eN9ukI8UxVgHJsIge/hOYfYC/xWuwg==" saltValue="jBupkhEPolfNvqEgCFiUtw==" spinCount="100000" sheet="1" objects="1" scenarios="1"/>
  <mergeCells count="8">
    <mergeCell ref="A1:F1"/>
    <mergeCell ref="B7:B8"/>
    <mergeCell ref="B32:C32"/>
    <mergeCell ref="B34:C34"/>
    <mergeCell ref="D4:D5"/>
    <mergeCell ref="E4:E5"/>
    <mergeCell ref="B28:C30"/>
    <mergeCell ref="B18:B19"/>
  </mergeCells>
  <pageMargins left="0.70866141732283472" right="0.70866141732283472" top="0.74803149606299213" bottom="0.74803149606299213" header="0.31496062992125984" footer="0.31496062992125984"/>
  <pageSetup paperSize="8" scale="92" orientation="portrait" r:id="rId1"/>
  <extLst>
    <ext xmlns:x14="http://schemas.microsoft.com/office/spreadsheetml/2009/9/main" uri="{78C0D931-6437-407d-A8EE-F0AAD7539E65}">
      <x14:conditionalFormattings>
        <x14:conditionalFormatting xmlns:xm="http://schemas.microsoft.com/office/excel/2006/main">
          <x14:cfRule type="expression" priority="1" id="{B65F6348-BDA2-4E6A-94B1-7B2C6455F126}">
            <xm:f>'T9 - Overzicht'!$C$6="ex-ante"</xm:f>
            <x14:dxf>
              <fill>
                <patternFill patternType="lightUp"/>
              </fill>
            </x14:dxf>
          </x14:cfRule>
          <xm:sqref>E4:E30 E32 E34</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8BFEE-5506-4276-8FE4-EFB2FAEA8A52}">
  <sheetPr published="0"/>
  <dimension ref="A1"/>
  <sheetViews>
    <sheetView workbookViewId="0">
      <selection activeCell="L31" sqref="L31"/>
    </sheetView>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codeName="Blad2">
    <pageSetUpPr fitToPage="1"/>
  </sheetPr>
  <dimension ref="B1:S125"/>
  <sheetViews>
    <sheetView topLeftCell="A7" zoomScale="70" zoomScaleNormal="70" workbookViewId="0">
      <selection activeCell="I18" sqref="I18"/>
    </sheetView>
  </sheetViews>
  <sheetFormatPr defaultColWidth="9.140625" defaultRowHeight="12.75" x14ac:dyDescent="0.2"/>
  <cols>
    <col min="1" max="1" width="1.5703125" style="12" customWidth="1"/>
    <col min="2" max="2" width="4.140625" style="42" customWidth="1"/>
    <col min="3" max="3" width="22.42578125" style="42" customWidth="1"/>
    <col min="4" max="4" width="1.42578125" style="42" customWidth="1"/>
    <col min="5" max="5" width="23" style="42" customWidth="1"/>
    <col min="6" max="6" width="10.7109375" style="43" customWidth="1"/>
    <col min="7" max="8" width="26.140625" style="42" customWidth="1"/>
    <col min="9" max="11" width="23.7109375" style="42" customWidth="1"/>
    <col min="12" max="13" width="25" style="42" customWidth="1"/>
    <col min="14" max="14" width="22.42578125" style="42" customWidth="1"/>
    <col min="15" max="15" width="26.5703125" style="42" customWidth="1"/>
    <col min="16" max="16" width="22.42578125" style="42" customWidth="1"/>
    <col min="17" max="17" width="31.85546875" style="42" customWidth="1"/>
    <col min="18" max="18" width="19.7109375" style="42" customWidth="1"/>
    <col min="19" max="19" width="18.7109375" style="42" customWidth="1"/>
    <col min="20" max="16384" width="9.140625" style="12"/>
  </cols>
  <sheetData>
    <row r="1" spans="2:19" ht="25.5" customHeight="1" thickBot="1" x14ac:dyDescent="0.25">
      <c r="B1" s="1178" t="str">
        <f>"TABEL 1: Resultatenrekening (algemene boekhouding) voor boekjaar "&amp;TITELBLAD!E16&amp;" (waarden boekhouding)"</f>
        <v>TABEL 1: Resultatenrekening (algemene boekhouding) voor boekjaar 2021 (waarden boekhouding)</v>
      </c>
      <c r="C1" s="1179"/>
      <c r="D1" s="1179"/>
      <c r="E1" s="1179"/>
      <c r="F1" s="1179"/>
      <c r="G1" s="1179"/>
      <c r="H1" s="1179"/>
      <c r="I1" s="1179"/>
      <c r="J1" s="1179"/>
      <c r="K1" s="1179"/>
      <c r="L1" s="1179"/>
      <c r="M1" s="1180"/>
      <c r="N1" s="12"/>
      <c r="O1" s="12"/>
      <c r="P1" s="12"/>
      <c r="Q1" s="12"/>
      <c r="R1" s="12"/>
      <c r="S1" s="12"/>
    </row>
    <row r="2" spans="2:19" ht="18" x14ac:dyDescent="0.25">
      <c r="B2" s="34"/>
      <c r="C2" s="34"/>
      <c r="D2" s="34"/>
      <c r="E2" s="34"/>
      <c r="F2" s="35"/>
      <c r="G2" s="34"/>
      <c r="H2" s="34"/>
      <c r="I2" s="34"/>
      <c r="J2" s="34"/>
      <c r="K2" s="34"/>
      <c r="L2" s="34"/>
      <c r="M2" s="34"/>
      <c r="N2" s="34"/>
      <c r="O2" s="141" t="s">
        <v>100</v>
      </c>
      <c r="P2" s="141">
        <f>+TITELBLAD!E16</f>
        <v>2021</v>
      </c>
      <c r="Q2" s="141" t="str">
        <f>+TITELBLAD!F16</f>
        <v>ex-ante</v>
      </c>
      <c r="R2" s="34"/>
      <c r="S2" s="35"/>
    </row>
    <row r="3" spans="2:19" s="36" customFormat="1" x14ac:dyDescent="0.2">
      <c r="C3" s="37" t="s">
        <v>37</v>
      </c>
      <c r="D3" s="38"/>
      <c r="L3" s="38"/>
      <c r="O3" s="142"/>
      <c r="P3" s="142"/>
      <c r="Q3" s="142"/>
    </row>
    <row r="4" spans="2:19" s="36" customFormat="1" x14ac:dyDescent="0.2">
      <c r="C4" s="39" t="s">
        <v>95</v>
      </c>
      <c r="D4" s="38"/>
      <c r="L4" s="38"/>
    </row>
    <row r="5" spans="2:19" ht="13.5" thickBot="1" x14ac:dyDescent="0.25">
      <c r="B5" s="40"/>
      <c r="C5" s="40"/>
      <c r="D5" s="40"/>
      <c r="E5" s="40"/>
      <c r="F5" s="41"/>
      <c r="G5" s="40"/>
      <c r="H5" s="40"/>
      <c r="I5" s="40"/>
      <c r="J5" s="40"/>
      <c r="K5" s="40"/>
      <c r="L5" s="40"/>
      <c r="M5" s="40"/>
      <c r="N5" s="40"/>
      <c r="O5" s="40"/>
      <c r="P5" s="40"/>
      <c r="Q5" s="40"/>
      <c r="R5" s="40"/>
      <c r="S5" s="40"/>
    </row>
    <row r="6" spans="2:19" ht="13.5" thickTop="1" x14ac:dyDescent="0.2">
      <c r="B6" s="1170" t="s">
        <v>43</v>
      </c>
      <c r="C6" s="1171"/>
      <c r="D6" s="1171"/>
      <c r="E6" s="1172"/>
      <c r="F6" s="1181" t="s">
        <v>3</v>
      </c>
      <c r="G6" s="1183" t="s">
        <v>55</v>
      </c>
      <c r="H6" s="1184"/>
      <c r="I6" s="1184"/>
      <c r="J6" s="1184"/>
      <c r="K6" s="1185"/>
      <c r="L6" s="1183" t="s">
        <v>56</v>
      </c>
      <c r="M6" s="1184"/>
      <c r="N6" s="1184"/>
      <c r="O6" s="1184"/>
      <c r="P6" s="1185"/>
      <c r="Q6" s="1197" t="s">
        <v>57</v>
      </c>
      <c r="R6" s="1197" t="s">
        <v>20</v>
      </c>
      <c r="S6" s="44"/>
    </row>
    <row r="7" spans="2:19" x14ac:dyDescent="0.2">
      <c r="B7" s="1173"/>
      <c r="C7" s="1174"/>
      <c r="D7" s="1174"/>
      <c r="E7" s="1175"/>
      <c r="F7" s="1182"/>
      <c r="G7" s="1186"/>
      <c r="H7" s="1187"/>
      <c r="I7" s="1187"/>
      <c r="J7" s="1187"/>
      <c r="K7" s="1188"/>
      <c r="L7" s="1186"/>
      <c r="M7" s="1187"/>
      <c r="N7" s="1187"/>
      <c r="O7" s="1187"/>
      <c r="P7" s="1188"/>
      <c r="Q7" s="1198"/>
      <c r="R7" s="1198"/>
      <c r="S7" s="44"/>
    </row>
    <row r="8" spans="2:19" ht="29.25" customHeight="1" x14ac:dyDescent="0.2">
      <c r="B8" s="127"/>
      <c r="C8" s="128"/>
      <c r="D8" s="128"/>
      <c r="E8" s="128"/>
      <c r="F8" s="129"/>
      <c r="G8" s="1193" t="s">
        <v>94</v>
      </c>
      <c r="H8" s="1194"/>
      <c r="I8" s="1194"/>
      <c r="J8" s="1195"/>
      <c r="K8" s="49" t="s">
        <v>57</v>
      </c>
      <c r="L8" s="1193" t="s">
        <v>94</v>
      </c>
      <c r="M8" s="1194"/>
      <c r="N8" s="1194"/>
      <c r="O8" s="1196"/>
      <c r="P8" s="130" t="s">
        <v>57</v>
      </c>
      <c r="Q8" s="934"/>
      <c r="R8" s="934"/>
      <c r="S8" s="44"/>
    </row>
    <row r="9" spans="2:19" ht="31.5" customHeight="1" x14ac:dyDescent="0.2">
      <c r="B9" s="45"/>
      <c r="C9" s="46"/>
      <c r="D9" s="47"/>
      <c r="E9" s="47"/>
      <c r="F9" s="48"/>
      <c r="G9" s="49" t="s">
        <v>195</v>
      </c>
      <c r="H9" s="49" t="s">
        <v>196</v>
      </c>
      <c r="I9" s="49" t="s">
        <v>197</v>
      </c>
      <c r="J9" s="49" t="s">
        <v>93</v>
      </c>
      <c r="K9" s="49"/>
      <c r="L9" s="49" t="s">
        <v>195</v>
      </c>
      <c r="M9" s="49" t="s">
        <v>196</v>
      </c>
      <c r="N9" s="49" t="s">
        <v>197</v>
      </c>
      <c r="O9" s="49" t="s">
        <v>93</v>
      </c>
      <c r="P9" s="49"/>
      <c r="Q9" s="50"/>
      <c r="R9" s="50"/>
      <c r="S9" s="44"/>
    </row>
    <row r="10" spans="2:19" x14ac:dyDescent="0.2">
      <c r="B10" s="45"/>
      <c r="C10" s="46"/>
      <c r="D10" s="47"/>
      <c r="E10" s="47"/>
      <c r="F10" s="48"/>
      <c r="G10" s="51"/>
      <c r="H10" s="51"/>
      <c r="I10" s="51"/>
      <c r="J10" s="51"/>
      <c r="K10" s="51"/>
      <c r="L10" s="51"/>
      <c r="M10" s="51"/>
      <c r="N10" s="51"/>
      <c r="O10" s="51"/>
      <c r="P10" s="51"/>
      <c r="Q10" s="51"/>
      <c r="R10" s="51"/>
      <c r="S10" s="44"/>
    </row>
    <row r="11" spans="2:19" x14ac:dyDescent="0.2">
      <c r="B11" s="52"/>
      <c r="C11" s="53"/>
      <c r="D11" s="53"/>
      <c r="E11" s="53"/>
      <c r="F11" s="935"/>
      <c r="G11" s="54"/>
      <c r="H11" s="54"/>
      <c r="I11" s="54"/>
      <c r="J11" s="54"/>
      <c r="K11" s="54"/>
      <c r="L11" s="54"/>
      <c r="M11" s="54"/>
      <c r="N11" s="54"/>
      <c r="O11" s="54"/>
      <c r="P11" s="54"/>
      <c r="Q11" s="54"/>
      <c r="R11" s="54"/>
      <c r="S11" s="44"/>
    </row>
    <row r="12" spans="2:19" x14ac:dyDescent="0.2">
      <c r="B12" s="55" t="s">
        <v>178</v>
      </c>
      <c r="C12" s="56"/>
      <c r="D12" s="56"/>
      <c r="E12" s="56"/>
      <c r="F12" s="57" t="s">
        <v>443</v>
      </c>
      <c r="G12" s="131">
        <f>SUM(G14,G17,G18,G19,G20)</f>
        <v>0</v>
      </c>
      <c r="H12" s="131">
        <f t="shared" ref="H12:R12" si="0">SUM(H14,H17,H18,H19,H20)</f>
        <v>0</v>
      </c>
      <c r="I12" s="131">
        <f t="shared" si="0"/>
        <v>0</v>
      </c>
      <c r="J12" s="131">
        <f t="shared" si="0"/>
        <v>0</v>
      </c>
      <c r="K12" s="131">
        <f t="shared" si="0"/>
        <v>0</v>
      </c>
      <c r="L12" s="131">
        <f t="shared" si="0"/>
        <v>0</v>
      </c>
      <c r="M12" s="131">
        <f t="shared" si="0"/>
        <v>0</v>
      </c>
      <c r="N12" s="131">
        <f t="shared" si="0"/>
        <v>0</v>
      </c>
      <c r="O12" s="131">
        <f t="shared" si="0"/>
        <v>0</v>
      </c>
      <c r="P12" s="131">
        <f t="shared" si="0"/>
        <v>0</v>
      </c>
      <c r="Q12" s="131">
        <f t="shared" si="0"/>
        <v>0</v>
      </c>
      <c r="R12" s="131">
        <f t="shared" si="0"/>
        <v>0</v>
      </c>
      <c r="S12" s="58"/>
    </row>
    <row r="13" spans="2:19" x14ac:dyDescent="0.2">
      <c r="B13" s="59"/>
      <c r="C13" s="60"/>
      <c r="D13" s="60"/>
      <c r="E13" s="60"/>
      <c r="F13" s="61"/>
      <c r="G13" s="132"/>
      <c r="H13" s="132"/>
      <c r="I13" s="132"/>
      <c r="J13" s="132"/>
      <c r="K13" s="132"/>
      <c r="L13" s="132"/>
      <c r="M13" s="132"/>
      <c r="N13" s="132"/>
      <c r="O13" s="132"/>
      <c r="P13" s="132"/>
      <c r="Q13" s="132"/>
      <c r="R13" s="133"/>
      <c r="S13" s="58"/>
    </row>
    <row r="14" spans="2:19" x14ac:dyDescent="0.2">
      <c r="B14" s="62"/>
      <c r="C14" s="60" t="s">
        <v>44</v>
      </c>
      <c r="D14" s="60"/>
      <c r="E14" s="60"/>
      <c r="F14" s="61">
        <v>70</v>
      </c>
      <c r="G14" s="969">
        <v>0</v>
      </c>
      <c r="H14" s="969">
        <v>0</v>
      </c>
      <c r="I14" s="969">
        <v>0</v>
      </c>
      <c r="J14" s="969">
        <v>0</v>
      </c>
      <c r="K14" s="969">
        <v>0</v>
      </c>
      <c r="L14" s="969">
        <v>0</v>
      </c>
      <c r="M14" s="969">
        <v>0</v>
      </c>
      <c r="N14" s="969">
        <v>0</v>
      </c>
      <c r="O14" s="969">
        <v>0</v>
      </c>
      <c r="P14" s="969">
        <v>0</v>
      </c>
      <c r="Q14" s="969">
        <v>0</v>
      </c>
      <c r="R14" s="132">
        <f>SUM(G14:Q14)</f>
        <v>0</v>
      </c>
      <c r="S14" s="58"/>
    </row>
    <row r="15" spans="2:19" x14ac:dyDescent="0.2">
      <c r="B15" s="62"/>
      <c r="C15" s="1163" t="s">
        <v>180</v>
      </c>
      <c r="D15" s="1163"/>
      <c r="E15" s="1164"/>
      <c r="F15" s="1189">
        <v>71</v>
      </c>
      <c r="G15" s="132"/>
      <c r="H15" s="132"/>
      <c r="I15" s="132"/>
      <c r="J15" s="132"/>
      <c r="K15" s="132"/>
      <c r="L15" s="132"/>
      <c r="M15" s="132"/>
      <c r="N15" s="132"/>
      <c r="O15" s="132"/>
      <c r="P15" s="132"/>
      <c r="Q15" s="132"/>
      <c r="R15" s="132"/>
      <c r="S15" s="58"/>
    </row>
    <row r="16" spans="2:19" x14ac:dyDescent="0.2">
      <c r="B16" s="62"/>
      <c r="C16" s="1163"/>
      <c r="D16" s="1163"/>
      <c r="E16" s="1164"/>
      <c r="F16" s="1189"/>
      <c r="G16" s="132"/>
      <c r="H16" s="132"/>
      <c r="I16" s="132"/>
      <c r="J16" s="132"/>
      <c r="K16" s="132"/>
      <c r="L16" s="132"/>
      <c r="M16" s="132"/>
      <c r="N16" s="132"/>
      <c r="O16" s="132"/>
      <c r="P16" s="132"/>
      <c r="Q16" s="132"/>
      <c r="R16" s="132"/>
      <c r="S16" s="58"/>
    </row>
    <row r="17" spans="2:19" x14ac:dyDescent="0.2">
      <c r="B17" s="62"/>
      <c r="C17" s="1163"/>
      <c r="D17" s="1163"/>
      <c r="E17" s="1164"/>
      <c r="F17" s="1189"/>
      <c r="G17" s="969">
        <v>0</v>
      </c>
      <c r="H17" s="969">
        <v>0</v>
      </c>
      <c r="I17" s="969">
        <v>0</v>
      </c>
      <c r="J17" s="969">
        <v>0</v>
      </c>
      <c r="K17" s="969">
        <v>0</v>
      </c>
      <c r="L17" s="969">
        <v>0</v>
      </c>
      <c r="M17" s="969">
        <v>0</v>
      </c>
      <c r="N17" s="969">
        <v>0</v>
      </c>
      <c r="O17" s="969">
        <v>0</v>
      </c>
      <c r="P17" s="969">
        <v>0</v>
      </c>
      <c r="Q17" s="969">
        <v>0</v>
      </c>
      <c r="R17" s="132">
        <f>SUM(G17:Q17)</f>
        <v>0</v>
      </c>
      <c r="S17" s="58"/>
    </row>
    <row r="18" spans="2:19" x14ac:dyDescent="0.2">
      <c r="B18" s="62"/>
      <c r="C18" s="60" t="s">
        <v>45</v>
      </c>
      <c r="D18" s="60"/>
      <c r="E18" s="60"/>
      <c r="F18" s="61">
        <v>72</v>
      </c>
      <c r="G18" s="969">
        <v>0</v>
      </c>
      <c r="H18" s="969">
        <v>0</v>
      </c>
      <c r="I18" s="969">
        <v>0</v>
      </c>
      <c r="J18" s="969">
        <v>0</v>
      </c>
      <c r="K18" s="969">
        <v>0</v>
      </c>
      <c r="L18" s="969">
        <v>0</v>
      </c>
      <c r="M18" s="969">
        <v>0</v>
      </c>
      <c r="N18" s="969">
        <v>0</v>
      </c>
      <c r="O18" s="969">
        <v>0</v>
      </c>
      <c r="P18" s="969">
        <v>0</v>
      </c>
      <c r="Q18" s="969">
        <v>0</v>
      </c>
      <c r="R18" s="132">
        <f>SUM(G18:Q18)</f>
        <v>0</v>
      </c>
      <c r="S18" s="58"/>
    </row>
    <row r="19" spans="2:19" x14ac:dyDescent="0.2">
      <c r="B19" s="62"/>
      <c r="C19" s="60" t="s">
        <v>46</v>
      </c>
      <c r="D19" s="63"/>
      <c r="E19" s="60"/>
      <c r="F19" s="61">
        <v>74</v>
      </c>
      <c r="G19" s="969">
        <v>0</v>
      </c>
      <c r="H19" s="969">
        <v>0</v>
      </c>
      <c r="I19" s="969">
        <v>0</v>
      </c>
      <c r="J19" s="969">
        <v>0</v>
      </c>
      <c r="K19" s="969">
        <v>0</v>
      </c>
      <c r="L19" s="969">
        <v>0</v>
      </c>
      <c r="M19" s="969">
        <v>0</v>
      </c>
      <c r="N19" s="969">
        <v>0</v>
      </c>
      <c r="O19" s="969">
        <v>0</v>
      </c>
      <c r="P19" s="969">
        <v>0</v>
      </c>
      <c r="Q19" s="969">
        <v>0</v>
      </c>
      <c r="R19" s="132">
        <f>SUM(G19:Q19)</f>
        <v>0</v>
      </c>
      <c r="S19" s="58"/>
    </row>
    <row r="20" spans="2:19" s="1128" customFormat="1" x14ac:dyDescent="0.2">
      <c r="B20" s="1121"/>
      <c r="C20" s="1122" t="s">
        <v>441</v>
      </c>
      <c r="D20" s="1123"/>
      <c r="E20" s="1122"/>
      <c r="F20" s="1124" t="s">
        <v>442</v>
      </c>
      <c r="G20" s="1125">
        <v>0</v>
      </c>
      <c r="H20" s="1125">
        <v>0</v>
      </c>
      <c r="I20" s="1125">
        <v>0</v>
      </c>
      <c r="J20" s="1125">
        <v>0</v>
      </c>
      <c r="K20" s="1125">
        <v>0</v>
      </c>
      <c r="L20" s="1125">
        <v>0</v>
      </c>
      <c r="M20" s="1125">
        <v>0</v>
      </c>
      <c r="N20" s="1125">
        <v>0</v>
      </c>
      <c r="O20" s="1125">
        <v>0</v>
      </c>
      <c r="P20" s="1125">
        <v>0</v>
      </c>
      <c r="Q20" s="1125">
        <v>0</v>
      </c>
      <c r="R20" s="1126">
        <f>SUM(G20:Q20)</f>
        <v>0</v>
      </c>
      <c r="S20" s="1127"/>
    </row>
    <row r="21" spans="2:19" x14ac:dyDescent="0.2">
      <c r="B21" s="62"/>
      <c r="C21" s="63"/>
      <c r="D21" s="60"/>
      <c r="E21" s="60"/>
      <c r="F21" s="61"/>
      <c r="G21" s="132"/>
      <c r="H21" s="132"/>
      <c r="I21" s="132"/>
      <c r="J21" s="132"/>
      <c r="K21" s="132"/>
      <c r="L21" s="132"/>
      <c r="M21" s="132"/>
      <c r="N21" s="132"/>
      <c r="O21" s="132"/>
      <c r="P21" s="132"/>
      <c r="Q21" s="132"/>
      <c r="R21" s="132"/>
      <c r="S21" s="58"/>
    </row>
    <row r="22" spans="2:19" x14ac:dyDescent="0.2">
      <c r="B22" s="64" t="s">
        <v>179</v>
      </c>
      <c r="C22" s="65"/>
      <c r="D22" s="56"/>
      <c r="E22" s="56"/>
      <c r="F22" s="57" t="s">
        <v>447</v>
      </c>
      <c r="G22" s="1129">
        <f>SUM(G23:G24)</f>
        <v>0</v>
      </c>
      <c r="H22" s="1129">
        <f t="shared" ref="H22:R22" si="1">SUM(H23:H24)</f>
        <v>0</v>
      </c>
      <c r="I22" s="1129">
        <f t="shared" si="1"/>
        <v>0</v>
      </c>
      <c r="J22" s="1129">
        <f t="shared" si="1"/>
        <v>0</v>
      </c>
      <c r="K22" s="1129">
        <f t="shared" si="1"/>
        <v>0</v>
      </c>
      <c r="L22" s="1129">
        <f t="shared" si="1"/>
        <v>0</v>
      </c>
      <c r="M22" s="1129">
        <f t="shared" si="1"/>
        <v>0</v>
      </c>
      <c r="N22" s="1129">
        <f t="shared" si="1"/>
        <v>0</v>
      </c>
      <c r="O22" s="1129">
        <f t="shared" si="1"/>
        <v>0</v>
      </c>
      <c r="P22" s="1129">
        <f t="shared" si="1"/>
        <v>0</v>
      </c>
      <c r="Q22" s="1129">
        <f t="shared" si="1"/>
        <v>0</v>
      </c>
      <c r="R22" s="131">
        <f t="shared" si="1"/>
        <v>0</v>
      </c>
      <c r="S22" s="58"/>
    </row>
    <row r="23" spans="2:19" s="1128" customFormat="1" ht="14.1" customHeight="1" x14ac:dyDescent="0.2">
      <c r="B23" s="1121"/>
      <c r="C23" s="1122" t="s">
        <v>444</v>
      </c>
      <c r="D23" s="1122"/>
      <c r="E23" s="1122"/>
      <c r="F23" s="1124">
        <v>75</v>
      </c>
      <c r="G23" s="1125">
        <v>0</v>
      </c>
      <c r="H23" s="1125">
        <v>0</v>
      </c>
      <c r="I23" s="1125">
        <v>0</v>
      </c>
      <c r="J23" s="1125">
        <v>0</v>
      </c>
      <c r="K23" s="1125">
        <v>0</v>
      </c>
      <c r="L23" s="1125">
        <v>0</v>
      </c>
      <c r="M23" s="1125">
        <v>0</v>
      </c>
      <c r="N23" s="1125">
        <v>0</v>
      </c>
      <c r="O23" s="1125">
        <v>0</v>
      </c>
      <c r="P23" s="1125">
        <v>0</v>
      </c>
      <c r="Q23" s="1125">
        <v>0</v>
      </c>
      <c r="R23" s="1126">
        <f>SUM(G23:Q23)</f>
        <v>0</v>
      </c>
      <c r="S23" s="1127"/>
    </row>
    <row r="24" spans="2:19" s="1128" customFormat="1" ht="14.1" customHeight="1" x14ac:dyDescent="0.2">
      <c r="B24" s="1121"/>
      <c r="C24" s="1122" t="s">
        <v>445</v>
      </c>
      <c r="D24" s="1122"/>
      <c r="E24" s="1122"/>
      <c r="F24" s="1124" t="s">
        <v>446</v>
      </c>
      <c r="G24" s="1125">
        <v>0</v>
      </c>
      <c r="H24" s="1125">
        <v>0</v>
      </c>
      <c r="I24" s="1125">
        <v>0</v>
      </c>
      <c r="J24" s="1125">
        <v>0</v>
      </c>
      <c r="K24" s="1125">
        <v>0</v>
      </c>
      <c r="L24" s="1125">
        <v>0</v>
      </c>
      <c r="M24" s="1125">
        <v>0</v>
      </c>
      <c r="N24" s="1125">
        <v>0</v>
      </c>
      <c r="O24" s="1125">
        <v>0</v>
      </c>
      <c r="P24" s="1125">
        <v>0</v>
      </c>
      <c r="Q24" s="1125">
        <v>0</v>
      </c>
      <c r="R24" s="1126">
        <f>SUM(G24:Q24)</f>
        <v>0</v>
      </c>
      <c r="S24" s="1127"/>
    </row>
    <row r="25" spans="2:19" x14ac:dyDescent="0.2">
      <c r="B25" s="66"/>
      <c r="C25" s="67"/>
      <c r="D25" s="68"/>
      <c r="E25" s="68"/>
      <c r="F25" s="69"/>
      <c r="G25" s="134"/>
      <c r="H25" s="134"/>
      <c r="I25" s="134"/>
      <c r="J25" s="134"/>
      <c r="K25" s="134"/>
      <c r="L25" s="134"/>
      <c r="M25" s="134"/>
      <c r="N25" s="134"/>
      <c r="O25" s="134"/>
      <c r="P25" s="134"/>
      <c r="Q25" s="134"/>
      <c r="R25" s="131"/>
      <c r="S25" s="58"/>
    </row>
    <row r="26" spans="2:19" x14ac:dyDescent="0.2">
      <c r="B26" s="1190" t="s">
        <v>182</v>
      </c>
      <c r="C26" s="1191"/>
      <c r="D26" s="1191"/>
      <c r="E26" s="1192"/>
      <c r="F26" s="1169">
        <v>780</v>
      </c>
      <c r="G26" s="131"/>
      <c r="H26" s="131"/>
      <c r="I26" s="131"/>
      <c r="J26" s="131"/>
      <c r="K26" s="131"/>
      <c r="L26" s="131"/>
      <c r="M26" s="131"/>
      <c r="N26" s="131"/>
      <c r="O26" s="131"/>
      <c r="P26" s="131"/>
      <c r="Q26" s="131"/>
      <c r="R26" s="131"/>
      <c r="S26" s="58"/>
    </row>
    <row r="27" spans="2:19" x14ac:dyDescent="0.2">
      <c r="B27" s="1190"/>
      <c r="C27" s="1191"/>
      <c r="D27" s="1191"/>
      <c r="E27" s="1192"/>
      <c r="F27" s="1169"/>
      <c r="G27" s="970">
        <v>0</v>
      </c>
      <c r="H27" s="970">
        <v>0</v>
      </c>
      <c r="I27" s="970">
        <v>0</v>
      </c>
      <c r="J27" s="970">
        <v>0</v>
      </c>
      <c r="K27" s="970">
        <v>0</v>
      </c>
      <c r="L27" s="970">
        <v>0</v>
      </c>
      <c r="M27" s="970">
        <v>0</v>
      </c>
      <c r="N27" s="970">
        <v>0</v>
      </c>
      <c r="O27" s="970">
        <v>0</v>
      </c>
      <c r="P27" s="970">
        <v>0</v>
      </c>
      <c r="Q27" s="970">
        <v>0</v>
      </c>
      <c r="R27" s="131">
        <f>SUM(G27:Q27)</f>
        <v>0</v>
      </c>
      <c r="S27" s="58"/>
    </row>
    <row r="28" spans="2:19" x14ac:dyDescent="0.2">
      <c r="B28" s="66"/>
      <c r="C28" s="68"/>
      <c r="D28" s="68"/>
      <c r="E28" s="68"/>
      <c r="F28" s="69"/>
      <c r="G28" s="134"/>
      <c r="H28" s="134"/>
      <c r="I28" s="134"/>
      <c r="J28" s="134"/>
      <c r="K28" s="134"/>
      <c r="L28" s="134"/>
      <c r="M28" s="134"/>
      <c r="N28" s="134"/>
      <c r="O28" s="134"/>
      <c r="P28" s="134"/>
      <c r="Q28" s="134"/>
      <c r="R28" s="131"/>
      <c r="S28" s="58"/>
    </row>
    <row r="29" spans="2:19" x14ac:dyDescent="0.2">
      <c r="B29" s="1190" t="s">
        <v>181</v>
      </c>
      <c r="C29" s="1191"/>
      <c r="D29" s="1191"/>
      <c r="E29" s="1192"/>
      <c r="F29" s="1169">
        <v>77</v>
      </c>
      <c r="G29" s="131"/>
      <c r="H29" s="131"/>
      <c r="I29" s="131"/>
      <c r="J29" s="131"/>
      <c r="K29" s="131"/>
      <c r="L29" s="131"/>
      <c r="M29" s="131"/>
      <c r="N29" s="131"/>
      <c r="O29" s="131"/>
      <c r="P29" s="131"/>
      <c r="Q29" s="131"/>
      <c r="R29" s="131"/>
      <c r="S29" s="44"/>
    </row>
    <row r="30" spans="2:19" x14ac:dyDescent="0.2">
      <c r="B30" s="1190"/>
      <c r="C30" s="1191"/>
      <c r="D30" s="1191"/>
      <c r="E30" s="1192"/>
      <c r="F30" s="1169"/>
      <c r="G30" s="970">
        <v>0</v>
      </c>
      <c r="H30" s="970">
        <v>0</v>
      </c>
      <c r="I30" s="970">
        <v>0</v>
      </c>
      <c r="J30" s="970">
        <v>0</v>
      </c>
      <c r="K30" s="970">
        <v>0</v>
      </c>
      <c r="L30" s="970">
        <v>0</v>
      </c>
      <c r="M30" s="970">
        <v>0</v>
      </c>
      <c r="N30" s="970">
        <v>0</v>
      </c>
      <c r="O30" s="970">
        <v>0</v>
      </c>
      <c r="P30" s="970">
        <v>0</v>
      </c>
      <c r="Q30" s="970">
        <v>0</v>
      </c>
      <c r="R30" s="131">
        <f>SUM(G30:Q30)</f>
        <v>0</v>
      </c>
      <c r="S30" s="58"/>
    </row>
    <row r="31" spans="2:19" x14ac:dyDescent="0.2">
      <c r="B31" s="66"/>
      <c r="C31" s="68"/>
      <c r="D31" s="68"/>
      <c r="E31" s="68"/>
      <c r="F31" s="69"/>
      <c r="G31" s="134"/>
      <c r="H31" s="134"/>
      <c r="I31" s="134"/>
      <c r="J31" s="134"/>
      <c r="K31" s="134"/>
      <c r="L31" s="134"/>
      <c r="M31" s="134"/>
      <c r="N31" s="134"/>
      <c r="O31" s="134"/>
      <c r="P31" s="134"/>
      <c r="Q31" s="134"/>
      <c r="R31" s="131"/>
      <c r="S31" s="44"/>
    </row>
    <row r="32" spans="2:19" x14ac:dyDescent="0.2">
      <c r="B32" s="64" t="s">
        <v>183</v>
      </c>
      <c r="C32" s="56"/>
      <c r="D32" s="65"/>
      <c r="E32" s="56"/>
      <c r="F32" s="57"/>
      <c r="G32" s="970">
        <v>0</v>
      </c>
      <c r="H32" s="970">
        <v>0</v>
      </c>
      <c r="I32" s="970">
        <v>0</v>
      </c>
      <c r="J32" s="970">
        <v>0</v>
      </c>
      <c r="K32" s="970">
        <v>0</v>
      </c>
      <c r="L32" s="970">
        <v>0</v>
      </c>
      <c r="M32" s="970">
        <v>0</v>
      </c>
      <c r="N32" s="970">
        <v>0</v>
      </c>
      <c r="O32" s="970">
        <v>0</v>
      </c>
      <c r="P32" s="970">
        <v>0</v>
      </c>
      <c r="Q32" s="970">
        <v>0</v>
      </c>
      <c r="R32" s="131">
        <f>SUM(G32:Q32)</f>
        <v>0</v>
      </c>
      <c r="S32" s="58"/>
    </row>
    <row r="33" spans="2:19" x14ac:dyDescent="0.2">
      <c r="B33" s="62"/>
      <c r="C33" s="60"/>
      <c r="D33" s="60"/>
      <c r="E33" s="60"/>
      <c r="F33" s="61"/>
      <c r="G33" s="135"/>
      <c r="H33" s="135"/>
      <c r="I33" s="135"/>
      <c r="J33" s="135"/>
      <c r="K33" s="135"/>
      <c r="L33" s="135"/>
      <c r="M33" s="135"/>
      <c r="N33" s="135"/>
      <c r="O33" s="135"/>
      <c r="P33" s="135"/>
      <c r="Q33" s="135"/>
      <c r="R33" s="135"/>
      <c r="S33" s="58"/>
    </row>
    <row r="34" spans="2:19" ht="15.75" x14ac:dyDescent="0.2">
      <c r="B34" s="70"/>
      <c r="C34" s="71"/>
      <c r="D34" s="71"/>
      <c r="E34" s="72"/>
      <c r="F34" s="73"/>
      <c r="G34" s="136"/>
      <c r="H34" s="136"/>
      <c r="I34" s="136"/>
      <c r="J34" s="136"/>
      <c r="K34" s="136"/>
      <c r="L34" s="136"/>
      <c r="M34" s="136"/>
      <c r="N34" s="136"/>
      <c r="O34" s="136"/>
      <c r="P34" s="136"/>
      <c r="Q34" s="136"/>
      <c r="R34" s="136"/>
      <c r="S34" s="58"/>
    </row>
    <row r="35" spans="2:19" ht="15" x14ac:dyDescent="0.2">
      <c r="B35" s="74"/>
      <c r="C35" s="75"/>
      <c r="D35" s="75"/>
      <c r="E35" s="76" t="s">
        <v>20</v>
      </c>
      <c r="F35" s="77"/>
      <c r="G35" s="137">
        <f>SUM(G12,G22,G27,G30,G32)</f>
        <v>0</v>
      </c>
      <c r="H35" s="137">
        <f t="shared" ref="H35:R35" si="2">SUM(H12,H22,H27,H30,H32)</f>
        <v>0</v>
      </c>
      <c r="I35" s="137">
        <f t="shared" si="2"/>
        <v>0</v>
      </c>
      <c r="J35" s="137">
        <f t="shared" si="2"/>
        <v>0</v>
      </c>
      <c r="K35" s="137">
        <f t="shared" si="2"/>
        <v>0</v>
      </c>
      <c r="L35" s="137">
        <f t="shared" si="2"/>
        <v>0</v>
      </c>
      <c r="M35" s="137">
        <f t="shared" si="2"/>
        <v>0</v>
      </c>
      <c r="N35" s="137">
        <f t="shared" si="2"/>
        <v>0</v>
      </c>
      <c r="O35" s="137">
        <f t="shared" si="2"/>
        <v>0</v>
      </c>
      <c r="P35" s="137">
        <f t="shared" si="2"/>
        <v>0</v>
      </c>
      <c r="Q35" s="137">
        <f t="shared" si="2"/>
        <v>0</v>
      </c>
      <c r="R35" s="137">
        <f t="shared" si="2"/>
        <v>0</v>
      </c>
      <c r="S35" s="58"/>
    </row>
    <row r="36" spans="2:19" ht="16.5" thickBot="1" x14ac:dyDescent="0.25">
      <c r="B36" s="78"/>
      <c r="C36" s="79"/>
      <c r="D36" s="79"/>
      <c r="E36" s="80"/>
      <c r="F36" s="81"/>
      <c r="G36" s="82"/>
      <c r="H36" s="82"/>
      <c r="I36" s="82"/>
      <c r="J36" s="82"/>
      <c r="K36" s="82"/>
      <c r="L36" s="82"/>
      <c r="M36" s="82"/>
      <c r="N36" s="82"/>
      <c r="O36" s="82"/>
      <c r="P36" s="82"/>
      <c r="Q36" s="82"/>
      <c r="R36" s="82"/>
      <c r="S36" s="44"/>
    </row>
    <row r="37" spans="2:19" ht="13.5" thickTop="1" x14ac:dyDescent="0.2">
      <c r="B37" s="83"/>
      <c r="C37" s="84"/>
      <c r="D37" s="84"/>
      <c r="E37" s="84"/>
      <c r="F37" s="85"/>
      <c r="G37" s="86"/>
      <c r="H37" s="86"/>
      <c r="I37" s="86"/>
      <c r="J37" s="86"/>
      <c r="K37" s="86"/>
      <c r="L37" s="86"/>
      <c r="M37" s="86"/>
      <c r="N37" s="86"/>
      <c r="O37" s="86"/>
      <c r="P37" s="86"/>
      <c r="Q37" s="86"/>
      <c r="R37" s="84"/>
      <c r="S37" s="44"/>
    </row>
    <row r="38" spans="2:19" ht="13.5" thickBot="1" x14ac:dyDescent="0.25">
      <c r="B38" s="83"/>
      <c r="C38" s="84"/>
      <c r="D38" s="84"/>
      <c r="E38" s="84"/>
      <c r="F38" s="85"/>
      <c r="G38" s="86"/>
      <c r="H38" s="86"/>
      <c r="I38" s="86"/>
      <c r="J38" s="86"/>
      <c r="K38" s="86"/>
      <c r="L38" s="86"/>
      <c r="M38" s="86"/>
      <c r="N38" s="86"/>
      <c r="O38" s="86"/>
      <c r="P38" s="86"/>
      <c r="Q38" s="86"/>
      <c r="R38" s="84"/>
      <c r="S38" s="44"/>
    </row>
    <row r="39" spans="2:19" ht="13.5" thickTop="1" x14ac:dyDescent="0.2">
      <c r="B39" s="1170" t="s">
        <v>47</v>
      </c>
      <c r="C39" s="1171"/>
      <c r="D39" s="1171"/>
      <c r="E39" s="1172"/>
      <c r="F39" s="1176" t="s">
        <v>3</v>
      </c>
      <c r="G39" s="1183" t="s">
        <v>55</v>
      </c>
      <c r="H39" s="1184"/>
      <c r="I39" s="1184"/>
      <c r="J39" s="1184"/>
      <c r="K39" s="1185"/>
      <c r="L39" s="1183" t="s">
        <v>56</v>
      </c>
      <c r="M39" s="1184"/>
      <c r="N39" s="1184"/>
      <c r="O39" s="1184"/>
      <c r="P39" s="1185"/>
      <c r="Q39" s="1197" t="s">
        <v>57</v>
      </c>
      <c r="R39" s="1197" t="s">
        <v>20</v>
      </c>
      <c r="S39" s="44"/>
    </row>
    <row r="40" spans="2:19" x14ac:dyDescent="0.2">
      <c r="B40" s="1173"/>
      <c r="C40" s="1174"/>
      <c r="D40" s="1174"/>
      <c r="E40" s="1175"/>
      <c r="F40" s="1177"/>
      <c r="G40" s="1186"/>
      <c r="H40" s="1187"/>
      <c r="I40" s="1187"/>
      <c r="J40" s="1187"/>
      <c r="K40" s="1188"/>
      <c r="L40" s="1186"/>
      <c r="M40" s="1187"/>
      <c r="N40" s="1187"/>
      <c r="O40" s="1187"/>
      <c r="P40" s="1188"/>
      <c r="Q40" s="1198"/>
      <c r="R40" s="1198"/>
      <c r="S40" s="44"/>
    </row>
    <row r="41" spans="2:19" ht="25.5" x14ac:dyDescent="0.2">
      <c r="B41" s="127"/>
      <c r="C41" s="128"/>
      <c r="D41" s="128"/>
      <c r="E41" s="128"/>
      <c r="F41" s="57"/>
      <c r="G41" s="1193" t="s">
        <v>94</v>
      </c>
      <c r="H41" s="1194"/>
      <c r="I41" s="1194"/>
      <c r="J41" s="1195"/>
      <c r="K41" s="49" t="s">
        <v>57</v>
      </c>
      <c r="L41" s="1193" t="s">
        <v>94</v>
      </c>
      <c r="M41" s="1194"/>
      <c r="N41" s="1194"/>
      <c r="O41" s="1196"/>
      <c r="P41" s="130" t="s">
        <v>57</v>
      </c>
      <c r="Q41" s="934"/>
      <c r="R41" s="934"/>
      <c r="S41" s="44"/>
    </row>
    <row r="42" spans="2:19" ht="31.5" customHeight="1" x14ac:dyDescent="0.2">
      <c r="B42" s="45"/>
      <c r="C42" s="46"/>
      <c r="D42" s="47"/>
      <c r="E42" s="47"/>
      <c r="F42" s="48"/>
      <c r="G42" s="49" t="s">
        <v>198</v>
      </c>
      <c r="H42" s="49" t="s">
        <v>199</v>
      </c>
      <c r="I42" s="49" t="s">
        <v>200</v>
      </c>
      <c r="J42" s="49" t="s">
        <v>93</v>
      </c>
      <c r="K42" s="49"/>
      <c r="L42" s="49" t="s">
        <v>198</v>
      </c>
      <c r="M42" s="49" t="s">
        <v>199</v>
      </c>
      <c r="N42" s="49" t="s">
        <v>200</v>
      </c>
      <c r="O42" s="49" t="s">
        <v>93</v>
      </c>
      <c r="P42" s="49"/>
      <c r="Q42" s="50"/>
      <c r="R42" s="50"/>
      <c r="S42" s="44"/>
    </row>
    <row r="43" spans="2:19" x14ac:dyDescent="0.2">
      <c r="B43" s="45"/>
      <c r="C43" s="46"/>
      <c r="D43" s="47"/>
      <c r="E43" s="47"/>
      <c r="F43" s="48"/>
      <c r="G43" s="51"/>
      <c r="H43" s="51"/>
      <c r="I43" s="51"/>
      <c r="J43" s="51"/>
      <c r="K43" s="51"/>
      <c r="L43" s="51"/>
      <c r="M43" s="51"/>
      <c r="N43" s="51"/>
      <c r="O43" s="51"/>
      <c r="P43" s="51"/>
      <c r="Q43" s="51"/>
      <c r="R43" s="51"/>
      <c r="S43" s="44"/>
    </row>
    <row r="44" spans="2:19" x14ac:dyDescent="0.2">
      <c r="B44" s="52"/>
      <c r="C44" s="53"/>
      <c r="D44" s="53"/>
      <c r="E44" s="53"/>
      <c r="F44" s="935"/>
      <c r="G44" s="54"/>
      <c r="H44" s="54"/>
      <c r="I44" s="54"/>
      <c r="J44" s="54"/>
      <c r="K44" s="54"/>
      <c r="L44" s="54"/>
      <c r="M44" s="54"/>
      <c r="N44" s="54"/>
      <c r="O44" s="54"/>
      <c r="P44" s="54"/>
      <c r="Q44" s="54"/>
      <c r="R44" s="54"/>
      <c r="S44" s="44"/>
    </row>
    <row r="45" spans="2:19" x14ac:dyDescent="0.2">
      <c r="B45" s="55" t="s">
        <v>184</v>
      </c>
      <c r="C45" s="56"/>
      <c r="D45" s="56"/>
      <c r="E45" s="56"/>
      <c r="F45" s="57" t="s">
        <v>448</v>
      </c>
      <c r="G45" s="131">
        <f>SUM(G47,G48,G49,G51,G54,G56,G57,G59,G60)</f>
        <v>0</v>
      </c>
      <c r="H45" s="131">
        <f t="shared" ref="H45:R45" si="3">SUM(H47,H48,H49,H51,H54,H56,H57,H59,H60)</f>
        <v>0</v>
      </c>
      <c r="I45" s="131">
        <f t="shared" si="3"/>
        <v>0</v>
      </c>
      <c r="J45" s="131">
        <f t="shared" si="3"/>
        <v>0</v>
      </c>
      <c r="K45" s="131">
        <f t="shared" si="3"/>
        <v>0</v>
      </c>
      <c r="L45" s="131">
        <f t="shared" si="3"/>
        <v>0</v>
      </c>
      <c r="M45" s="131">
        <f t="shared" si="3"/>
        <v>0</v>
      </c>
      <c r="N45" s="131">
        <f t="shared" si="3"/>
        <v>0</v>
      </c>
      <c r="O45" s="131">
        <f t="shared" si="3"/>
        <v>0</v>
      </c>
      <c r="P45" s="131">
        <f t="shared" si="3"/>
        <v>0</v>
      </c>
      <c r="Q45" s="131">
        <f t="shared" si="3"/>
        <v>0</v>
      </c>
      <c r="R45" s="131">
        <f t="shared" si="3"/>
        <v>0</v>
      </c>
      <c r="S45" s="44"/>
    </row>
    <row r="46" spans="2:19" x14ac:dyDescent="0.2">
      <c r="B46" s="59"/>
      <c r="C46" s="60"/>
      <c r="D46" s="60"/>
      <c r="E46" s="60"/>
      <c r="F46" s="61"/>
      <c r="G46" s="132"/>
      <c r="H46" s="132"/>
      <c r="I46" s="132"/>
      <c r="J46" s="132"/>
      <c r="K46" s="132"/>
      <c r="L46" s="132"/>
      <c r="M46" s="132"/>
      <c r="N46" s="132"/>
      <c r="O46" s="132"/>
      <c r="P46" s="132"/>
      <c r="Q46" s="132"/>
      <c r="R46" s="132"/>
      <c r="S46" s="44"/>
    </row>
    <row r="47" spans="2:19" x14ac:dyDescent="0.2">
      <c r="B47" s="62"/>
      <c r="C47" s="60" t="s">
        <v>48</v>
      </c>
      <c r="D47" s="60"/>
      <c r="E47" s="60"/>
      <c r="F47" s="61">
        <v>60</v>
      </c>
      <c r="G47" s="969">
        <v>0</v>
      </c>
      <c r="H47" s="969">
        <v>0</v>
      </c>
      <c r="I47" s="969">
        <v>0</v>
      </c>
      <c r="J47" s="969">
        <v>0</v>
      </c>
      <c r="K47" s="969">
        <v>0</v>
      </c>
      <c r="L47" s="969">
        <v>0</v>
      </c>
      <c r="M47" s="969">
        <v>0</v>
      </c>
      <c r="N47" s="969">
        <v>0</v>
      </c>
      <c r="O47" s="969">
        <v>0</v>
      </c>
      <c r="P47" s="969">
        <v>0</v>
      </c>
      <c r="Q47" s="969">
        <v>0</v>
      </c>
      <c r="R47" s="132">
        <f>SUM(G47:Q47)</f>
        <v>0</v>
      </c>
      <c r="S47" s="44"/>
    </row>
    <row r="48" spans="2:19" x14ac:dyDescent="0.2">
      <c r="B48" s="62"/>
      <c r="C48" s="63" t="s">
        <v>49</v>
      </c>
      <c r="D48" s="60"/>
      <c r="E48" s="60"/>
      <c r="F48" s="61">
        <v>61</v>
      </c>
      <c r="G48" s="969">
        <v>0</v>
      </c>
      <c r="H48" s="969">
        <v>0</v>
      </c>
      <c r="I48" s="969">
        <v>0</v>
      </c>
      <c r="J48" s="969">
        <v>0</v>
      </c>
      <c r="K48" s="969">
        <v>0</v>
      </c>
      <c r="L48" s="969">
        <v>0</v>
      </c>
      <c r="M48" s="969">
        <v>0</v>
      </c>
      <c r="N48" s="969">
        <v>0</v>
      </c>
      <c r="O48" s="969">
        <v>0</v>
      </c>
      <c r="P48" s="969">
        <v>0</v>
      </c>
      <c r="Q48" s="969">
        <v>0</v>
      </c>
      <c r="R48" s="132">
        <f>SUM(G48:Q48)</f>
        <v>0</v>
      </c>
      <c r="S48" s="44"/>
    </row>
    <row r="49" spans="2:19" x14ac:dyDescent="0.2">
      <c r="B49" s="62"/>
      <c r="C49" s="60" t="s">
        <v>50</v>
      </c>
      <c r="D49" s="60"/>
      <c r="E49" s="60"/>
      <c r="F49" s="61">
        <v>62</v>
      </c>
      <c r="G49" s="969">
        <v>0</v>
      </c>
      <c r="H49" s="969">
        <v>0</v>
      </c>
      <c r="I49" s="969">
        <v>0</v>
      </c>
      <c r="J49" s="969">
        <v>0</v>
      </c>
      <c r="K49" s="969">
        <v>0</v>
      </c>
      <c r="L49" s="969">
        <v>0</v>
      </c>
      <c r="M49" s="969">
        <v>0</v>
      </c>
      <c r="N49" s="969">
        <v>0</v>
      </c>
      <c r="O49" s="969">
        <v>0</v>
      </c>
      <c r="P49" s="969">
        <v>0</v>
      </c>
      <c r="Q49" s="969">
        <v>0</v>
      </c>
      <c r="R49" s="132">
        <f>SUM(G49:Q49)</f>
        <v>0</v>
      </c>
      <c r="S49" s="44"/>
    </row>
    <row r="50" spans="2:19" x14ac:dyDescent="0.2">
      <c r="B50" s="62"/>
      <c r="C50" s="1163" t="s">
        <v>185</v>
      </c>
      <c r="D50" s="1163"/>
      <c r="E50" s="1164"/>
      <c r="F50" s="1165">
        <v>630</v>
      </c>
      <c r="G50" s="132"/>
      <c r="H50" s="132"/>
      <c r="I50" s="132"/>
      <c r="J50" s="132"/>
      <c r="K50" s="132"/>
      <c r="L50" s="132"/>
      <c r="M50" s="132"/>
      <c r="N50" s="132"/>
      <c r="O50" s="132"/>
      <c r="P50" s="132"/>
      <c r="Q50" s="132"/>
      <c r="R50" s="132"/>
      <c r="S50" s="44"/>
    </row>
    <row r="51" spans="2:19" x14ac:dyDescent="0.2">
      <c r="B51" s="62"/>
      <c r="C51" s="1163"/>
      <c r="D51" s="1163"/>
      <c r="E51" s="1164"/>
      <c r="F51" s="1165"/>
      <c r="G51" s="969">
        <v>0</v>
      </c>
      <c r="H51" s="969">
        <v>0</v>
      </c>
      <c r="I51" s="969">
        <v>0</v>
      </c>
      <c r="J51" s="969">
        <v>0</v>
      </c>
      <c r="K51" s="969">
        <v>0</v>
      </c>
      <c r="L51" s="969">
        <v>0</v>
      </c>
      <c r="M51" s="969">
        <v>0</v>
      </c>
      <c r="N51" s="969">
        <v>0</v>
      </c>
      <c r="O51" s="969">
        <v>0</v>
      </c>
      <c r="P51" s="969">
        <v>0</v>
      </c>
      <c r="Q51" s="969">
        <v>0</v>
      </c>
      <c r="R51" s="132">
        <f>SUM(G51:Q51)</f>
        <v>0</v>
      </c>
      <c r="S51" s="44"/>
    </row>
    <row r="52" spans="2:19" x14ac:dyDescent="0.2">
      <c r="B52" s="62"/>
      <c r="C52" s="1163" t="s">
        <v>186</v>
      </c>
      <c r="D52" s="1163"/>
      <c r="E52" s="1164"/>
      <c r="F52" s="1165" t="s">
        <v>51</v>
      </c>
      <c r="G52" s="132"/>
      <c r="H52" s="132"/>
      <c r="I52" s="132"/>
      <c r="J52" s="132"/>
      <c r="K52" s="132"/>
      <c r="L52" s="132"/>
      <c r="M52" s="132"/>
      <c r="N52" s="132"/>
      <c r="O52" s="132"/>
      <c r="P52" s="132"/>
      <c r="Q52" s="132"/>
      <c r="R52" s="132"/>
      <c r="S52" s="44"/>
    </row>
    <row r="53" spans="2:19" x14ac:dyDescent="0.2">
      <c r="B53" s="62"/>
      <c r="C53" s="1163"/>
      <c r="D53" s="1163"/>
      <c r="E53" s="1164"/>
      <c r="F53" s="1165"/>
      <c r="G53" s="132"/>
      <c r="H53" s="132"/>
      <c r="I53" s="132"/>
      <c r="J53" s="132"/>
      <c r="K53" s="132"/>
      <c r="L53" s="132"/>
      <c r="M53" s="132"/>
      <c r="N53" s="132"/>
      <c r="O53" s="132"/>
      <c r="P53" s="132"/>
      <c r="Q53" s="132"/>
      <c r="R53" s="132"/>
      <c r="S53" s="44"/>
    </row>
    <row r="54" spans="2:19" ht="15" customHeight="1" x14ac:dyDescent="0.2">
      <c r="B54" s="62"/>
      <c r="C54" s="1163"/>
      <c r="D54" s="1163"/>
      <c r="E54" s="1164"/>
      <c r="F54" s="1165"/>
      <c r="G54" s="969">
        <v>0</v>
      </c>
      <c r="H54" s="969">
        <v>0</v>
      </c>
      <c r="I54" s="969">
        <v>0</v>
      </c>
      <c r="J54" s="969">
        <v>0</v>
      </c>
      <c r="K54" s="969">
        <v>0</v>
      </c>
      <c r="L54" s="969">
        <v>0</v>
      </c>
      <c r="M54" s="969">
        <v>0</v>
      </c>
      <c r="N54" s="969">
        <v>0</v>
      </c>
      <c r="O54" s="969">
        <v>0</v>
      </c>
      <c r="P54" s="969">
        <v>0</v>
      </c>
      <c r="Q54" s="969">
        <v>0</v>
      </c>
      <c r="R54" s="132">
        <f>SUM(G54:Q54)</f>
        <v>0</v>
      </c>
      <c r="S54" s="44"/>
    </row>
    <row r="55" spans="2:19" x14ac:dyDescent="0.2">
      <c r="B55" s="62"/>
      <c r="C55" s="1163" t="s">
        <v>187</v>
      </c>
      <c r="D55" s="1163"/>
      <c r="E55" s="1164"/>
      <c r="F55" s="1165" t="s">
        <v>402</v>
      </c>
      <c r="G55" s="132"/>
      <c r="H55" s="132"/>
      <c r="I55" s="132"/>
      <c r="J55" s="132"/>
      <c r="K55" s="132"/>
      <c r="L55" s="132"/>
      <c r="M55" s="132"/>
      <c r="N55" s="132"/>
      <c r="O55" s="132"/>
      <c r="P55" s="132"/>
      <c r="Q55" s="132"/>
      <c r="R55" s="132"/>
      <c r="S55" s="44"/>
    </row>
    <row r="56" spans="2:19" ht="16.5" customHeight="1" x14ac:dyDescent="0.2">
      <c r="B56" s="62"/>
      <c r="C56" s="1163"/>
      <c r="D56" s="1163"/>
      <c r="E56" s="1164"/>
      <c r="F56" s="1165"/>
      <c r="G56" s="969">
        <v>0</v>
      </c>
      <c r="H56" s="969">
        <v>0</v>
      </c>
      <c r="I56" s="969">
        <v>0</v>
      </c>
      <c r="J56" s="969">
        <v>0</v>
      </c>
      <c r="K56" s="969">
        <v>0</v>
      </c>
      <c r="L56" s="969">
        <v>0</v>
      </c>
      <c r="M56" s="969">
        <v>0</v>
      </c>
      <c r="N56" s="969">
        <v>0</v>
      </c>
      <c r="O56" s="969">
        <v>0</v>
      </c>
      <c r="P56" s="969">
        <v>0</v>
      </c>
      <c r="Q56" s="969">
        <v>0</v>
      </c>
      <c r="R56" s="132">
        <f>SUM(G56:Q56)</f>
        <v>0</v>
      </c>
      <c r="S56" s="44"/>
    </row>
    <row r="57" spans="2:19" x14ac:dyDescent="0.2">
      <c r="B57" s="62"/>
      <c r="C57" s="60" t="s">
        <v>52</v>
      </c>
      <c r="D57" s="60"/>
      <c r="E57" s="60"/>
      <c r="F57" s="61" t="s">
        <v>53</v>
      </c>
      <c r="G57" s="969">
        <v>0</v>
      </c>
      <c r="H57" s="969">
        <v>0</v>
      </c>
      <c r="I57" s="969">
        <v>0</v>
      </c>
      <c r="J57" s="969">
        <v>0</v>
      </c>
      <c r="K57" s="969">
        <v>0</v>
      </c>
      <c r="L57" s="969">
        <v>0</v>
      </c>
      <c r="M57" s="969">
        <v>0</v>
      </c>
      <c r="N57" s="969">
        <v>0</v>
      </c>
      <c r="O57" s="969">
        <v>0</v>
      </c>
      <c r="P57" s="969">
        <v>0</v>
      </c>
      <c r="Q57" s="969">
        <v>0</v>
      </c>
      <c r="R57" s="132">
        <f>SUM(G57:Q57)</f>
        <v>0</v>
      </c>
      <c r="S57" s="44"/>
    </row>
    <row r="58" spans="2:19" ht="12.6" customHeight="1" x14ac:dyDescent="0.2">
      <c r="B58" s="62"/>
      <c r="C58" s="1163" t="s">
        <v>400</v>
      </c>
      <c r="D58" s="1163"/>
      <c r="E58" s="1164"/>
      <c r="F58" s="1165">
        <v>649</v>
      </c>
      <c r="G58" s="132"/>
      <c r="H58" s="132"/>
      <c r="I58" s="132"/>
      <c r="J58" s="132"/>
      <c r="K58" s="132"/>
      <c r="L58" s="132"/>
      <c r="M58" s="132"/>
      <c r="N58" s="132"/>
      <c r="O58" s="132"/>
      <c r="P58" s="132"/>
      <c r="Q58" s="132"/>
      <c r="R58" s="132"/>
      <c r="S58" s="44"/>
    </row>
    <row r="59" spans="2:19" x14ac:dyDescent="0.2">
      <c r="B59" s="62"/>
      <c r="C59" s="1163"/>
      <c r="D59" s="1163"/>
      <c r="E59" s="1164"/>
      <c r="F59" s="1165"/>
      <c r="G59" s="969">
        <v>0</v>
      </c>
      <c r="H59" s="969">
        <v>0</v>
      </c>
      <c r="I59" s="969">
        <v>0</v>
      </c>
      <c r="J59" s="969">
        <v>0</v>
      </c>
      <c r="K59" s="969">
        <v>0</v>
      </c>
      <c r="L59" s="969">
        <v>0</v>
      </c>
      <c r="M59" s="969">
        <v>0</v>
      </c>
      <c r="N59" s="969">
        <v>0</v>
      </c>
      <c r="O59" s="969">
        <v>0</v>
      </c>
      <c r="P59" s="969">
        <v>0</v>
      </c>
      <c r="Q59" s="969">
        <v>0</v>
      </c>
      <c r="R59" s="132">
        <f>SUM(G59:Q59)</f>
        <v>0</v>
      </c>
      <c r="S59" s="44"/>
    </row>
    <row r="60" spans="2:19" s="1128" customFormat="1" x14ac:dyDescent="0.2">
      <c r="B60" s="1121"/>
      <c r="C60" s="1122" t="s">
        <v>449</v>
      </c>
      <c r="D60" s="1122"/>
      <c r="E60" s="1122"/>
      <c r="F60" s="1124" t="s">
        <v>450</v>
      </c>
      <c r="G60" s="1125">
        <v>0</v>
      </c>
      <c r="H60" s="1125">
        <v>0</v>
      </c>
      <c r="I60" s="1125">
        <v>0</v>
      </c>
      <c r="J60" s="1125">
        <v>0</v>
      </c>
      <c r="K60" s="1125">
        <v>0</v>
      </c>
      <c r="L60" s="1125">
        <v>0</v>
      </c>
      <c r="M60" s="1125">
        <v>0</v>
      </c>
      <c r="N60" s="1125">
        <v>0</v>
      </c>
      <c r="O60" s="1125">
        <v>0</v>
      </c>
      <c r="P60" s="1125">
        <v>0</v>
      </c>
      <c r="Q60" s="1125">
        <v>0</v>
      </c>
      <c r="R60" s="1126">
        <f>SUM(G60:Q60)</f>
        <v>0</v>
      </c>
      <c r="S60" s="1127"/>
    </row>
    <row r="61" spans="2:19" x14ac:dyDescent="0.2">
      <c r="B61" s="62"/>
      <c r="C61" s="63"/>
      <c r="D61" s="60"/>
      <c r="E61" s="60"/>
      <c r="F61" s="61"/>
      <c r="G61" s="132"/>
      <c r="H61" s="132"/>
      <c r="I61" s="132"/>
      <c r="J61" s="132"/>
      <c r="K61" s="132"/>
      <c r="L61" s="132"/>
      <c r="M61" s="132"/>
      <c r="N61" s="132"/>
      <c r="O61" s="132"/>
      <c r="P61" s="132"/>
      <c r="Q61" s="132"/>
      <c r="R61" s="132"/>
      <c r="S61" s="44"/>
    </row>
    <row r="62" spans="2:19" x14ac:dyDescent="0.2">
      <c r="B62" s="64" t="s">
        <v>188</v>
      </c>
      <c r="C62" s="65"/>
      <c r="D62" s="56"/>
      <c r="E62" s="56"/>
      <c r="F62" s="57" t="s">
        <v>454</v>
      </c>
      <c r="G62" s="1129">
        <f>SUM(G63:G64)</f>
        <v>0</v>
      </c>
      <c r="H62" s="1129">
        <f t="shared" ref="H62:R62" si="4">SUM(H63:H64)</f>
        <v>0</v>
      </c>
      <c r="I62" s="1129">
        <f t="shared" si="4"/>
        <v>0</v>
      </c>
      <c r="J62" s="1129">
        <f t="shared" si="4"/>
        <v>0</v>
      </c>
      <c r="K62" s="1129">
        <f t="shared" si="4"/>
        <v>0</v>
      </c>
      <c r="L62" s="1129">
        <f t="shared" si="4"/>
        <v>0</v>
      </c>
      <c r="M62" s="1129">
        <f t="shared" si="4"/>
        <v>0</v>
      </c>
      <c r="N62" s="1129">
        <f t="shared" si="4"/>
        <v>0</v>
      </c>
      <c r="O62" s="1129">
        <f t="shared" si="4"/>
        <v>0</v>
      </c>
      <c r="P62" s="1129">
        <f t="shared" si="4"/>
        <v>0</v>
      </c>
      <c r="Q62" s="1129">
        <f t="shared" si="4"/>
        <v>0</v>
      </c>
      <c r="R62" s="131">
        <f t="shared" si="4"/>
        <v>0</v>
      </c>
      <c r="S62" s="44"/>
    </row>
    <row r="63" spans="2:19" s="1128" customFormat="1" ht="14.1" customHeight="1" x14ac:dyDescent="0.2">
      <c r="B63" s="1121"/>
      <c r="C63" s="1122" t="s">
        <v>451</v>
      </c>
      <c r="D63" s="1122"/>
      <c r="E63" s="1122"/>
      <c r="F63" s="1124">
        <v>65</v>
      </c>
      <c r="G63" s="1125">
        <v>0</v>
      </c>
      <c r="H63" s="1125">
        <v>0</v>
      </c>
      <c r="I63" s="1125">
        <v>0</v>
      </c>
      <c r="J63" s="1125">
        <v>0</v>
      </c>
      <c r="K63" s="1125">
        <v>0</v>
      </c>
      <c r="L63" s="1125">
        <v>0</v>
      </c>
      <c r="M63" s="1125">
        <v>0</v>
      </c>
      <c r="N63" s="1125">
        <v>0</v>
      </c>
      <c r="O63" s="1125">
        <v>0</v>
      </c>
      <c r="P63" s="1125">
        <v>0</v>
      </c>
      <c r="Q63" s="1125">
        <v>0</v>
      </c>
      <c r="R63" s="1126">
        <f>SUM(G63:Q63)</f>
        <v>0</v>
      </c>
      <c r="S63" s="1127"/>
    </row>
    <row r="64" spans="2:19" s="1128" customFormat="1" ht="14.1" customHeight="1" x14ac:dyDescent="0.2">
      <c r="B64" s="1121"/>
      <c r="C64" s="1122" t="s">
        <v>452</v>
      </c>
      <c r="D64" s="1122"/>
      <c r="E64" s="1122"/>
      <c r="F64" s="1124" t="s">
        <v>453</v>
      </c>
      <c r="G64" s="1125">
        <v>0</v>
      </c>
      <c r="H64" s="1125">
        <v>0</v>
      </c>
      <c r="I64" s="1125">
        <v>0</v>
      </c>
      <c r="J64" s="1125">
        <v>0</v>
      </c>
      <c r="K64" s="1125">
        <v>0</v>
      </c>
      <c r="L64" s="1125">
        <v>0</v>
      </c>
      <c r="M64" s="1125">
        <v>0</v>
      </c>
      <c r="N64" s="1125">
        <v>0</v>
      </c>
      <c r="O64" s="1125">
        <v>0</v>
      </c>
      <c r="P64" s="1125">
        <v>0</v>
      </c>
      <c r="Q64" s="1125">
        <v>0</v>
      </c>
      <c r="R64" s="1126">
        <f>SUM(G64:Q64)</f>
        <v>0</v>
      </c>
      <c r="S64" s="1127"/>
    </row>
    <row r="65" spans="2:19" x14ac:dyDescent="0.2">
      <c r="B65" s="66"/>
      <c r="C65" s="67"/>
      <c r="D65" s="68"/>
      <c r="E65" s="68"/>
      <c r="F65" s="69"/>
      <c r="G65" s="134"/>
      <c r="H65" s="134"/>
      <c r="I65" s="134"/>
      <c r="J65" s="134"/>
      <c r="K65" s="134"/>
      <c r="L65" s="134"/>
      <c r="M65" s="134"/>
      <c r="N65" s="134"/>
      <c r="O65" s="134"/>
      <c r="P65" s="134"/>
      <c r="Q65" s="134"/>
      <c r="R65" s="131"/>
      <c r="S65" s="44"/>
    </row>
    <row r="66" spans="2:19" x14ac:dyDescent="0.2">
      <c r="B66" s="1166" t="s">
        <v>189</v>
      </c>
      <c r="C66" s="1167"/>
      <c r="D66" s="1167"/>
      <c r="E66" s="1168"/>
      <c r="F66" s="1169">
        <v>680</v>
      </c>
      <c r="G66" s="131"/>
      <c r="H66" s="131"/>
      <c r="I66" s="131"/>
      <c r="J66" s="131"/>
      <c r="K66" s="131"/>
      <c r="L66" s="131"/>
      <c r="M66" s="131"/>
      <c r="N66" s="131"/>
      <c r="O66" s="131"/>
      <c r="P66" s="131"/>
      <c r="Q66" s="131"/>
      <c r="R66" s="131"/>
      <c r="S66" s="44"/>
    </row>
    <row r="67" spans="2:19" x14ac:dyDescent="0.2">
      <c r="B67" s="1166"/>
      <c r="C67" s="1167"/>
      <c r="D67" s="1167"/>
      <c r="E67" s="1168"/>
      <c r="F67" s="1169"/>
      <c r="G67" s="970">
        <v>0</v>
      </c>
      <c r="H67" s="970">
        <v>0</v>
      </c>
      <c r="I67" s="970">
        <v>0</v>
      </c>
      <c r="J67" s="970">
        <v>0</v>
      </c>
      <c r="K67" s="970">
        <v>0</v>
      </c>
      <c r="L67" s="970">
        <v>0</v>
      </c>
      <c r="M67" s="970">
        <v>0</v>
      </c>
      <c r="N67" s="970">
        <v>0</v>
      </c>
      <c r="O67" s="970">
        <v>0</v>
      </c>
      <c r="P67" s="970">
        <v>0</v>
      </c>
      <c r="Q67" s="970">
        <v>0</v>
      </c>
      <c r="R67" s="131">
        <f>SUM(G67:Q67)</f>
        <v>0</v>
      </c>
      <c r="S67" s="44"/>
    </row>
    <row r="68" spans="2:19" x14ac:dyDescent="0.2">
      <c r="B68" s="66"/>
      <c r="C68" s="68"/>
      <c r="D68" s="68"/>
      <c r="E68" s="68"/>
      <c r="F68" s="69"/>
      <c r="G68" s="134"/>
      <c r="H68" s="134"/>
      <c r="I68" s="134"/>
      <c r="J68" s="134"/>
      <c r="K68" s="134"/>
      <c r="L68" s="134"/>
      <c r="M68" s="134"/>
      <c r="N68" s="134"/>
      <c r="O68" s="134"/>
      <c r="P68" s="134"/>
      <c r="Q68" s="134"/>
      <c r="R68" s="134"/>
      <c r="S68" s="44"/>
    </row>
    <row r="69" spans="2:19" x14ac:dyDescent="0.2">
      <c r="B69" s="64" t="s">
        <v>190</v>
      </c>
      <c r="C69" s="56"/>
      <c r="D69" s="56"/>
      <c r="E69" s="56"/>
      <c r="F69" s="57" t="s">
        <v>54</v>
      </c>
      <c r="G69" s="970">
        <v>0</v>
      </c>
      <c r="H69" s="970">
        <v>0</v>
      </c>
      <c r="I69" s="970">
        <v>0</v>
      </c>
      <c r="J69" s="970">
        <v>0</v>
      </c>
      <c r="K69" s="970">
        <v>0</v>
      </c>
      <c r="L69" s="970">
        <v>0</v>
      </c>
      <c r="M69" s="970">
        <v>0</v>
      </c>
      <c r="N69" s="970">
        <v>0</v>
      </c>
      <c r="O69" s="970">
        <v>0</v>
      </c>
      <c r="P69" s="970">
        <v>0</v>
      </c>
      <c r="Q69" s="970">
        <v>0</v>
      </c>
      <c r="R69" s="131">
        <f>SUM(G69:Q69)</f>
        <v>0</v>
      </c>
      <c r="S69" s="44"/>
    </row>
    <row r="70" spans="2:19" x14ac:dyDescent="0.2">
      <c r="B70" s="66"/>
      <c r="C70" s="68"/>
      <c r="D70" s="68"/>
      <c r="E70" s="68"/>
      <c r="F70" s="69"/>
      <c r="G70" s="134"/>
      <c r="H70" s="134"/>
      <c r="I70" s="134"/>
      <c r="J70" s="134"/>
      <c r="K70" s="134"/>
      <c r="L70" s="134"/>
      <c r="M70" s="134"/>
      <c r="N70" s="134"/>
      <c r="O70" s="134"/>
      <c r="P70" s="134"/>
      <c r="Q70" s="134"/>
      <c r="R70" s="134"/>
      <c r="S70" s="44"/>
    </row>
    <row r="71" spans="2:19" x14ac:dyDescent="0.2">
      <c r="B71" s="64" t="s">
        <v>191</v>
      </c>
      <c r="C71" s="56"/>
      <c r="D71" s="65"/>
      <c r="E71" s="56"/>
      <c r="F71" s="57"/>
      <c r="G71" s="970">
        <v>0</v>
      </c>
      <c r="H71" s="970">
        <v>0</v>
      </c>
      <c r="I71" s="970">
        <v>0</v>
      </c>
      <c r="J71" s="970">
        <v>0</v>
      </c>
      <c r="K71" s="970">
        <v>0</v>
      </c>
      <c r="L71" s="970">
        <v>0</v>
      </c>
      <c r="M71" s="970">
        <v>0</v>
      </c>
      <c r="N71" s="970">
        <v>0</v>
      </c>
      <c r="O71" s="970">
        <v>0</v>
      </c>
      <c r="P71" s="970">
        <v>0</v>
      </c>
      <c r="Q71" s="970">
        <v>0</v>
      </c>
      <c r="R71" s="131">
        <f>SUM(G71:Q71)</f>
        <v>0</v>
      </c>
      <c r="S71" s="44"/>
    </row>
    <row r="72" spans="2:19" x14ac:dyDescent="0.2">
      <c r="B72" s="62"/>
      <c r="C72" s="60"/>
      <c r="D72" s="60"/>
      <c r="E72" s="60"/>
      <c r="F72" s="61"/>
      <c r="G72" s="132"/>
      <c r="H72" s="132"/>
      <c r="I72" s="132"/>
      <c r="J72" s="132"/>
      <c r="K72" s="132"/>
      <c r="L72" s="132"/>
      <c r="M72" s="132"/>
      <c r="N72" s="132"/>
      <c r="O72" s="132"/>
      <c r="P72" s="132"/>
      <c r="Q72" s="132"/>
      <c r="R72" s="132"/>
      <c r="S72" s="44"/>
    </row>
    <row r="73" spans="2:19" ht="15.75" x14ac:dyDescent="0.2">
      <c r="B73" s="70"/>
      <c r="C73" s="71"/>
      <c r="D73" s="71"/>
      <c r="E73" s="72"/>
      <c r="F73" s="73"/>
      <c r="G73" s="136"/>
      <c r="H73" s="136"/>
      <c r="I73" s="136"/>
      <c r="J73" s="136"/>
      <c r="K73" s="136"/>
      <c r="L73" s="136"/>
      <c r="M73" s="136"/>
      <c r="N73" s="136"/>
      <c r="O73" s="136"/>
      <c r="P73" s="136"/>
      <c r="Q73" s="136"/>
      <c r="R73" s="136"/>
      <c r="S73" s="44"/>
    </row>
    <row r="74" spans="2:19" ht="15" x14ac:dyDescent="0.2">
      <c r="B74" s="74"/>
      <c r="C74" s="75"/>
      <c r="D74" s="75"/>
      <c r="E74" s="76" t="s">
        <v>20</v>
      </c>
      <c r="F74" s="77"/>
      <c r="G74" s="137">
        <f>SUM(G45,G62,G67,G69,G71)</f>
        <v>0</v>
      </c>
      <c r="H74" s="137">
        <f t="shared" ref="H74:R74" si="5">SUM(H45,H62,H67,H69,H71)</f>
        <v>0</v>
      </c>
      <c r="I74" s="137">
        <f t="shared" si="5"/>
        <v>0</v>
      </c>
      <c r="J74" s="137">
        <f t="shared" si="5"/>
        <v>0</v>
      </c>
      <c r="K74" s="137">
        <f t="shared" si="5"/>
        <v>0</v>
      </c>
      <c r="L74" s="137">
        <f t="shared" si="5"/>
        <v>0</v>
      </c>
      <c r="M74" s="137">
        <f t="shared" si="5"/>
        <v>0</v>
      </c>
      <c r="N74" s="137">
        <f t="shared" si="5"/>
        <v>0</v>
      </c>
      <c r="O74" s="137">
        <f t="shared" si="5"/>
        <v>0</v>
      </c>
      <c r="P74" s="137">
        <f t="shared" si="5"/>
        <v>0</v>
      </c>
      <c r="Q74" s="137">
        <f t="shared" si="5"/>
        <v>0</v>
      </c>
      <c r="R74" s="137">
        <f t="shared" si="5"/>
        <v>0</v>
      </c>
      <c r="S74" s="44"/>
    </row>
    <row r="75" spans="2:19" ht="16.5" thickBot="1" x14ac:dyDescent="0.25">
      <c r="B75" s="78"/>
      <c r="C75" s="79"/>
      <c r="D75" s="79"/>
      <c r="E75" s="80"/>
      <c r="F75" s="81"/>
      <c r="G75" s="82"/>
      <c r="H75" s="82"/>
      <c r="I75" s="82"/>
      <c r="J75" s="82"/>
      <c r="K75" s="82"/>
      <c r="L75" s="82"/>
      <c r="M75" s="82"/>
      <c r="N75" s="82"/>
      <c r="O75" s="82"/>
      <c r="P75" s="82"/>
      <c r="Q75" s="82"/>
      <c r="R75" s="82"/>
      <c r="S75" s="58"/>
    </row>
    <row r="76" spans="2:19" ht="13.5" thickTop="1" x14ac:dyDescent="0.2">
      <c r="B76" s="87"/>
      <c r="C76" s="87"/>
      <c r="D76" s="87"/>
      <c r="E76" s="87"/>
      <c r="F76" s="88"/>
      <c r="G76" s="89"/>
      <c r="H76" s="89"/>
      <c r="I76" s="89"/>
      <c r="J76" s="89"/>
      <c r="K76" s="89"/>
      <c r="L76" s="89"/>
      <c r="M76" s="89"/>
      <c r="N76" s="89"/>
      <c r="O76" s="89"/>
      <c r="P76" s="89"/>
      <c r="Q76" s="89"/>
      <c r="R76" s="89"/>
      <c r="S76" s="58"/>
    </row>
    <row r="77" spans="2:19" x14ac:dyDescent="0.2">
      <c r="B77" s="87"/>
      <c r="C77" s="87"/>
      <c r="D77" s="87"/>
      <c r="E77" s="87" t="s">
        <v>58</v>
      </c>
      <c r="F77" s="88"/>
      <c r="G77" s="89">
        <f>SUM(G12,G22,G27,G30)</f>
        <v>0</v>
      </c>
      <c r="H77" s="89">
        <f t="shared" ref="H77:R77" si="6">SUM(H12,H22,H27,H30)</f>
        <v>0</v>
      </c>
      <c r="I77" s="89">
        <f t="shared" si="6"/>
        <v>0</v>
      </c>
      <c r="J77" s="89">
        <f t="shared" si="6"/>
        <v>0</v>
      </c>
      <c r="K77" s="89">
        <f t="shared" si="6"/>
        <v>0</v>
      </c>
      <c r="L77" s="89">
        <f t="shared" si="6"/>
        <v>0</v>
      </c>
      <c r="M77" s="89">
        <f t="shared" si="6"/>
        <v>0</v>
      </c>
      <c r="N77" s="89">
        <f t="shared" si="6"/>
        <v>0</v>
      </c>
      <c r="O77" s="89">
        <f t="shared" si="6"/>
        <v>0</v>
      </c>
      <c r="P77" s="89">
        <f t="shared" si="6"/>
        <v>0</v>
      </c>
      <c r="Q77" s="89">
        <f t="shared" si="6"/>
        <v>0</v>
      </c>
      <c r="R77" s="138">
        <f t="shared" si="6"/>
        <v>0</v>
      </c>
      <c r="S77" s="58"/>
    </row>
    <row r="78" spans="2:19" x14ac:dyDescent="0.2">
      <c r="B78" s="87"/>
      <c r="C78" s="87"/>
      <c r="D78" s="87"/>
      <c r="E78" s="87" t="s">
        <v>59</v>
      </c>
      <c r="F78" s="88"/>
      <c r="G78" s="89">
        <f>SUM(G45,G62,G67,G69)</f>
        <v>0</v>
      </c>
      <c r="H78" s="89">
        <f t="shared" ref="H78:R78" si="7">SUM(H45,H62,H67,H69)</f>
        <v>0</v>
      </c>
      <c r="I78" s="89">
        <f t="shared" si="7"/>
        <v>0</v>
      </c>
      <c r="J78" s="89">
        <f t="shared" si="7"/>
        <v>0</v>
      </c>
      <c r="K78" s="89">
        <f t="shared" si="7"/>
        <v>0</v>
      </c>
      <c r="L78" s="89">
        <f t="shared" si="7"/>
        <v>0</v>
      </c>
      <c r="M78" s="89">
        <f t="shared" si="7"/>
        <v>0</v>
      </c>
      <c r="N78" s="89">
        <f t="shared" si="7"/>
        <v>0</v>
      </c>
      <c r="O78" s="89">
        <f t="shared" si="7"/>
        <v>0</v>
      </c>
      <c r="P78" s="89">
        <f t="shared" si="7"/>
        <v>0</v>
      </c>
      <c r="Q78" s="89">
        <f t="shared" si="7"/>
        <v>0</v>
      </c>
      <c r="R78" s="138">
        <f t="shared" si="7"/>
        <v>0</v>
      </c>
      <c r="S78" s="58"/>
    </row>
    <row r="79" spans="2:19" x14ac:dyDescent="0.2">
      <c r="B79" s="87"/>
      <c r="C79" s="87"/>
      <c r="D79" s="87"/>
      <c r="E79" s="87" t="s">
        <v>60</v>
      </c>
      <c r="F79" s="88"/>
      <c r="G79" s="89">
        <f t="shared" ref="G79:R79" si="8">G77-G78</f>
        <v>0</v>
      </c>
      <c r="H79" s="89">
        <f t="shared" si="8"/>
        <v>0</v>
      </c>
      <c r="I79" s="89">
        <f t="shared" si="8"/>
        <v>0</v>
      </c>
      <c r="J79" s="89">
        <f>J77-J78</f>
        <v>0</v>
      </c>
      <c r="K79" s="89">
        <f>K77-K78</f>
        <v>0</v>
      </c>
      <c r="L79" s="89">
        <f t="shared" si="8"/>
        <v>0</v>
      </c>
      <c r="M79" s="89">
        <f t="shared" si="8"/>
        <v>0</v>
      </c>
      <c r="N79" s="89">
        <f t="shared" si="8"/>
        <v>0</v>
      </c>
      <c r="O79" s="89">
        <f>O77-O78</f>
        <v>0</v>
      </c>
      <c r="P79" s="89">
        <f>P77-P78</f>
        <v>0</v>
      </c>
      <c r="Q79" s="89">
        <f t="shared" si="8"/>
        <v>0</v>
      </c>
      <c r="R79" s="138">
        <f t="shared" si="8"/>
        <v>0</v>
      </c>
      <c r="S79" s="58"/>
    </row>
    <row r="80" spans="2:19" x14ac:dyDescent="0.2">
      <c r="B80" s="87"/>
      <c r="C80" s="87"/>
      <c r="D80" s="87"/>
      <c r="E80" s="87"/>
      <c r="F80" s="88"/>
      <c r="G80" s="87"/>
      <c r="H80" s="87"/>
      <c r="I80" s="87"/>
      <c r="J80" s="87"/>
      <c r="K80" s="87"/>
      <c r="L80" s="87"/>
      <c r="M80" s="87"/>
      <c r="N80" s="87"/>
      <c r="O80" s="87"/>
      <c r="P80" s="87"/>
      <c r="Q80" s="87"/>
      <c r="R80" s="87"/>
      <c r="S80" s="87"/>
    </row>
    <row r="81" spans="2:19" x14ac:dyDescent="0.2">
      <c r="B81" s="87"/>
      <c r="C81" s="87"/>
      <c r="D81" s="87"/>
      <c r="E81" s="90"/>
      <c r="F81" s="88"/>
      <c r="G81" s="87"/>
      <c r="H81" s="87"/>
      <c r="I81" s="87"/>
      <c r="J81" s="87"/>
      <c r="K81" s="87"/>
      <c r="L81" s="87"/>
      <c r="M81" s="87"/>
      <c r="N81" s="87"/>
      <c r="O81" s="87"/>
      <c r="P81" s="87"/>
      <c r="Q81" s="87"/>
      <c r="R81" s="87"/>
      <c r="S81" s="87"/>
    </row>
    <row r="82" spans="2:19" x14ac:dyDescent="0.2">
      <c r="B82" s="87"/>
      <c r="C82" s="87"/>
      <c r="D82" s="87"/>
      <c r="E82" s="87"/>
      <c r="F82" s="88"/>
      <c r="G82" s="87"/>
      <c r="H82" s="87"/>
      <c r="I82" s="87"/>
      <c r="J82" s="87"/>
      <c r="K82" s="87"/>
      <c r="L82" s="87"/>
      <c r="M82" s="87"/>
      <c r="N82" s="87"/>
      <c r="O82" s="87"/>
      <c r="P82" s="87"/>
      <c r="Q82" s="87"/>
      <c r="R82" s="87"/>
      <c r="S82" s="87"/>
    </row>
    <row r="83" spans="2:19" x14ac:dyDescent="0.2">
      <c r="B83" s="87"/>
      <c r="C83" s="87"/>
      <c r="D83" s="87"/>
      <c r="E83" s="87"/>
      <c r="F83" s="88"/>
      <c r="G83" s="87"/>
      <c r="H83" s="87"/>
      <c r="I83" s="87"/>
      <c r="J83" s="87"/>
      <c r="K83" s="87"/>
      <c r="L83" s="87"/>
      <c r="M83" s="87"/>
      <c r="N83" s="87"/>
      <c r="O83" s="87"/>
      <c r="P83" s="87"/>
      <c r="Q83" s="87"/>
      <c r="R83" s="87"/>
      <c r="S83" s="87"/>
    </row>
    <row r="84" spans="2:19" x14ac:dyDescent="0.2">
      <c r="B84" s="87"/>
      <c r="C84" s="87"/>
      <c r="D84" s="87"/>
      <c r="E84" s="87"/>
      <c r="F84" s="88"/>
      <c r="G84" s="87"/>
      <c r="H84" s="87"/>
      <c r="I84" s="87"/>
      <c r="J84" s="87"/>
      <c r="K84" s="87"/>
      <c r="L84" s="87"/>
      <c r="M84" s="87"/>
      <c r="N84" s="87"/>
      <c r="O84" s="87"/>
      <c r="P84" s="87"/>
      <c r="Q84" s="87"/>
      <c r="R84" s="87"/>
      <c r="S84" s="87"/>
    </row>
    <row r="85" spans="2:19" x14ac:dyDescent="0.2">
      <c r="B85" s="87"/>
      <c r="C85" s="87"/>
      <c r="D85" s="87"/>
      <c r="E85" s="87"/>
      <c r="F85" s="88"/>
      <c r="G85" s="87"/>
      <c r="H85" s="87"/>
      <c r="I85" s="87"/>
      <c r="J85" s="87"/>
      <c r="K85" s="87"/>
      <c r="L85" s="87"/>
      <c r="M85" s="87"/>
      <c r="N85" s="87"/>
      <c r="O85" s="87"/>
      <c r="P85" s="87"/>
      <c r="Q85" s="87"/>
      <c r="R85" s="87"/>
      <c r="S85" s="87"/>
    </row>
    <row r="86" spans="2:19" x14ac:dyDescent="0.2">
      <c r="B86" s="87"/>
      <c r="C86" s="87"/>
      <c r="D86" s="87"/>
      <c r="E86" s="87"/>
      <c r="F86" s="88"/>
      <c r="G86" s="87"/>
      <c r="H86" s="87"/>
      <c r="I86" s="87"/>
      <c r="J86" s="87"/>
      <c r="K86" s="87"/>
      <c r="L86" s="87"/>
      <c r="M86" s="87"/>
      <c r="N86" s="87"/>
      <c r="O86" s="87"/>
      <c r="P86" s="87"/>
      <c r="Q86" s="87"/>
      <c r="R86" s="87"/>
      <c r="S86" s="87"/>
    </row>
    <row r="87" spans="2:19" x14ac:dyDescent="0.2">
      <c r="B87" s="87"/>
      <c r="C87" s="87"/>
      <c r="D87" s="87"/>
      <c r="E87" s="87"/>
      <c r="F87" s="88"/>
      <c r="G87" s="87"/>
      <c r="H87" s="87"/>
      <c r="I87" s="87"/>
      <c r="J87" s="87"/>
      <c r="K87" s="87"/>
      <c r="L87" s="87"/>
      <c r="M87" s="87"/>
      <c r="N87" s="87"/>
      <c r="O87" s="87"/>
      <c r="P87" s="87"/>
      <c r="Q87" s="87"/>
      <c r="R87" s="87"/>
      <c r="S87" s="87"/>
    </row>
    <row r="88" spans="2:19" x14ac:dyDescent="0.2">
      <c r="B88" s="87"/>
      <c r="C88" s="87"/>
      <c r="D88" s="87"/>
      <c r="E88" s="87"/>
      <c r="F88" s="88"/>
      <c r="G88" s="87"/>
      <c r="H88" s="87"/>
      <c r="I88" s="87"/>
      <c r="J88" s="87"/>
      <c r="K88" s="87"/>
      <c r="L88" s="87"/>
      <c r="M88" s="87"/>
      <c r="N88" s="87"/>
      <c r="O88" s="87"/>
      <c r="P88" s="87"/>
      <c r="Q88" s="87"/>
      <c r="R88" s="87"/>
      <c r="S88" s="87"/>
    </row>
    <row r="89" spans="2:19" x14ac:dyDescent="0.2">
      <c r="B89" s="87"/>
      <c r="C89" s="87"/>
      <c r="D89" s="87"/>
      <c r="E89" s="87"/>
      <c r="F89" s="88"/>
      <c r="G89" s="87"/>
      <c r="H89" s="87"/>
      <c r="I89" s="87"/>
      <c r="J89" s="87"/>
      <c r="K89" s="87"/>
      <c r="L89" s="87"/>
      <c r="M89" s="87"/>
      <c r="N89" s="87"/>
      <c r="O89" s="87"/>
      <c r="P89" s="87"/>
      <c r="Q89" s="87"/>
      <c r="R89" s="87"/>
      <c r="S89" s="87"/>
    </row>
    <row r="90" spans="2:19" x14ac:dyDescent="0.2">
      <c r="B90" s="87"/>
      <c r="C90" s="87"/>
      <c r="D90" s="87"/>
      <c r="E90" s="87"/>
      <c r="F90" s="88"/>
      <c r="G90" s="87"/>
      <c r="H90" s="87"/>
      <c r="I90" s="87"/>
      <c r="J90" s="87"/>
      <c r="K90" s="87"/>
      <c r="L90" s="87"/>
      <c r="M90" s="87"/>
      <c r="N90" s="87"/>
      <c r="O90" s="87"/>
      <c r="P90" s="87"/>
      <c r="Q90" s="87"/>
      <c r="R90" s="87"/>
      <c r="S90" s="87"/>
    </row>
    <row r="91" spans="2:19" x14ac:dyDescent="0.2">
      <c r="B91" s="87"/>
      <c r="C91" s="87"/>
      <c r="D91" s="87"/>
      <c r="E91" s="87"/>
      <c r="F91" s="88"/>
      <c r="G91" s="87"/>
      <c r="H91" s="87"/>
      <c r="I91" s="87"/>
      <c r="J91" s="87"/>
      <c r="K91" s="87"/>
      <c r="L91" s="87"/>
      <c r="M91" s="87"/>
      <c r="N91" s="87"/>
      <c r="O91" s="87"/>
      <c r="P91" s="87"/>
      <c r="Q91" s="87"/>
      <c r="R91" s="87"/>
      <c r="S91" s="87"/>
    </row>
    <row r="92" spans="2:19" x14ac:dyDescent="0.2">
      <c r="B92" s="87"/>
      <c r="C92" s="87"/>
      <c r="D92" s="87"/>
      <c r="E92" s="87"/>
      <c r="F92" s="88"/>
      <c r="G92" s="87"/>
      <c r="H92" s="87"/>
      <c r="I92" s="87"/>
      <c r="J92" s="87"/>
      <c r="K92" s="87"/>
      <c r="L92" s="87"/>
      <c r="M92" s="87"/>
      <c r="N92" s="87"/>
      <c r="O92" s="87"/>
      <c r="P92" s="87"/>
      <c r="Q92" s="87"/>
      <c r="R92" s="87"/>
      <c r="S92" s="87"/>
    </row>
    <row r="93" spans="2:19" x14ac:dyDescent="0.2">
      <c r="B93" s="87"/>
      <c r="C93" s="87"/>
      <c r="D93" s="87"/>
      <c r="E93" s="87"/>
      <c r="F93" s="88"/>
      <c r="G93" s="87"/>
      <c r="H93" s="87"/>
      <c r="I93" s="87"/>
      <c r="J93" s="87"/>
      <c r="K93" s="87"/>
      <c r="L93" s="87"/>
      <c r="M93" s="87"/>
      <c r="N93" s="87"/>
      <c r="O93" s="87"/>
      <c r="P93" s="87"/>
      <c r="Q93" s="87"/>
      <c r="R93" s="87"/>
      <c r="S93" s="87"/>
    </row>
    <row r="94" spans="2:19" x14ac:dyDescent="0.2">
      <c r="B94" s="87"/>
      <c r="C94" s="87"/>
      <c r="D94" s="87"/>
      <c r="E94" s="87"/>
      <c r="F94" s="88"/>
      <c r="G94" s="87"/>
      <c r="H94" s="87"/>
      <c r="I94" s="87"/>
      <c r="J94" s="87"/>
      <c r="K94" s="87"/>
      <c r="L94" s="87"/>
      <c r="M94" s="87"/>
      <c r="N94" s="87"/>
      <c r="O94" s="87"/>
      <c r="P94" s="87"/>
      <c r="Q94" s="87"/>
      <c r="R94" s="87"/>
      <c r="S94" s="87"/>
    </row>
    <row r="95" spans="2:19" x14ac:dyDescent="0.2">
      <c r="B95" s="87"/>
      <c r="C95" s="87"/>
      <c r="D95" s="87"/>
      <c r="E95" s="87"/>
      <c r="F95" s="88"/>
      <c r="G95" s="87"/>
      <c r="H95" s="87"/>
      <c r="I95" s="87"/>
      <c r="J95" s="87"/>
      <c r="K95" s="87"/>
      <c r="L95" s="87"/>
      <c r="M95" s="87"/>
      <c r="N95" s="87"/>
      <c r="O95" s="87"/>
      <c r="P95" s="87"/>
      <c r="Q95" s="87"/>
      <c r="R95" s="87"/>
      <c r="S95" s="87"/>
    </row>
    <row r="96" spans="2:19" x14ac:dyDescent="0.2">
      <c r="B96" s="87"/>
      <c r="C96" s="87"/>
      <c r="D96" s="87"/>
      <c r="E96" s="87"/>
      <c r="F96" s="88"/>
      <c r="G96" s="87"/>
      <c r="H96" s="87"/>
      <c r="I96" s="87"/>
      <c r="J96" s="87"/>
      <c r="K96" s="87"/>
      <c r="L96" s="87"/>
      <c r="M96" s="87"/>
      <c r="N96" s="87"/>
      <c r="O96" s="87"/>
      <c r="P96" s="87"/>
      <c r="Q96" s="87"/>
      <c r="R96" s="87"/>
      <c r="S96" s="87"/>
    </row>
    <row r="97" spans="2:19" x14ac:dyDescent="0.2">
      <c r="B97" s="87"/>
      <c r="C97" s="87"/>
      <c r="D97" s="87"/>
      <c r="E97" s="87"/>
      <c r="F97" s="88"/>
      <c r="G97" s="87"/>
      <c r="H97" s="87"/>
      <c r="I97" s="87"/>
      <c r="J97" s="87"/>
      <c r="K97" s="87"/>
      <c r="L97" s="87"/>
      <c r="M97" s="87"/>
      <c r="N97" s="87"/>
      <c r="O97" s="87"/>
      <c r="P97" s="87"/>
      <c r="Q97" s="87"/>
      <c r="R97" s="87"/>
      <c r="S97" s="87"/>
    </row>
    <row r="98" spans="2:19" x14ac:dyDescent="0.2">
      <c r="B98" s="87"/>
      <c r="C98" s="87"/>
      <c r="D98" s="87"/>
      <c r="E98" s="87"/>
      <c r="F98" s="88"/>
      <c r="G98" s="87"/>
      <c r="H98" s="87"/>
      <c r="I98" s="87"/>
      <c r="J98" s="87"/>
      <c r="K98" s="87"/>
      <c r="L98" s="87"/>
      <c r="M98" s="87"/>
      <c r="N98" s="87"/>
      <c r="O98" s="87"/>
      <c r="P98" s="87"/>
      <c r="Q98" s="87"/>
      <c r="R98" s="87"/>
      <c r="S98" s="87"/>
    </row>
    <row r="99" spans="2:19" x14ac:dyDescent="0.2">
      <c r="B99" s="87"/>
      <c r="C99" s="87"/>
      <c r="D99" s="87"/>
      <c r="E99" s="87"/>
      <c r="F99" s="88"/>
      <c r="G99" s="87"/>
      <c r="H99" s="87"/>
      <c r="I99" s="87"/>
      <c r="J99" s="87"/>
      <c r="K99" s="87"/>
      <c r="L99" s="87"/>
      <c r="M99" s="87"/>
      <c r="N99" s="87"/>
      <c r="O99" s="87"/>
      <c r="P99" s="87"/>
      <c r="Q99" s="87"/>
      <c r="R99" s="87"/>
      <c r="S99" s="87"/>
    </row>
    <row r="100" spans="2:19" x14ac:dyDescent="0.2">
      <c r="B100" s="87"/>
      <c r="C100" s="87"/>
      <c r="D100" s="87"/>
      <c r="E100" s="87"/>
      <c r="F100" s="88"/>
      <c r="G100" s="87"/>
      <c r="H100" s="87"/>
      <c r="I100" s="87"/>
      <c r="J100" s="87"/>
      <c r="K100" s="87"/>
      <c r="L100" s="87"/>
      <c r="M100" s="87"/>
      <c r="N100" s="87"/>
      <c r="O100" s="87"/>
      <c r="P100" s="87"/>
      <c r="Q100" s="87"/>
      <c r="R100" s="87"/>
      <c r="S100" s="87"/>
    </row>
    <row r="101" spans="2:19" x14ac:dyDescent="0.2">
      <c r="B101" s="87"/>
      <c r="C101" s="87"/>
      <c r="D101" s="87"/>
      <c r="E101" s="87"/>
      <c r="F101" s="88"/>
      <c r="G101" s="87"/>
      <c r="H101" s="87"/>
      <c r="I101" s="87"/>
      <c r="J101" s="87"/>
      <c r="K101" s="87"/>
      <c r="L101" s="87"/>
      <c r="M101" s="87"/>
      <c r="N101" s="87"/>
      <c r="O101" s="87"/>
      <c r="P101" s="87"/>
      <c r="Q101" s="87"/>
      <c r="R101" s="87"/>
      <c r="S101" s="87"/>
    </row>
    <row r="102" spans="2:19" x14ac:dyDescent="0.2">
      <c r="B102" s="87"/>
      <c r="C102" s="87"/>
      <c r="D102" s="87"/>
      <c r="E102" s="87"/>
      <c r="F102" s="88"/>
      <c r="G102" s="87"/>
      <c r="H102" s="87"/>
      <c r="I102" s="87"/>
      <c r="J102" s="87"/>
      <c r="K102" s="87"/>
      <c r="L102" s="87"/>
      <c r="M102" s="87"/>
      <c r="N102" s="87"/>
      <c r="O102" s="87"/>
      <c r="P102" s="87"/>
      <c r="Q102" s="87"/>
      <c r="R102" s="87"/>
      <c r="S102" s="87"/>
    </row>
    <row r="103" spans="2:19" x14ac:dyDescent="0.2">
      <c r="B103" s="87"/>
      <c r="C103" s="87"/>
      <c r="D103" s="87"/>
      <c r="E103" s="87"/>
      <c r="F103" s="88"/>
      <c r="G103" s="87"/>
      <c r="H103" s="87"/>
      <c r="I103" s="87"/>
      <c r="J103" s="87"/>
      <c r="K103" s="87"/>
      <c r="L103" s="87"/>
      <c r="M103" s="87"/>
      <c r="N103" s="87"/>
      <c r="O103" s="87"/>
      <c r="P103" s="87"/>
      <c r="Q103" s="87"/>
      <c r="R103" s="87"/>
      <c r="S103" s="87"/>
    </row>
    <row r="104" spans="2:19" x14ac:dyDescent="0.2">
      <c r="B104" s="87"/>
      <c r="C104" s="87"/>
      <c r="D104" s="87"/>
      <c r="E104" s="87"/>
      <c r="F104" s="88"/>
      <c r="G104" s="87"/>
      <c r="H104" s="87"/>
      <c r="I104" s="87"/>
      <c r="J104" s="87"/>
      <c r="K104" s="87"/>
      <c r="L104" s="87"/>
      <c r="M104" s="87"/>
      <c r="N104" s="87"/>
      <c r="O104" s="87"/>
      <c r="P104" s="87"/>
      <c r="Q104" s="87"/>
      <c r="R104" s="87"/>
      <c r="S104" s="87"/>
    </row>
    <row r="105" spans="2:19" x14ac:dyDescent="0.2">
      <c r="B105" s="87"/>
      <c r="C105" s="87"/>
      <c r="D105" s="87"/>
      <c r="E105" s="87"/>
      <c r="F105" s="88"/>
      <c r="G105" s="87"/>
      <c r="H105" s="87"/>
      <c r="I105" s="87"/>
      <c r="J105" s="87"/>
      <c r="K105" s="87"/>
      <c r="L105" s="87"/>
      <c r="M105" s="87"/>
      <c r="N105" s="87"/>
      <c r="O105" s="87"/>
      <c r="P105" s="87"/>
      <c r="Q105" s="87"/>
      <c r="R105" s="87"/>
      <c r="S105" s="87"/>
    </row>
    <row r="106" spans="2:19" x14ac:dyDescent="0.2">
      <c r="B106" s="87"/>
      <c r="C106" s="87"/>
      <c r="D106" s="87"/>
      <c r="E106" s="87"/>
      <c r="F106" s="88"/>
      <c r="G106" s="87"/>
      <c r="H106" s="87"/>
      <c r="I106" s="87"/>
      <c r="J106" s="87"/>
      <c r="K106" s="87"/>
      <c r="L106" s="87"/>
      <c r="M106" s="87"/>
      <c r="N106" s="87"/>
      <c r="O106" s="87"/>
      <c r="P106" s="87"/>
      <c r="Q106" s="87"/>
      <c r="R106" s="87"/>
      <c r="S106" s="87"/>
    </row>
    <row r="107" spans="2:19" x14ac:dyDescent="0.2">
      <c r="B107" s="87"/>
      <c r="C107" s="87"/>
      <c r="D107" s="87"/>
      <c r="E107" s="87"/>
      <c r="F107" s="88"/>
      <c r="G107" s="87"/>
      <c r="H107" s="87"/>
      <c r="I107" s="87"/>
      <c r="J107" s="87"/>
      <c r="K107" s="87"/>
      <c r="L107" s="87"/>
      <c r="M107" s="87"/>
      <c r="N107" s="87"/>
      <c r="O107" s="87"/>
      <c r="P107" s="87"/>
      <c r="Q107" s="87"/>
      <c r="R107" s="87"/>
      <c r="S107" s="87"/>
    </row>
    <row r="108" spans="2:19" x14ac:dyDescent="0.2">
      <c r="B108" s="87"/>
      <c r="C108" s="87"/>
      <c r="D108" s="87"/>
      <c r="E108" s="87"/>
      <c r="F108" s="88"/>
      <c r="G108" s="87"/>
      <c r="H108" s="87"/>
      <c r="I108" s="87"/>
      <c r="J108" s="87"/>
      <c r="K108" s="87"/>
      <c r="L108" s="87"/>
      <c r="M108" s="87"/>
      <c r="N108" s="87"/>
      <c r="O108" s="87"/>
      <c r="P108" s="87"/>
      <c r="Q108" s="87"/>
      <c r="R108" s="87"/>
      <c r="S108" s="87"/>
    </row>
    <row r="109" spans="2:19" x14ac:dyDescent="0.2">
      <c r="B109" s="87"/>
      <c r="C109" s="87"/>
      <c r="D109" s="87"/>
      <c r="E109" s="87"/>
      <c r="F109" s="88"/>
      <c r="G109" s="87"/>
      <c r="H109" s="87"/>
      <c r="I109" s="87"/>
      <c r="J109" s="87"/>
      <c r="K109" s="87"/>
      <c r="L109" s="87"/>
      <c r="M109" s="87"/>
      <c r="N109" s="87"/>
      <c r="O109" s="87"/>
      <c r="P109" s="87"/>
      <c r="Q109" s="87"/>
      <c r="R109" s="87"/>
      <c r="S109" s="87"/>
    </row>
    <row r="110" spans="2:19" x14ac:dyDescent="0.2">
      <c r="B110" s="87"/>
      <c r="C110" s="87"/>
      <c r="D110" s="87"/>
      <c r="E110" s="87"/>
      <c r="F110" s="88"/>
      <c r="G110" s="87"/>
      <c r="H110" s="87"/>
      <c r="I110" s="87"/>
      <c r="J110" s="87"/>
      <c r="K110" s="87"/>
      <c r="L110" s="87"/>
      <c r="M110" s="87"/>
      <c r="N110" s="87"/>
      <c r="O110" s="87"/>
      <c r="P110" s="87"/>
      <c r="Q110" s="87"/>
      <c r="R110" s="87"/>
      <c r="S110" s="87"/>
    </row>
    <row r="111" spans="2:19" x14ac:dyDescent="0.2">
      <c r="B111" s="87"/>
      <c r="C111" s="87"/>
      <c r="D111" s="87"/>
      <c r="E111" s="87"/>
      <c r="F111" s="88"/>
      <c r="G111" s="87"/>
      <c r="H111" s="87"/>
      <c r="I111" s="87"/>
      <c r="J111" s="87"/>
      <c r="K111" s="87"/>
      <c r="L111" s="87"/>
      <c r="M111" s="87"/>
      <c r="N111" s="87"/>
      <c r="O111" s="87"/>
      <c r="P111" s="87"/>
      <c r="Q111" s="87"/>
      <c r="R111" s="87"/>
      <c r="S111" s="87"/>
    </row>
    <row r="112" spans="2:19" x14ac:dyDescent="0.2">
      <c r="B112" s="87"/>
      <c r="C112" s="87"/>
      <c r="D112" s="87"/>
      <c r="E112" s="87"/>
      <c r="F112" s="88"/>
      <c r="G112" s="87"/>
      <c r="H112" s="87"/>
      <c r="I112" s="87"/>
      <c r="J112" s="87"/>
      <c r="K112" s="87"/>
      <c r="L112" s="87"/>
      <c r="M112" s="87"/>
      <c r="N112" s="87"/>
      <c r="O112" s="87"/>
      <c r="P112" s="87"/>
      <c r="Q112" s="87"/>
      <c r="R112" s="87"/>
      <c r="S112" s="87"/>
    </row>
    <row r="113" spans="2:19" x14ac:dyDescent="0.2">
      <c r="B113" s="87"/>
      <c r="C113" s="87"/>
      <c r="D113" s="87"/>
      <c r="E113" s="87"/>
      <c r="F113" s="88"/>
      <c r="G113" s="87"/>
      <c r="H113" s="87"/>
      <c r="I113" s="87"/>
      <c r="J113" s="87"/>
      <c r="K113" s="87"/>
      <c r="L113" s="87"/>
      <c r="M113" s="87"/>
      <c r="N113" s="87"/>
      <c r="O113" s="87"/>
      <c r="P113" s="87"/>
      <c r="Q113" s="87"/>
      <c r="R113" s="87"/>
      <c r="S113" s="87"/>
    </row>
    <row r="114" spans="2:19" x14ac:dyDescent="0.2">
      <c r="B114" s="87"/>
      <c r="C114" s="87"/>
      <c r="D114" s="87"/>
      <c r="E114" s="87"/>
      <c r="F114" s="88"/>
      <c r="G114" s="87"/>
      <c r="H114" s="87"/>
      <c r="I114" s="87"/>
      <c r="J114" s="87"/>
      <c r="K114" s="87"/>
      <c r="L114" s="87"/>
      <c r="M114" s="87"/>
      <c r="N114" s="87"/>
      <c r="O114" s="87"/>
      <c r="P114" s="87"/>
      <c r="Q114" s="87"/>
      <c r="R114" s="87"/>
      <c r="S114" s="87"/>
    </row>
    <row r="115" spans="2:19" x14ac:dyDescent="0.2">
      <c r="B115" s="87"/>
      <c r="C115" s="87"/>
      <c r="D115" s="87"/>
      <c r="E115" s="87"/>
      <c r="F115" s="88"/>
      <c r="G115" s="87"/>
      <c r="H115" s="87"/>
      <c r="I115" s="87"/>
      <c r="J115" s="87"/>
      <c r="K115" s="87"/>
      <c r="L115" s="87"/>
      <c r="M115" s="87"/>
      <c r="N115" s="87"/>
      <c r="O115" s="87"/>
      <c r="P115" s="87"/>
      <c r="Q115" s="87"/>
      <c r="R115" s="87"/>
      <c r="S115" s="87"/>
    </row>
    <row r="116" spans="2:19" x14ac:dyDescent="0.2">
      <c r="B116" s="87"/>
      <c r="C116" s="87"/>
      <c r="D116" s="87"/>
      <c r="E116" s="87"/>
      <c r="F116" s="88"/>
      <c r="G116" s="87"/>
      <c r="H116" s="87"/>
      <c r="I116" s="87"/>
      <c r="J116" s="87"/>
      <c r="K116" s="87"/>
      <c r="L116" s="87"/>
      <c r="M116" s="87"/>
      <c r="N116" s="87"/>
      <c r="O116" s="87"/>
      <c r="P116" s="87"/>
      <c r="Q116" s="87"/>
      <c r="R116" s="87"/>
      <c r="S116" s="87"/>
    </row>
    <row r="117" spans="2:19" x14ac:dyDescent="0.2">
      <c r="B117" s="87"/>
      <c r="C117" s="87"/>
      <c r="D117" s="87"/>
      <c r="E117" s="87"/>
      <c r="F117" s="88"/>
      <c r="G117" s="87"/>
      <c r="H117" s="87"/>
      <c r="I117" s="87"/>
      <c r="J117" s="87"/>
      <c r="K117" s="87"/>
      <c r="L117" s="87"/>
      <c r="M117" s="87"/>
      <c r="N117" s="87"/>
      <c r="O117" s="87"/>
      <c r="P117" s="87"/>
      <c r="Q117" s="87"/>
      <c r="R117" s="87"/>
      <c r="S117" s="87"/>
    </row>
    <row r="118" spans="2:19" x14ac:dyDescent="0.2">
      <c r="B118" s="87"/>
      <c r="C118" s="87"/>
      <c r="D118" s="87"/>
      <c r="E118" s="87"/>
      <c r="F118" s="88"/>
      <c r="G118" s="87"/>
      <c r="H118" s="87"/>
      <c r="I118" s="87"/>
      <c r="J118" s="87"/>
      <c r="K118" s="87"/>
      <c r="L118" s="87"/>
      <c r="M118" s="87"/>
      <c r="N118" s="87"/>
      <c r="O118" s="87"/>
      <c r="P118" s="87"/>
      <c r="Q118" s="87"/>
      <c r="R118" s="87"/>
      <c r="S118" s="87"/>
    </row>
    <row r="119" spans="2:19" x14ac:dyDescent="0.2">
      <c r="B119" s="87"/>
      <c r="C119" s="87"/>
      <c r="D119" s="87"/>
      <c r="E119" s="87"/>
      <c r="F119" s="88"/>
      <c r="G119" s="87"/>
      <c r="H119" s="87"/>
      <c r="I119" s="87"/>
      <c r="J119" s="87"/>
      <c r="K119" s="87"/>
      <c r="L119" s="87"/>
      <c r="M119" s="87"/>
      <c r="N119" s="87"/>
      <c r="O119" s="87"/>
      <c r="P119" s="87"/>
      <c r="Q119" s="87"/>
      <c r="R119" s="87"/>
      <c r="S119" s="87"/>
    </row>
    <row r="120" spans="2:19" x14ac:dyDescent="0.2">
      <c r="B120" s="87"/>
      <c r="C120" s="87"/>
      <c r="D120" s="87"/>
      <c r="E120" s="87"/>
      <c r="F120" s="88"/>
      <c r="G120" s="87"/>
      <c r="H120" s="87"/>
      <c r="I120" s="87"/>
      <c r="J120" s="87"/>
      <c r="K120" s="87"/>
      <c r="L120" s="87"/>
      <c r="M120" s="87"/>
      <c r="N120" s="87"/>
      <c r="O120" s="87"/>
      <c r="P120" s="87"/>
      <c r="Q120" s="87"/>
      <c r="R120" s="87"/>
      <c r="S120" s="87"/>
    </row>
    <row r="121" spans="2:19" x14ac:dyDescent="0.2">
      <c r="B121" s="87"/>
      <c r="C121" s="87"/>
      <c r="D121" s="87"/>
      <c r="E121" s="87"/>
      <c r="F121" s="88"/>
      <c r="G121" s="87"/>
      <c r="H121" s="87"/>
      <c r="I121" s="87"/>
      <c r="J121" s="87"/>
      <c r="K121" s="87"/>
      <c r="L121" s="87"/>
      <c r="M121" s="87"/>
      <c r="N121" s="87"/>
      <c r="O121" s="87"/>
      <c r="P121" s="87"/>
      <c r="Q121" s="87"/>
      <c r="R121" s="87"/>
      <c r="S121" s="87"/>
    </row>
    <row r="122" spans="2:19" x14ac:dyDescent="0.2">
      <c r="B122" s="84"/>
      <c r="C122" s="84"/>
      <c r="D122" s="84"/>
      <c r="E122" s="84"/>
      <c r="F122" s="91"/>
      <c r="G122" s="84"/>
      <c r="H122" s="84"/>
      <c r="I122" s="84"/>
      <c r="J122" s="84"/>
      <c r="K122" s="84"/>
      <c r="L122" s="84"/>
      <c r="M122" s="84"/>
      <c r="N122" s="84"/>
      <c r="O122" s="84"/>
      <c r="P122" s="84"/>
      <c r="Q122" s="84"/>
      <c r="R122" s="84"/>
      <c r="S122" s="84"/>
    </row>
    <row r="123" spans="2:19" x14ac:dyDescent="0.2">
      <c r="B123" s="84"/>
      <c r="C123" s="84"/>
      <c r="D123" s="84"/>
      <c r="E123" s="84"/>
      <c r="F123" s="91"/>
      <c r="G123" s="84"/>
      <c r="H123" s="84"/>
      <c r="I123" s="84"/>
      <c r="J123" s="84"/>
      <c r="K123" s="84"/>
      <c r="L123" s="84"/>
      <c r="M123" s="84"/>
      <c r="N123" s="84"/>
      <c r="O123" s="84"/>
      <c r="P123" s="84"/>
      <c r="Q123" s="84"/>
      <c r="R123" s="84"/>
      <c r="S123" s="84"/>
    </row>
    <row r="124" spans="2:19" x14ac:dyDescent="0.2">
      <c r="B124" s="84"/>
      <c r="C124" s="84"/>
      <c r="D124" s="84"/>
      <c r="E124" s="84"/>
      <c r="F124" s="91"/>
      <c r="G124" s="84"/>
      <c r="H124" s="84"/>
      <c r="I124" s="84"/>
      <c r="J124" s="84"/>
      <c r="K124" s="84"/>
      <c r="L124" s="84"/>
      <c r="M124" s="84"/>
      <c r="N124" s="84"/>
      <c r="O124" s="84"/>
      <c r="P124" s="84"/>
      <c r="Q124" s="84"/>
      <c r="R124" s="84"/>
      <c r="S124" s="84"/>
    </row>
    <row r="125" spans="2:19" x14ac:dyDescent="0.2">
      <c r="B125" s="84"/>
      <c r="C125" s="84"/>
      <c r="D125" s="84"/>
      <c r="E125" s="84"/>
      <c r="F125" s="91"/>
      <c r="G125" s="84"/>
      <c r="H125" s="84"/>
      <c r="I125" s="84"/>
      <c r="J125" s="84"/>
      <c r="K125" s="84"/>
      <c r="L125" s="84"/>
      <c r="M125" s="84"/>
      <c r="N125" s="84"/>
      <c r="O125" s="84"/>
      <c r="P125" s="84"/>
      <c r="Q125" s="84"/>
      <c r="R125" s="84"/>
      <c r="S125" s="84"/>
    </row>
  </sheetData>
  <sheetProtection algorithmName="SHA-512" hashValue="my7opNOrGV3/IlRgOdlXvxvB/lI1zqat5+RAYHPnVfo8AGLDDfkAi9OIjRQgIYmRQ9sFAbJk+8W5vdFNEqxxpw==" saltValue="mQaO5izN7CniR+jaxR3Aew==" spinCount="100000" sheet="1" objects="1" scenarios="1"/>
  <customSheetViews>
    <customSheetView guid="{C8C7977F-B6BF-432B-A1A7-559450D521AF}" scale="90">
      <selection activeCell="A2" sqref="A2"/>
      <pageMargins left="0.7" right="0.7" top="0.75" bottom="0.75" header="0.3" footer="0.3"/>
    </customSheetView>
  </customSheetViews>
  <mergeCells count="33">
    <mergeCell ref="G41:J41"/>
    <mergeCell ref="L41:O41"/>
    <mergeCell ref="R39:R40"/>
    <mergeCell ref="Q6:Q7"/>
    <mergeCell ref="R6:R7"/>
    <mergeCell ref="G39:K40"/>
    <mergeCell ref="L39:P40"/>
    <mergeCell ref="G8:J8"/>
    <mergeCell ref="L8:O8"/>
    <mergeCell ref="Q39:Q40"/>
    <mergeCell ref="B39:E40"/>
    <mergeCell ref="F39:F40"/>
    <mergeCell ref="B1:M1"/>
    <mergeCell ref="B6:E7"/>
    <mergeCell ref="F6:F7"/>
    <mergeCell ref="G6:K7"/>
    <mergeCell ref="L6:P7"/>
    <mergeCell ref="F15:F17"/>
    <mergeCell ref="C15:E17"/>
    <mergeCell ref="B29:E30"/>
    <mergeCell ref="B26:E27"/>
    <mergeCell ref="F26:F27"/>
    <mergeCell ref="F29:F30"/>
    <mergeCell ref="C58:E59"/>
    <mergeCell ref="F58:F59"/>
    <mergeCell ref="B66:E67"/>
    <mergeCell ref="F66:F67"/>
    <mergeCell ref="F50:F51"/>
    <mergeCell ref="C50:E51"/>
    <mergeCell ref="C52:E54"/>
    <mergeCell ref="C55:E56"/>
    <mergeCell ref="F52:F54"/>
    <mergeCell ref="F55:F56"/>
  </mergeCells>
  <conditionalFormatting sqref="G12:R19 G77:R79 G45:R59 G21:R22 G25:R35 G61:R62 G65:R74">
    <cfRule type="expression" dxfId="69" priority="5" stopIfTrue="1">
      <formula>$Q$2="ex-ante"</formula>
    </cfRule>
  </conditionalFormatting>
  <conditionalFormatting sqref="G20:R20">
    <cfRule type="expression" dxfId="68" priority="4" stopIfTrue="1">
      <formula>$Q$2="ex-ante"</formula>
    </cfRule>
  </conditionalFormatting>
  <conditionalFormatting sqref="G23:R24">
    <cfRule type="expression" dxfId="67" priority="3" stopIfTrue="1">
      <formula>$Q$2="ex-ante"</formula>
    </cfRule>
  </conditionalFormatting>
  <conditionalFormatting sqref="G60:R60">
    <cfRule type="expression" dxfId="66" priority="2" stopIfTrue="1">
      <formula>$Q$2="ex-ante"</formula>
    </cfRule>
  </conditionalFormatting>
  <conditionalFormatting sqref="G63:R64">
    <cfRule type="expression" dxfId="65" priority="1" stopIfTrue="1">
      <formula>$Q$2="ex-ante"</formula>
    </cfRule>
  </conditionalFormatting>
  <pageMargins left="0.70866141732283472" right="0.70866141732283472" top="0.74803149606299213" bottom="0.74803149606299213" header="0.31496062992125984" footer="0.31496062992125984"/>
  <pageSetup paperSize="8" scale="54" orientation="landscape" r:id="rId1"/>
  <colBreaks count="1" manualBreakCount="1">
    <brk id="18" max="121" man="1"/>
  </colBreaks>
  <ignoredErrors>
    <ignoredError sqref="R47:R49 R14 R18:R19"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pageSetUpPr fitToPage="1"/>
  </sheetPr>
  <dimension ref="A1:H902"/>
  <sheetViews>
    <sheetView topLeftCell="A12" zoomScale="90" zoomScaleNormal="90" workbookViewId="0">
      <selection activeCell="C22" sqref="C22"/>
    </sheetView>
  </sheetViews>
  <sheetFormatPr defaultColWidth="9.140625" defaultRowHeight="12.75" x14ac:dyDescent="0.2"/>
  <cols>
    <col min="1" max="1" width="52.42578125" style="723" customWidth="1"/>
    <col min="2" max="3" width="25.7109375" style="723" customWidth="1"/>
    <col min="4" max="4" width="24.5703125" style="723" customWidth="1"/>
    <col min="5" max="5" width="19.7109375" style="723" customWidth="1"/>
    <col min="6" max="27" width="9.140625" style="723"/>
    <col min="28" max="28" width="13.7109375" style="723" customWidth="1"/>
    <col min="29" max="16384" width="9.140625" style="723"/>
  </cols>
  <sheetData>
    <row r="1" spans="1:8" s="301" customFormat="1" ht="21.6" customHeight="1" thickBot="1" x14ac:dyDescent="0.25">
      <c r="A1" s="1178" t="s">
        <v>365</v>
      </c>
      <c r="B1" s="1179"/>
      <c r="C1" s="1179"/>
      <c r="D1" s="1179"/>
      <c r="E1" s="1180"/>
      <c r="F1" s="294"/>
      <c r="G1" s="294"/>
      <c r="H1" s="294"/>
    </row>
    <row r="2" spans="1:8" s="167" customFormat="1" ht="13.5" thickBot="1" x14ac:dyDescent="0.25"/>
    <row r="3" spans="1:8" s="167" customFormat="1" ht="13.5" thickBot="1" x14ac:dyDescent="0.25">
      <c r="A3" s="297" t="s">
        <v>12</v>
      </c>
      <c r="C3" s="297" t="s">
        <v>13</v>
      </c>
      <c r="D3" s="722">
        <f>TITELBLAD!E13</f>
        <v>2021</v>
      </c>
    </row>
    <row r="4" spans="1:8" s="167" customFormat="1" ht="13.5" thickBot="1" x14ac:dyDescent="0.25">
      <c r="C4" s="297" t="s">
        <v>14</v>
      </c>
      <c r="D4" s="722">
        <f>TITELBLAD!E14</f>
        <v>2024</v>
      </c>
    </row>
    <row r="5" spans="1:8" s="167" customFormat="1" ht="13.5" thickBot="1" x14ac:dyDescent="0.25"/>
    <row r="6" spans="1:8" s="167" customFormat="1" ht="13.5" thickBot="1" x14ac:dyDescent="0.25">
      <c r="A6" s="212" t="s">
        <v>105</v>
      </c>
      <c r="D6" s="722">
        <f>TITELBLAD!E16</f>
        <v>2021</v>
      </c>
      <c r="E6" s="722" t="str">
        <f>+TITELBLAD!F16</f>
        <v>ex-ante</v>
      </c>
      <c r="F6" s="301"/>
      <c r="G6" s="301"/>
    </row>
    <row r="7" spans="1:8" s="167" customFormat="1" x14ac:dyDescent="0.2"/>
    <row r="8" spans="1:8" s="167" customFormat="1" ht="13.5" thickBot="1" x14ac:dyDescent="0.25">
      <c r="A8" s="297" t="s">
        <v>15</v>
      </c>
    </row>
    <row r="9" spans="1:8" s="167" customFormat="1" ht="13.5" thickBot="1" x14ac:dyDescent="0.25">
      <c r="A9" s="1199" t="str">
        <f>TITELBLAD!C7</f>
        <v>NAAM DNB</v>
      </c>
      <c r="B9" s="1200"/>
      <c r="C9" s="1200"/>
      <c r="D9" s="1201"/>
    </row>
    <row r="10" spans="1:8" s="167" customFormat="1" x14ac:dyDescent="0.2"/>
    <row r="11" spans="1:8" s="167" customFormat="1" ht="13.5" thickBot="1" x14ac:dyDescent="0.25">
      <c r="A11" s="297" t="s">
        <v>192</v>
      </c>
    </row>
    <row r="12" spans="1:8" s="167" customFormat="1" ht="13.5" thickBot="1" x14ac:dyDescent="0.25">
      <c r="A12" s="1202" t="str">
        <f>TITELBLAD!C10</f>
        <v>gas</v>
      </c>
      <c r="B12" s="1203"/>
      <c r="C12" s="1203"/>
      <c r="D12" s="1204"/>
    </row>
    <row r="13" spans="1:8" s="167" customFormat="1" x14ac:dyDescent="0.2"/>
    <row r="14" spans="1:8" s="167" customFormat="1" x14ac:dyDescent="0.2">
      <c r="A14" s="358" t="s">
        <v>145</v>
      </c>
    </row>
    <row r="15" spans="1:8" s="167" customFormat="1" ht="13.5" thickBot="1" x14ac:dyDescent="0.25">
      <c r="A15" s="358"/>
    </row>
    <row r="16" spans="1:8" s="167" customFormat="1" ht="64.5" thickBot="1" x14ac:dyDescent="0.25">
      <c r="A16" s="358"/>
      <c r="B16" s="1205" t="s">
        <v>199</v>
      </c>
      <c r="C16" s="1206"/>
      <c r="D16" s="936" t="str">
        <f>+'T3'!B226</f>
        <v>Totale werkelijke ontvangsten uit periodieke distributienettarieven voor exogene kosten</v>
      </c>
      <c r="E16" s="936" t="s">
        <v>404</v>
      </c>
    </row>
    <row r="17" spans="1:6" s="167" customFormat="1" ht="13.5" thickBot="1" x14ac:dyDescent="0.25">
      <c r="B17" s="937" t="s">
        <v>0</v>
      </c>
      <c r="C17" s="938" t="s">
        <v>1</v>
      </c>
      <c r="D17" s="1207">
        <f>+D6</f>
        <v>2021</v>
      </c>
      <c r="E17" s="1207">
        <f>+D6</f>
        <v>2021</v>
      </c>
    </row>
    <row r="18" spans="1:6" s="167" customFormat="1" ht="13.5" thickBot="1" x14ac:dyDescent="0.25">
      <c r="A18" s="953" t="s">
        <v>17</v>
      </c>
      <c r="B18" s="939">
        <f>D6</f>
        <v>2021</v>
      </c>
      <c r="C18" s="940">
        <f>D6</f>
        <v>2021</v>
      </c>
      <c r="D18" s="1208"/>
      <c r="E18" s="1208"/>
    </row>
    <row r="19" spans="1:6" s="167" customFormat="1" ht="27.75" customHeight="1" x14ac:dyDescent="0.2">
      <c r="A19" s="954" t="s">
        <v>69</v>
      </c>
      <c r="B19" s="941">
        <f>+'T3'!D212</f>
        <v>0</v>
      </c>
      <c r="C19" s="942">
        <f>+'T3'!E212</f>
        <v>0</v>
      </c>
      <c r="D19" s="949">
        <f>+'T3'!E228</f>
        <v>0</v>
      </c>
      <c r="E19" s="949">
        <f>+'T3'!E239</f>
        <v>0</v>
      </c>
    </row>
    <row r="20" spans="1:6" s="167" customFormat="1" ht="31.5" customHeight="1" x14ac:dyDescent="0.2">
      <c r="A20" s="954" t="s">
        <v>70</v>
      </c>
      <c r="B20" s="941">
        <f>+'T3'!D213</f>
        <v>0</v>
      </c>
      <c r="C20" s="942">
        <f>+'T3'!E213</f>
        <v>0</v>
      </c>
      <c r="D20" s="949">
        <f>+'T3'!E229</f>
        <v>0</v>
      </c>
      <c r="E20" s="949">
        <f>+'T3'!E240</f>
        <v>0</v>
      </c>
    </row>
    <row r="21" spans="1:6" s="167" customFormat="1" ht="30.75" customHeight="1" x14ac:dyDescent="0.2">
      <c r="A21" s="954" t="s">
        <v>193</v>
      </c>
      <c r="B21" s="941">
        <f>+'T3'!D214</f>
        <v>0</v>
      </c>
      <c r="C21" s="942">
        <f>+'T3'!E214</f>
        <v>0</v>
      </c>
      <c r="D21" s="949">
        <f>+'T3'!E230</f>
        <v>0</v>
      </c>
      <c r="E21" s="949">
        <f>+'T3'!E241</f>
        <v>0</v>
      </c>
    </row>
    <row r="22" spans="1:6" s="167" customFormat="1" ht="26.25" customHeight="1" x14ac:dyDescent="0.2">
      <c r="A22" s="955" t="s">
        <v>71</v>
      </c>
      <c r="B22" s="941">
        <f>+'T3'!D215</f>
        <v>0</v>
      </c>
      <c r="C22" s="942">
        <f>+'T3'!E215</f>
        <v>0</v>
      </c>
      <c r="D22" s="949">
        <f>+'T3'!E231</f>
        <v>0</v>
      </c>
      <c r="E22" s="949">
        <f>+'T3'!E242</f>
        <v>0</v>
      </c>
    </row>
    <row r="23" spans="1:6" s="167" customFormat="1" ht="29.25" customHeight="1" x14ac:dyDescent="0.2">
      <c r="A23" s="956" t="s">
        <v>194</v>
      </c>
      <c r="B23" s="941">
        <f>+'T3'!D216</f>
        <v>0</v>
      </c>
      <c r="C23" s="942">
        <f>+'T3'!E216</f>
        <v>0</v>
      </c>
      <c r="D23" s="949">
        <f>+'T3'!E235</f>
        <v>0</v>
      </c>
      <c r="E23" s="949">
        <f>+'T3'!E246</f>
        <v>0</v>
      </c>
    </row>
    <row r="24" spans="1:6" s="167" customFormat="1" ht="26.25" customHeight="1" x14ac:dyDescent="0.2">
      <c r="A24" s="955" t="s">
        <v>72</v>
      </c>
      <c r="B24" s="941">
        <f>+'T3'!D217</f>
        <v>0</v>
      </c>
      <c r="C24" s="942">
        <f>+'T3'!E217</f>
        <v>0</v>
      </c>
      <c r="D24" s="949">
        <f>+'T3'!E232</f>
        <v>0</v>
      </c>
      <c r="E24" s="949">
        <f>+'T3'!E243</f>
        <v>0</v>
      </c>
    </row>
    <row r="25" spans="1:6" s="167" customFormat="1" ht="26.25" customHeight="1" x14ac:dyDescent="0.2">
      <c r="A25" s="955" t="s">
        <v>73</v>
      </c>
      <c r="B25" s="941">
        <f>+'T3'!D218</f>
        <v>0</v>
      </c>
      <c r="C25" s="942">
        <f>+'T3'!E218</f>
        <v>0</v>
      </c>
      <c r="D25" s="949">
        <f>+'T3'!E233</f>
        <v>0</v>
      </c>
      <c r="E25" s="949">
        <f>+'T3'!E244</f>
        <v>0</v>
      </c>
    </row>
    <row r="26" spans="1:6" s="167" customFormat="1" ht="42.75" customHeight="1" x14ac:dyDescent="0.2">
      <c r="A26" s="955" t="s">
        <v>74</v>
      </c>
      <c r="B26" s="941">
        <f>+'T3'!D219</f>
        <v>0</v>
      </c>
      <c r="C26" s="942">
        <f>+'T3'!E219</f>
        <v>0</v>
      </c>
      <c r="D26" s="949">
        <f>+'T3'!E234</f>
        <v>0</v>
      </c>
      <c r="E26" s="949">
        <f>+'T3'!E245</f>
        <v>0</v>
      </c>
    </row>
    <row r="27" spans="1:6" s="167" customFormat="1" x14ac:dyDescent="0.2">
      <c r="A27" s="957"/>
      <c r="B27" s="943"/>
      <c r="C27" s="944"/>
      <c r="D27" s="950"/>
      <c r="E27" s="950"/>
    </row>
    <row r="28" spans="1:6" s="167" customFormat="1" ht="27" customHeight="1" x14ac:dyDescent="0.2">
      <c r="A28" s="958" t="s">
        <v>405</v>
      </c>
      <c r="B28" s="945">
        <f>SUM(B24:B26,B19:B22)</f>
        <v>0</v>
      </c>
      <c r="C28" s="946">
        <f>SUM(C24:C26,C19:C22)</f>
        <v>0</v>
      </c>
      <c r="D28" s="951">
        <f>SUM(D24:D26,D19:D22)</f>
        <v>0</v>
      </c>
      <c r="E28" s="951">
        <f>SUM(E24:E26,E19:E22)</f>
        <v>0</v>
      </c>
      <c r="F28" s="564"/>
    </row>
    <row r="29" spans="1:6" s="167" customFormat="1" ht="27" customHeight="1" x14ac:dyDescent="0.2">
      <c r="A29" s="958" t="s">
        <v>406</v>
      </c>
      <c r="B29" s="945">
        <f>SUM(B23)</f>
        <v>0</v>
      </c>
      <c r="C29" s="946">
        <f>SUM(C23)</f>
        <v>0</v>
      </c>
      <c r="D29" s="951">
        <f>SUM(D23)</f>
        <v>0</v>
      </c>
      <c r="E29" s="951">
        <f>SUM(E23)</f>
        <v>0</v>
      </c>
      <c r="F29" s="564"/>
    </row>
    <row r="30" spans="1:6" s="167" customFormat="1" ht="27" customHeight="1" thickBot="1" x14ac:dyDescent="0.25">
      <c r="A30" s="959" t="s">
        <v>20</v>
      </c>
      <c r="B30" s="947">
        <f>SUM(B28:B29)</f>
        <v>0</v>
      </c>
      <c r="C30" s="948">
        <f>SUM(C28:C29)</f>
        <v>0</v>
      </c>
      <c r="D30" s="952">
        <f>SUM(D28:D29)</f>
        <v>0</v>
      </c>
      <c r="E30" s="952">
        <f>SUM(E28:E29)</f>
        <v>0</v>
      </c>
      <c r="F30" s="564"/>
    </row>
    <row r="31" spans="1:6" s="167" customFormat="1" x14ac:dyDescent="0.2">
      <c r="A31" s="224"/>
      <c r="B31" s="642"/>
      <c r="C31" s="642"/>
      <c r="D31" s="642"/>
      <c r="E31" s="642"/>
    </row>
    <row r="32" spans="1:6" s="167" customFormat="1" x14ac:dyDescent="0.2"/>
    <row r="33" s="167" customFormat="1" x14ac:dyDescent="0.2"/>
    <row r="34" s="167" customFormat="1" x14ac:dyDescent="0.2"/>
    <row r="35" s="167" customFormat="1" x14ac:dyDescent="0.2"/>
    <row r="36" s="167" customFormat="1" x14ac:dyDescent="0.2"/>
    <row r="37" s="167" customFormat="1" x14ac:dyDescent="0.2"/>
    <row r="38" s="167" customFormat="1" x14ac:dyDescent="0.2"/>
    <row r="39" s="167" customFormat="1" x14ac:dyDescent="0.2"/>
    <row r="40" s="167" customFormat="1" x14ac:dyDescent="0.2"/>
    <row r="41" s="167" customFormat="1" x14ac:dyDescent="0.2"/>
    <row r="42" s="167" customFormat="1" x14ac:dyDescent="0.2"/>
    <row r="43" s="167" customFormat="1" x14ac:dyDescent="0.2"/>
    <row r="44" s="167" customFormat="1" x14ac:dyDescent="0.2"/>
    <row r="45" s="167" customFormat="1" x14ac:dyDescent="0.2"/>
    <row r="46" s="167" customFormat="1" x14ac:dyDescent="0.2"/>
    <row r="47" s="167" customFormat="1" x14ac:dyDescent="0.2"/>
    <row r="48" s="167" customFormat="1" x14ac:dyDescent="0.2"/>
    <row r="49" s="167" customFormat="1" x14ac:dyDescent="0.2"/>
    <row r="50" s="167" customFormat="1" x14ac:dyDescent="0.2"/>
    <row r="51" s="167" customFormat="1" x14ac:dyDescent="0.2"/>
    <row r="52" s="167" customFormat="1" x14ac:dyDescent="0.2"/>
    <row r="53" s="167" customFormat="1" x14ac:dyDescent="0.2"/>
    <row r="54" s="167" customFormat="1" x14ac:dyDescent="0.2"/>
    <row r="55" s="167" customFormat="1" x14ac:dyDescent="0.2"/>
    <row r="56" s="167" customFormat="1" x14ac:dyDescent="0.2"/>
    <row r="57" s="167" customFormat="1" x14ac:dyDescent="0.2"/>
    <row r="58" s="167" customFormat="1" x14ac:dyDescent="0.2"/>
    <row r="59" s="167" customFormat="1" x14ac:dyDescent="0.2"/>
    <row r="60" s="167" customFormat="1" x14ac:dyDescent="0.2"/>
    <row r="61" s="167" customFormat="1" x14ac:dyDescent="0.2"/>
    <row r="62" s="167" customFormat="1" x14ac:dyDescent="0.2"/>
    <row r="63" s="167" customFormat="1" x14ac:dyDescent="0.2"/>
    <row r="64" s="167" customFormat="1" x14ac:dyDescent="0.2"/>
    <row r="65" s="167" customFormat="1" x14ac:dyDescent="0.2"/>
    <row r="66" s="167" customFormat="1" x14ac:dyDescent="0.2"/>
    <row r="67" s="167" customFormat="1" x14ac:dyDescent="0.2"/>
    <row r="68" s="167" customFormat="1" x14ac:dyDescent="0.2"/>
    <row r="69" s="167" customFormat="1" x14ac:dyDescent="0.2"/>
    <row r="70" s="167" customFormat="1" x14ac:dyDescent="0.2"/>
    <row r="71" s="167" customFormat="1" x14ac:dyDescent="0.2"/>
    <row r="72" s="167" customFormat="1" x14ac:dyDescent="0.2"/>
    <row r="73" s="167" customFormat="1" x14ac:dyDescent="0.2"/>
    <row r="74" s="167" customFormat="1" x14ac:dyDescent="0.2"/>
    <row r="75" s="167" customFormat="1" x14ac:dyDescent="0.2"/>
    <row r="76" s="167" customFormat="1" x14ac:dyDescent="0.2"/>
    <row r="77" s="167" customFormat="1" x14ac:dyDescent="0.2"/>
    <row r="78" s="167" customFormat="1" x14ac:dyDescent="0.2"/>
    <row r="79" s="167" customFormat="1" x14ac:dyDescent="0.2"/>
    <row r="80" s="167" customFormat="1" x14ac:dyDescent="0.2"/>
    <row r="81" s="167" customFormat="1" x14ac:dyDescent="0.2"/>
    <row r="82" s="167" customFormat="1" x14ac:dyDescent="0.2"/>
    <row r="83" s="167" customFormat="1" x14ac:dyDescent="0.2"/>
    <row r="84" s="167" customFormat="1" x14ac:dyDescent="0.2"/>
    <row r="85" s="167" customFormat="1" x14ac:dyDescent="0.2"/>
    <row r="86" s="167" customFormat="1" x14ac:dyDescent="0.2"/>
    <row r="87" s="167" customFormat="1" x14ac:dyDescent="0.2"/>
    <row r="88" s="167" customFormat="1" x14ac:dyDescent="0.2"/>
    <row r="89" s="167" customFormat="1" x14ac:dyDescent="0.2"/>
    <row r="90" s="167" customFormat="1" x14ac:dyDescent="0.2"/>
    <row r="91" s="167" customFormat="1" x14ac:dyDescent="0.2"/>
    <row r="92" s="167" customFormat="1" x14ac:dyDescent="0.2"/>
    <row r="93" s="167" customFormat="1" x14ac:dyDescent="0.2"/>
    <row r="94" s="167" customFormat="1" x14ac:dyDescent="0.2"/>
    <row r="95" s="167" customFormat="1" x14ac:dyDescent="0.2"/>
    <row r="96" s="167" customFormat="1" x14ac:dyDescent="0.2"/>
    <row r="97" s="167" customFormat="1" x14ac:dyDescent="0.2"/>
    <row r="98" s="167" customFormat="1" x14ac:dyDescent="0.2"/>
    <row r="99" s="167" customFormat="1" x14ac:dyDescent="0.2"/>
    <row r="100" s="167" customFormat="1" x14ac:dyDescent="0.2"/>
    <row r="101" s="167" customFormat="1" x14ac:dyDescent="0.2"/>
    <row r="102" s="167" customFormat="1" x14ac:dyDescent="0.2"/>
    <row r="103" s="167" customFormat="1" x14ac:dyDescent="0.2"/>
    <row r="104" s="167" customFormat="1" x14ac:dyDescent="0.2"/>
    <row r="105" s="167" customFormat="1" x14ac:dyDescent="0.2"/>
    <row r="106" s="167" customFormat="1" x14ac:dyDescent="0.2"/>
    <row r="107" s="167" customFormat="1" x14ac:dyDescent="0.2"/>
    <row r="108" s="167" customFormat="1" x14ac:dyDescent="0.2"/>
    <row r="109" s="167" customFormat="1" x14ac:dyDescent="0.2"/>
    <row r="110" s="167" customFormat="1" x14ac:dyDescent="0.2"/>
    <row r="111" s="167" customFormat="1" x14ac:dyDescent="0.2"/>
    <row r="112" s="167" customFormat="1" x14ac:dyDescent="0.2"/>
    <row r="113" s="167" customFormat="1" x14ac:dyDescent="0.2"/>
    <row r="114" s="167" customFormat="1" x14ac:dyDescent="0.2"/>
    <row r="115" s="167" customFormat="1" x14ac:dyDescent="0.2"/>
    <row r="116" s="167" customFormat="1" x14ac:dyDescent="0.2"/>
    <row r="117" s="167" customFormat="1" x14ac:dyDescent="0.2"/>
    <row r="118" s="167" customFormat="1" x14ac:dyDescent="0.2"/>
    <row r="119" s="167" customFormat="1" x14ac:dyDescent="0.2"/>
    <row r="120" s="167" customFormat="1" x14ac:dyDescent="0.2"/>
    <row r="121" s="167" customFormat="1" x14ac:dyDescent="0.2"/>
    <row r="122" s="167" customFormat="1" x14ac:dyDescent="0.2"/>
    <row r="123" s="167" customFormat="1" x14ac:dyDescent="0.2"/>
    <row r="124" s="167" customFormat="1" x14ac:dyDescent="0.2"/>
    <row r="125" s="167" customFormat="1" x14ac:dyDescent="0.2"/>
    <row r="126" s="167" customFormat="1" x14ac:dyDescent="0.2"/>
    <row r="127" s="167" customFormat="1" x14ac:dyDescent="0.2"/>
    <row r="128" s="167" customFormat="1" x14ac:dyDescent="0.2"/>
    <row r="129" s="167" customFormat="1" x14ac:dyDescent="0.2"/>
    <row r="130" s="167" customFormat="1" x14ac:dyDescent="0.2"/>
    <row r="131" s="167" customFormat="1" x14ac:dyDescent="0.2"/>
    <row r="132" s="167" customFormat="1" x14ac:dyDescent="0.2"/>
    <row r="133" s="167" customFormat="1" x14ac:dyDescent="0.2"/>
    <row r="134" s="167" customFormat="1" x14ac:dyDescent="0.2"/>
    <row r="135" s="167" customFormat="1" x14ac:dyDescent="0.2"/>
    <row r="136" s="167" customFormat="1" x14ac:dyDescent="0.2"/>
    <row r="137" s="167" customFormat="1" x14ac:dyDescent="0.2"/>
    <row r="138" s="167" customFormat="1" x14ac:dyDescent="0.2"/>
    <row r="139" s="167" customFormat="1" x14ac:dyDescent="0.2"/>
    <row r="140" s="167" customFormat="1" x14ac:dyDescent="0.2"/>
    <row r="141" s="167" customFormat="1" x14ac:dyDescent="0.2"/>
    <row r="142" s="167" customFormat="1" x14ac:dyDescent="0.2"/>
    <row r="143" s="167" customFormat="1" x14ac:dyDescent="0.2"/>
    <row r="144" s="167" customFormat="1" x14ac:dyDescent="0.2"/>
    <row r="145" s="167" customFormat="1" x14ac:dyDescent="0.2"/>
    <row r="146" s="167" customFormat="1" x14ac:dyDescent="0.2"/>
    <row r="147" s="167" customFormat="1" x14ac:dyDescent="0.2"/>
    <row r="148" s="167" customFormat="1" x14ac:dyDescent="0.2"/>
    <row r="149" s="167" customFormat="1" x14ac:dyDescent="0.2"/>
    <row r="150" s="167" customFormat="1" x14ac:dyDescent="0.2"/>
    <row r="151" s="167" customFormat="1" x14ac:dyDescent="0.2"/>
    <row r="152" s="167" customFormat="1" x14ac:dyDescent="0.2"/>
    <row r="153" s="167" customFormat="1" x14ac:dyDescent="0.2"/>
    <row r="154" s="167" customFormat="1" x14ac:dyDescent="0.2"/>
    <row r="155" s="167" customFormat="1" x14ac:dyDescent="0.2"/>
    <row r="156" s="167" customFormat="1" x14ac:dyDescent="0.2"/>
    <row r="157" s="167" customFormat="1" x14ac:dyDescent="0.2"/>
    <row r="158" s="167" customFormat="1" x14ac:dyDescent="0.2"/>
    <row r="159" s="167" customFormat="1" x14ac:dyDescent="0.2"/>
    <row r="160" s="167" customFormat="1" x14ac:dyDescent="0.2"/>
    <row r="161" s="167" customFormat="1" x14ac:dyDescent="0.2"/>
    <row r="162" s="167" customFormat="1" x14ac:dyDescent="0.2"/>
    <row r="163" s="167" customFormat="1" x14ac:dyDescent="0.2"/>
    <row r="164" s="167" customFormat="1" x14ac:dyDescent="0.2"/>
    <row r="165" s="167" customFormat="1" x14ac:dyDescent="0.2"/>
    <row r="166" s="167" customFormat="1" x14ac:dyDescent="0.2"/>
    <row r="167" s="167" customFormat="1" x14ac:dyDescent="0.2"/>
    <row r="168" s="167" customFormat="1" x14ac:dyDescent="0.2"/>
    <row r="169" s="167" customFormat="1" x14ac:dyDescent="0.2"/>
    <row r="170" s="167" customFormat="1" x14ac:dyDescent="0.2"/>
    <row r="171" s="167" customFormat="1" x14ac:dyDescent="0.2"/>
    <row r="172" s="167" customFormat="1" x14ac:dyDescent="0.2"/>
    <row r="173" s="167" customFormat="1" x14ac:dyDescent="0.2"/>
    <row r="174" s="167" customFormat="1" x14ac:dyDescent="0.2"/>
    <row r="175" s="167" customFormat="1" x14ac:dyDescent="0.2"/>
    <row r="176" s="167" customFormat="1" x14ac:dyDescent="0.2"/>
    <row r="177" s="167" customFormat="1" x14ac:dyDescent="0.2"/>
    <row r="178" s="167" customFormat="1" x14ac:dyDescent="0.2"/>
    <row r="179" s="167" customFormat="1" x14ac:dyDescent="0.2"/>
    <row r="180" s="167" customFormat="1" x14ac:dyDescent="0.2"/>
    <row r="181" s="167" customFormat="1" x14ac:dyDescent="0.2"/>
    <row r="182" s="167" customFormat="1" x14ac:dyDescent="0.2"/>
    <row r="183" s="167" customFormat="1" x14ac:dyDescent="0.2"/>
    <row r="184" s="167" customFormat="1" x14ac:dyDescent="0.2"/>
    <row r="185" s="167" customFormat="1" x14ac:dyDescent="0.2"/>
    <row r="186" s="167" customFormat="1" x14ac:dyDescent="0.2"/>
    <row r="187" s="167" customFormat="1" x14ac:dyDescent="0.2"/>
    <row r="188" s="167" customFormat="1" x14ac:dyDescent="0.2"/>
    <row r="189" s="167" customFormat="1" x14ac:dyDescent="0.2"/>
    <row r="190" s="167" customFormat="1" x14ac:dyDescent="0.2"/>
    <row r="191" s="167" customFormat="1" x14ac:dyDescent="0.2"/>
    <row r="192" s="167" customFormat="1" x14ac:dyDescent="0.2"/>
    <row r="193" s="167" customFormat="1" x14ac:dyDescent="0.2"/>
    <row r="194" s="167" customFormat="1" x14ac:dyDescent="0.2"/>
    <row r="195" s="167" customFormat="1" x14ac:dyDescent="0.2"/>
    <row r="196" s="167" customFormat="1" x14ac:dyDescent="0.2"/>
    <row r="197" s="167" customFormat="1" x14ac:dyDescent="0.2"/>
    <row r="198" s="167" customFormat="1" x14ac:dyDescent="0.2"/>
    <row r="199" s="167" customFormat="1" x14ac:dyDescent="0.2"/>
    <row r="200" s="167" customFormat="1" x14ac:dyDescent="0.2"/>
    <row r="201" s="167" customFormat="1" x14ac:dyDescent="0.2"/>
    <row r="202" s="167" customFormat="1" x14ac:dyDescent="0.2"/>
    <row r="203" s="167" customFormat="1" x14ac:dyDescent="0.2"/>
    <row r="204" s="167" customFormat="1" x14ac:dyDescent="0.2"/>
    <row r="205" s="167" customFormat="1" x14ac:dyDescent="0.2"/>
    <row r="206" s="167" customFormat="1" x14ac:dyDescent="0.2"/>
    <row r="207" s="167" customFormat="1" x14ac:dyDescent="0.2"/>
    <row r="208" s="167" customFormat="1" x14ac:dyDescent="0.2"/>
    <row r="209" s="167" customFormat="1" x14ac:dyDescent="0.2"/>
    <row r="210" s="167" customFormat="1" x14ac:dyDescent="0.2"/>
    <row r="211" s="167" customFormat="1" x14ac:dyDescent="0.2"/>
    <row r="212" s="167" customFormat="1" x14ac:dyDescent="0.2"/>
    <row r="213" s="167" customFormat="1" x14ac:dyDescent="0.2"/>
    <row r="214" s="167" customFormat="1" x14ac:dyDescent="0.2"/>
    <row r="215" s="167" customFormat="1" x14ac:dyDescent="0.2"/>
    <row r="216" s="167" customFormat="1" x14ac:dyDescent="0.2"/>
    <row r="217" s="167" customFormat="1" x14ac:dyDescent="0.2"/>
    <row r="218" s="167" customFormat="1" x14ac:dyDescent="0.2"/>
    <row r="219" s="167" customFormat="1" x14ac:dyDescent="0.2"/>
    <row r="220" s="167" customFormat="1" x14ac:dyDescent="0.2"/>
    <row r="221" s="167" customFormat="1" x14ac:dyDescent="0.2"/>
    <row r="222" s="167" customFormat="1" x14ac:dyDescent="0.2"/>
    <row r="223" s="167" customFormat="1" x14ac:dyDescent="0.2"/>
    <row r="224" s="167" customFormat="1" x14ac:dyDescent="0.2"/>
    <row r="225" s="167" customFormat="1" x14ac:dyDescent="0.2"/>
    <row r="226" s="167" customFormat="1" x14ac:dyDescent="0.2"/>
    <row r="227" s="167" customFormat="1" x14ac:dyDescent="0.2"/>
    <row r="228" s="167" customFormat="1" x14ac:dyDescent="0.2"/>
    <row r="229" s="167" customFormat="1" x14ac:dyDescent="0.2"/>
    <row r="230" s="167" customFormat="1" x14ac:dyDescent="0.2"/>
    <row r="231" s="167" customFormat="1" x14ac:dyDescent="0.2"/>
    <row r="232" s="167" customFormat="1" x14ac:dyDescent="0.2"/>
    <row r="233" s="167" customFormat="1" x14ac:dyDescent="0.2"/>
    <row r="234" s="167" customFormat="1" x14ac:dyDescent="0.2"/>
    <row r="235" s="167" customFormat="1" x14ac:dyDescent="0.2"/>
    <row r="236" s="167" customFormat="1" x14ac:dyDescent="0.2"/>
    <row r="237" s="167" customFormat="1" x14ac:dyDescent="0.2"/>
    <row r="238" s="167" customFormat="1" x14ac:dyDescent="0.2"/>
    <row r="239" s="167" customFormat="1" x14ac:dyDescent="0.2"/>
    <row r="240" s="167" customFormat="1" x14ac:dyDescent="0.2"/>
    <row r="241" s="167" customFormat="1" x14ac:dyDescent="0.2"/>
    <row r="242" s="167" customFormat="1" x14ac:dyDescent="0.2"/>
    <row r="243" s="167" customFormat="1" x14ac:dyDescent="0.2"/>
    <row r="244" s="167" customFormat="1" x14ac:dyDescent="0.2"/>
    <row r="245" s="167" customFormat="1" x14ac:dyDescent="0.2"/>
    <row r="246" s="167" customFormat="1" x14ac:dyDescent="0.2"/>
    <row r="247" s="167" customFormat="1" x14ac:dyDescent="0.2"/>
    <row r="248" s="167" customFormat="1" x14ac:dyDescent="0.2"/>
    <row r="249" s="167" customFormat="1" x14ac:dyDescent="0.2"/>
    <row r="250" s="167" customFormat="1" x14ac:dyDescent="0.2"/>
    <row r="251" s="167" customFormat="1" x14ac:dyDescent="0.2"/>
    <row r="252" s="167" customFormat="1" x14ac:dyDescent="0.2"/>
    <row r="253" s="167" customFormat="1" x14ac:dyDescent="0.2"/>
    <row r="254" s="167" customFormat="1" x14ac:dyDescent="0.2"/>
    <row r="255" s="167" customFormat="1" x14ac:dyDescent="0.2"/>
    <row r="256" s="167" customFormat="1" x14ac:dyDescent="0.2"/>
    <row r="257" s="167" customFormat="1" x14ac:dyDescent="0.2"/>
    <row r="258" s="167" customFormat="1" x14ac:dyDescent="0.2"/>
    <row r="259" s="167" customFormat="1" x14ac:dyDescent="0.2"/>
    <row r="260" s="167" customFormat="1" x14ac:dyDescent="0.2"/>
    <row r="261" s="167" customFormat="1" x14ac:dyDescent="0.2"/>
    <row r="262" s="167" customFormat="1" x14ac:dyDescent="0.2"/>
    <row r="263" s="167" customFormat="1" x14ac:dyDescent="0.2"/>
    <row r="264" s="167" customFormat="1" x14ac:dyDescent="0.2"/>
    <row r="265" s="167" customFormat="1" x14ac:dyDescent="0.2"/>
    <row r="266" s="167" customFormat="1" x14ac:dyDescent="0.2"/>
    <row r="267" s="167" customFormat="1" x14ac:dyDescent="0.2"/>
    <row r="268" s="167" customFormat="1" x14ac:dyDescent="0.2"/>
    <row r="269" s="167" customFormat="1" x14ac:dyDescent="0.2"/>
    <row r="270" s="167" customFormat="1" x14ac:dyDescent="0.2"/>
    <row r="271" s="167" customFormat="1" x14ac:dyDescent="0.2"/>
    <row r="272" s="167" customFormat="1" x14ac:dyDescent="0.2"/>
    <row r="273" s="167" customFormat="1" x14ac:dyDescent="0.2"/>
    <row r="274" s="167" customFormat="1" x14ac:dyDescent="0.2"/>
    <row r="275" s="167" customFormat="1" x14ac:dyDescent="0.2"/>
    <row r="276" s="167" customFormat="1" x14ac:dyDescent="0.2"/>
    <row r="277" s="167" customFormat="1" x14ac:dyDescent="0.2"/>
    <row r="278" s="167" customFormat="1" x14ac:dyDescent="0.2"/>
    <row r="279" s="167" customFormat="1" x14ac:dyDescent="0.2"/>
    <row r="280" s="167" customFormat="1" x14ac:dyDescent="0.2"/>
    <row r="281" s="167" customFormat="1" x14ac:dyDescent="0.2"/>
    <row r="282" s="167" customFormat="1" x14ac:dyDescent="0.2"/>
    <row r="283" s="167" customFormat="1" x14ac:dyDescent="0.2"/>
    <row r="284" s="167" customFormat="1" x14ac:dyDescent="0.2"/>
    <row r="285" s="167" customFormat="1" x14ac:dyDescent="0.2"/>
    <row r="286" s="167" customFormat="1" x14ac:dyDescent="0.2"/>
    <row r="287" s="167" customFormat="1" x14ac:dyDescent="0.2"/>
    <row r="288" s="167" customFormat="1" x14ac:dyDescent="0.2"/>
    <row r="289" s="167" customFormat="1" x14ac:dyDescent="0.2"/>
    <row r="290" s="167" customFormat="1" x14ac:dyDescent="0.2"/>
    <row r="291" s="167" customFormat="1" x14ac:dyDescent="0.2"/>
    <row r="292" s="167" customFormat="1" x14ac:dyDescent="0.2"/>
    <row r="293" s="167" customFormat="1" x14ac:dyDescent="0.2"/>
    <row r="294" s="167" customFormat="1" x14ac:dyDescent="0.2"/>
    <row r="295" s="167" customFormat="1" x14ac:dyDescent="0.2"/>
    <row r="296" s="167" customFormat="1" x14ac:dyDescent="0.2"/>
    <row r="297" s="167" customFormat="1" x14ac:dyDescent="0.2"/>
    <row r="298" s="167" customFormat="1" x14ac:dyDescent="0.2"/>
    <row r="299" s="167" customFormat="1" x14ac:dyDescent="0.2"/>
    <row r="300" s="167" customFormat="1" x14ac:dyDescent="0.2"/>
    <row r="301" s="167" customFormat="1" x14ac:dyDescent="0.2"/>
    <row r="302" s="167" customFormat="1" x14ac:dyDescent="0.2"/>
    <row r="303" s="167" customFormat="1" x14ac:dyDescent="0.2"/>
    <row r="304" s="167" customFormat="1" x14ac:dyDescent="0.2"/>
    <row r="305" s="167" customFormat="1" x14ac:dyDescent="0.2"/>
    <row r="306" s="167" customFormat="1" x14ac:dyDescent="0.2"/>
    <row r="307" s="167" customFormat="1" x14ac:dyDescent="0.2"/>
    <row r="308" s="167" customFormat="1" x14ac:dyDescent="0.2"/>
    <row r="309" s="167" customFormat="1" x14ac:dyDescent="0.2"/>
    <row r="310" s="167" customFormat="1" x14ac:dyDescent="0.2"/>
    <row r="311" s="167" customFormat="1" x14ac:dyDescent="0.2"/>
    <row r="312" s="167" customFormat="1" x14ac:dyDescent="0.2"/>
    <row r="313" s="167" customFormat="1" x14ac:dyDescent="0.2"/>
    <row r="314" s="167" customFormat="1" x14ac:dyDescent="0.2"/>
    <row r="315" s="167" customFormat="1" x14ac:dyDescent="0.2"/>
    <row r="316" s="167" customFormat="1" x14ac:dyDescent="0.2"/>
    <row r="317" s="167" customFormat="1" x14ac:dyDescent="0.2"/>
    <row r="318" s="167" customFormat="1" x14ac:dyDescent="0.2"/>
    <row r="319" s="167" customFormat="1" x14ac:dyDescent="0.2"/>
    <row r="320" s="167" customFormat="1" x14ac:dyDescent="0.2"/>
    <row r="321" s="167" customFormat="1" x14ac:dyDescent="0.2"/>
    <row r="322" s="167" customFormat="1" x14ac:dyDescent="0.2"/>
    <row r="323" s="167" customFormat="1" x14ac:dyDescent="0.2"/>
    <row r="324" s="167" customFormat="1" x14ac:dyDescent="0.2"/>
    <row r="325" s="167" customFormat="1" x14ac:dyDescent="0.2"/>
    <row r="326" s="167" customFormat="1" x14ac:dyDescent="0.2"/>
    <row r="327" s="167" customFormat="1" x14ac:dyDescent="0.2"/>
    <row r="328" s="167" customFormat="1" x14ac:dyDescent="0.2"/>
    <row r="329" s="167" customFormat="1" x14ac:dyDescent="0.2"/>
    <row r="330" s="167" customFormat="1" x14ac:dyDescent="0.2"/>
    <row r="331" s="167" customFormat="1" x14ac:dyDescent="0.2"/>
    <row r="332" s="167" customFormat="1" x14ac:dyDescent="0.2"/>
    <row r="333" s="167" customFormat="1" x14ac:dyDescent="0.2"/>
    <row r="334" s="167" customFormat="1" x14ac:dyDescent="0.2"/>
    <row r="335" s="167" customFormat="1" x14ac:dyDescent="0.2"/>
    <row r="336" s="167" customFormat="1" x14ac:dyDescent="0.2"/>
    <row r="337" s="167" customFormat="1" x14ac:dyDescent="0.2"/>
    <row r="338" s="167" customFormat="1" x14ac:dyDescent="0.2"/>
    <row r="339" s="167" customFormat="1" x14ac:dyDescent="0.2"/>
    <row r="340" s="167" customFormat="1" x14ac:dyDescent="0.2"/>
    <row r="341" s="167" customFormat="1" x14ac:dyDescent="0.2"/>
    <row r="342" s="167" customFormat="1" x14ac:dyDescent="0.2"/>
    <row r="343" s="167" customFormat="1" x14ac:dyDescent="0.2"/>
    <row r="344" s="167" customFormat="1" x14ac:dyDescent="0.2"/>
    <row r="345" s="167" customFormat="1" x14ac:dyDescent="0.2"/>
    <row r="346" s="167" customFormat="1" x14ac:dyDescent="0.2"/>
    <row r="347" s="167" customFormat="1" x14ac:dyDescent="0.2"/>
    <row r="348" s="167" customFormat="1" x14ac:dyDescent="0.2"/>
    <row r="349" s="167" customFormat="1" x14ac:dyDescent="0.2"/>
    <row r="350" s="167" customFormat="1" x14ac:dyDescent="0.2"/>
    <row r="351" s="167" customFormat="1" x14ac:dyDescent="0.2"/>
    <row r="352" s="167" customFormat="1" x14ac:dyDescent="0.2"/>
    <row r="353" s="167" customFormat="1" x14ac:dyDescent="0.2"/>
    <row r="354" s="167" customFormat="1" x14ac:dyDescent="0.2"/>
    <row r="355" s="167" customFormat="1" x14ac:dyDescent="0.2"/>
    <row r="356" s="167" customFormat="1" x14ac:dyDescent="0.2"/>
    <row r="357" s="167" customFormat="1" x14ac:dyDescent="0.2"/>
    <row r="358" s="167" customFormat="1" x14ac:dyDescent="0.2"/>
    <row r="359" s="167" customFormat="1" x14ac:dyDescent="0.2"/>
    <row r="360" s="167" customFormat="1" x14ac:dyDescent="0.2"/>
    <row r="361" s="167" customFormat="1" x14ac:dyDescent="0.2"/>
    <row r="362" s="167" customFormat="1" x14ac:dyDescent="0.2"/>
    <row r="363" s="167" customFormat="1" x14ac:dyDescent="0.2"/>
    <row r="364" s="167" customFormat="1" x14ac:dyDescent="0.2"/>
    <row r="365" s="167" customFormat="1" x14ac:dyDescent="0.2"/>
    <row r="366" s="167" customFormat="1" x14ac:dyDescent="0.2"/>
    <row r="367" s="167" customFormat="1" x14ac:dyDescent="0.2"/>
    <row r="368" s="167" customFormat="1" x14ac:dyDescent="0.2"/>
    <row r="369" s="167" customFormat="1" x14ac:dyDescent="0.2"/>
    <row r="370" s="167" customFormat="1" x14ac:dyDescent="0.2"/>
    <row r="371" s="167" customFormat="1" x14ac:dyDescent="0.2"/>
    <row r="372" s="167" customFormat="1" x14ac:dyDescent="0.2"/>
    <row r="373" s="167" customFormat="1" x14ac:dyDescent="0.2"/>
    <row r="374" s="167" customFormat="1" x14ac:dyDescent="0.2"/>
    <row r="375" s="167" customFormat="1" x14ac:dyDescent="0.2"/>
    <row r="376" s="167" customFormat="1" x14ac:dyDescent="0.2"/>
    <row r="377" s="167" customFormat="1" x14ac:dyDescent="0.2"/>
    <row r="378" s="167" customFormat="1" x14ac:dyDescent="0.2"/>
    <row r="379" s="167" customFormat="1" x14ac:dyDescent="0.2"/>
    <row r="380" s="167" customFormat="1" x14ac:dyDescent="0.2"/>
    <row r="381" s="167" customFormat="1" x14ac:dyDescent="0.2"/>
    <row r="382" s="167" customFormat="1" x14ac:dyDescent="0.2"/>
    <row r="383" s="167" customFormat="1" x14ac:dyDescent="0.2"/>
    <row r="384" s="167" customFormat="1" x14ac:dyDescent="0.2"/>
    <row r="385" s="167" customFormat="1" x14ac:dyDescent="0.2"/>
    <row r="386" s="167" customFormat="1" x14ac:dyDescent="0.2"/>
    <row r="387" s="167" customFormat="1" x14ac:dyDescent="0.2"/>
    <row r="388" s="167" customFormat="1" x14ac:dyDescent="0.2"/>
    <row r="389" s="167" customFormat="1" x14ac:dyDescent="0.2"/>
    <row r="390" s="167" customFormat="1" x14ac:dyDescent="0.2"/>
    <row r="391" s="167" customFormat="1" x14ac:dyDescent="0.2"/>
    <row r="392" s="167" customFormat="1" x14ac:dyDescent="0.2"/>
    <row r="393" s="167" customFormat="1" x14ac:dyDescent="0.2"/>
    <row r="394" s="167" customFormat="1" x14ac:dyDescent="0.2"/>
    <row r="395" s="167" customFormat="1" x14ac:dyDescent="0.2"/>
    <row r="396" s="167" customFormat="1" x14ac:dyDescent="0.2"/>
    <row r="397" s="167" customFormat="1" x14ac:dyDescent="0.2"/>
    <row r="398" s="167" customFormat="1" x14ac:dyDescent="0.2"/>
    <row r="399" s="167" customFormat="1" x14ac:dyDescent="0.2"/>
    <row r="400" s="167" customFormat="1" x14ac:dyDescent="0.2"/>
    <row r="401" s="167" customFormat="1" x14ac:dyDescent="0.2"/>
    <row r="402" s="167" customFormat="1" x14ac:dyDescent="0.2"/>
    <row r="403" s="167" customFormat="1" x14ac:dyDescent="0.2"/>
    <row r="404" s="167" customFormat="1" x14ac:dyDescent="0.2"/>
    <row r="405" s="167" customFormat="1" x14ac:dyDescent="0.2"/>
    <row r="406" s="167" customFormat="1" x14ac:dyDescent="0.2"/>
    <row r="407" s="167" customFormat="1" x14ac:dyDescent="0.2"/>
    <row r="408" s="167" customFormat="1" x14ac:dyDescent="0.2"/>
    <row r="409" s="167" customFormat="1" x14ac:dyDescent="0.2"/>
    <row r="410" s="167" customFormat="1" x14ac:dyDescent="0.2"/>
    <row r="411" s="167" customFormat="1" x14ac:dyDescent="0.2"/>
    <row r="412" s="167" customFormat="1" x14ac:dyDescent="0.2"/>
    <row r="413" s="167" customFormat="1" x14ac:dyDescent="0.2"/>
    <row r="414" s="167" customFormat="1" x14ac:dyDescent="0.2"/>
    <row r="415" s="167" customFormat="1" x14ac:dyDescent="0.2"/>
    <row r="416" s="167" customFormat="1" x14ac:dyDescent="0.2"/>
    <row r="417" s="167" customFormat="1" x14ac:dyDescent="0.2"/>
    <row r="418" s="167" customFormat="1" x14ac:dyDescent="0.2"/>
    <row r="419" s="167" customFormat="1" x14ac:dyDescent="0.2"/>
    <row r="420" s="167" customFormat="1" x14ac:dyDescent="0.2"/>
    <row r="421" s="167" customFormat="1" x14ac:dyDescent="0.2"/>
    <row r="422" s="167" customFormat="1" x14ac:dyDescent="0.2"/>
    <row r="423" s="167" customFormat="1" x14ac:dyDescent="0.2"/>
    <row r="424" s="167" customFormat="1" x14ac:dyDescent="0.2"/>
    <row r="425" s="167" customFormat="1" x14ac:dyDescent="0.2"/>
    <row r="426" s="167" customFormat="1" x14ac:dyDescent="0.2"/>
    <row r="427" s="167" customFormat="1" x14ac:dyDescent="0.2"/>
    <row r="428" s="167" customFormat="1" x14ac:dyDescent="0.2"/>
    <row r="429" s="167" customFormat="1" x14ac:dyDescent="0.2"/>
    <row r="430" s="167" customFormat="1" x14ac:dyDescent="0.2"/>
    <row r="431" s="167" customFormat="1" x14ac:dyDescent="0.2"/>
    <row r="432" s="167" customFormat="1" x14ac:dyDescent="0.2"/>
    <row r="433" s="167" customFormat="1" x14ac:dyDescent="0.2"/>
    <row r="434" s="167" customFormat="1" x14ac:dyDescent="0.2"/>
    <row r="435" s="167" customFormat="1" x14ac:dyDescent="0.2"/>
    <row r="436" s="167" customFormat="1" x14ac:dyDescent="0.2"/>
    <row r="437" s="167" customFormat="1" x14ac:dyDescent="0.2"/>
    <row r="438" s="167" customFormat="1" x14ac:dyDescent="0.2"/>
    <row r="439" s="167" customFormat="1" x14ac:dyDescent="0.2"/>
    <row r="440" s="167" customFormat="1" x14ac:dyDescent="0.2"/>
    <row r="441" s="167" customFormat="1" x14ac:dyDescent="0.2"/>
    <row r="442" s="167" customFormat="1" x14ac:dyDescent="0.2"/>
    <row r="443" s="167" customFormat="1" x14ac:dyDescent="0.2"/>
    <row r="444" s="167" customFormat="1" x14ac:dyDescent="0.2"/>
    <row r="445" s="167" customFormat="1" x14ac:dyDescent="0.2"/>
    <row r="446" s="167" customFormat="1" x14ac:dyDescent="0.2"/>
    <row r="447" s="167" customFormat="1" x14ac:dyDescent="0.2"/>
    <row r="448" s="167" customFormat="1" x14ac:dyDescent="0.2"/>
    <row r="449" s="167" customFormat="1" x14ac:dyDescent="0.2"/>
    <row r="450" s="167" customFormat="1" x14ac:dyDescent="0.2"/>
    <row r="451" s="167" customFormat="1" x14ac:dyDescent="0.2"/>
    <row r="452" s="167" customFormat="1" x14ac:dyDescent="0.2"/>
    <row r="453" s="167" customFormat="1" x14ac:dyDescent="0.2"/>
    <row r="454" s="167" customFormat="1" x14ac:dyDescent="0.2"/>
    <row r="455" s="167" customFormat="1" x14ac:dyDescent="0.2"/>
    <row r="456" s="167" customFormat="1" x14ac:dyDescent="0.2"/>
    <row r="457" s="167" customFormat="1" x14ac:dyDescent="0.2"/>
    <row r="458" s="167" customFormat="1" x14ac:dyDescent="0.2"/>
    <row r="459" s="167" customFormat="1" x14ac:dyDescent="0.2"/>
    <row r="460" s="167" customFormat="1" x14ac:dyDescent="0.2"/>
    <row r="461" s="167" customFormat="1" x14ac:dyDescent="0.2"/>
    <row r="462" s="167" customFormat="1" x14ac:dyDescent="0.2"/>
    <row r="463" s="167" customFormat="1" x14ac:dyDescent="0.2"/>
    <row r="464" s="167" customFormat="1" x14ac:dyDescent="0.2"/>
    <row r="465" s="167" customFormat="1" x14ac:dyDescent="0.2"/>
    <row r="466" s="167" customFormat="1" x14ac:dyDescent="0.2"/>
    <row r="467" s="167" customFormat="1" x14ac:dyDescent="0.2"/>
    <row r="468" s="167" customFormat="1" x14ac:dyDescent="0.2"/>
    <row r="469" s="167" customFormat="1" x14ac:dyDescent="0.2"/>
    <row r="470" s="167" customFormat="1" x14ac:dyDescent="0.2"/>
    <row r="471" s="167" customFormat="1" x14ac:dyDescent="0.2"/>
    <row r="472" s="167" customFormat="1" x14ac:dyDescent="0.2"/>
    <row r="473" s="167" customFormat="1" x14ac:dyDescent="0.2"/>
    <row r="474" s="167" customFormat="1" x14ac:dyDescent="0.2"/>
    <row r="475" s="167" customFormat="1" x14ac:dyDescent="0.2"/>
    <row r="476" s="167" customFormat="1" x14ac:dyDescent="0.2"/>
    <row r="477" s="167" customFormat="1" x14ac:dyDescent="0.2"/>
    <row r="478" s="167" customFormat="1" x14ac:dyDescent="0.2"/>
    <row r="479" s="167" customFormat="1" x14ac:dyDescent="0.2"/>
    <row r="480" s="167" customFormat="1" x14ac:dyDescent="0.2"/>
    <row r="481" s="167" customFormat="1" x14ac:dyDescent="0.2"/>
    <row r="482" s="167" customFormat="1" x14ac:dyDescent="0.2"/>
    <row r="483" s="167" customFormat="1" x14ac:dyDescent="0.2"/>
    <row r="484" s="167" customFormat="1" x14ac:dyDescent="0.2"/>
    <row r="485" s="167" customFormat="1" x14ac:dyDescent="0.2"/>
    <row r="486" s="167" customFormat="1" x14ac:dyDescent="0.2"/>
    <row r="487" s="167" customFormat="1" x14ac:dyDescent="0.2"/>
    <row r="488" s="167" customFormat="1" x14ac:dyDescent="0.2"/>
    <row r="489" s="167" customFormat="1" x14ac:dyDescent="0.2"/>
    <row r="490" s="167" customFormat="1" x14ac:dyDescent="0.2"/>
    <row r="491" s="167" customFormat="1" x14ac:dyDescent="0.2"/>
    <row r="492" s="167" customFormat="1" x14ac:dyDescent="0.2"/>
    <row r="493" s="167" customFormat="1" x14ac:dyDescent="0.2"/>
    <row r="494" s="167" customFormat="1" x14ac:dyDescent="0.2"/>
    <row r="495" s="167" customFormat="1" x14ac:dyDescent="0.2"/>
    <row r="496" s="167" customFormat="1" x14ac:dyDescent="0.2"/>
    <row r="497" s="167" customFormat="1" x14ac:dyDescent="0.2"/>
    <row r="498" s="167" customFormat="1" x14ac:dyDescent="0.2"/>
    <row r="499" s="167" customFormat="1" x14ac:dyDescent="0.2"/>
    <row r="500" s="167" customFormat="1" x14ac:dyDescent="0.2"/>
    <row r="501" s="167" customFormat="1" x14ac:dyDescent="0.2"/>
    <row r="502" s="167" customFormat="1" x14ac:dyDescent="0.2"/>
    <row r="503" s="167" customFormat="1" x14ac:dyDescent="0.2"/>
    <row r="504" s="167" customFormat="1" x14ac:dyDescent="0.2"/>
    <row r="505" s="167" customFormat="1" x14ac:dyDescent="0.2"/>
    <row r="506" s="167" customFormat="1" x14ac:dyDescent="0.2"/>
    <row r="507" s="167" customFormat="1" x14ac:dyDescent="0.2"/>
    <row r="508" s="167" customFormat="1" x14ac:dyDescent="0.2"/>
    <row r="509" s="167" customFormat="1" x14ac:dyDescent="0.2"/>
    <row r="510" s="167" customFormat="1" x14ac:dyDescent="0.2"/>
    <row r="511" s="167" customFormat="1" x14ac:dyDescent="0.2"/>
    <row r="512" s="167" customFormat="1" x14ac:dyDescent="0.2"/>
    <row r="513" s="167" customFormat="1" x14ac:dyDescent="0.2"/>
    <row r="514" s="167" customFormat="1" x14ac:dyDescent="0.2"/>
    <row r="515" s="167" customFormat="1" x14ac:dyDescent="0.2"/>
    <row r="516" s="167" customFormat="1" x14ac:dyDescent="0.2"/>
    <row r="517" s="167" customFormat="1" x14ac:dyDescent="0.2"/>
    <row r="518" s="167" customFormat="1" x14ac:dyDescent="0.2"/>
    <row r="519" s="167" customFormat="1" x14ac:dyDescent="0.2"/>
    <row r="520" s="167" customFormat="1" x14ac:dyDescent="0.2"/>
    <row r="521" s="167" customFormat="1" x14ac:dyDescent="0.2"/>
    <row r="522" s="167" customFormat="1" x14ac:dyDescent="0.2"/>
    <row r="523" s="167" customFormat="1" x14ac:dyDescent="0.2"/>
    <row r="524" s="167" customFormat="1" x14ac:dyDescent="0.2"/>
    <row r="525" s="167" customFormat="1" x14ac:dyDescent="0.2"/>
    <row r="526" s="167" customFormat="1" x14ac:dyDescent="0.2"/>
    <row r="527" s="167" customFormat="1" x14ac:dyDescent="0.2"/>
    <row r="528" s="167" customFormat="1" x14ac:dyDescent="0.2"/>
    <row r="529" s="167" customFormat="1" x14ac:dyDescent="0.2"/>
    <row r="530" s="167" customFormat="1" x14ac:dyDescent="0.2"/>
    <row r="531" s="167" customFormat="1" x14ac:dyDescent="0.2"/>
    <row r="532" s="167" customFormat="1" x14ac:dyDescent="0.2"/>
    <row r="533" s="167" customFormat="1" x14ac:dyDescent="0.2"/>
    <row r="534" s="167" customFormat="1" x14ac:dyDescent="0.2"/>
    <row r="535" s="167" customFormat="1" x14ac:dyDescent="0.2"/>
    <row r="536" s="167" customFormat="1" x14ac:dyDescent="0.2"/>
    <row r="537" s="167" customFormat="1" x14ac:dyDescent="0.2"/>
    <row r="538" s="167" customFormat="1" x14ac:dyDescent="0.2"/>
    <row r="539" s="167" customFormat="1" x14ac:dyDescent="0.2"/>
    <row r="540" s="167" customFormat="1" x14ac:dyDescent="0.2"/>
    <row r="541" s="167" customFormat="1" x14ac:dyDescent="0.2"/>
    <row r="542" s="167" customFormat="1" x14ac:dyDescent="0.2"/>
    <row r="543" s="167" customFormat="1" x14ac:dyDescent="0.2"/>
    <row r="544" s="167" customFormat="1" x14ac:dyDescent="0.2"/>
    <row r="545" s="167" customFormat="1" x14ac:dyDescent="0.2"/>
    <row r="546" s="167" customFormat="1" x14ac:dyDescent="0.2"/>
    <row r="547" s="167" customFormat="1" x14ac:dyDescent="0.2"/>
    <row r="548" s="167" customFormat="1" x14ac:dyDescent="0.2"/>
    <row r="549" s="167" customFormat="1" x14ac:dyDescent="0.2"/>
    <row r="550" s="167" customFormat="1" x14ac:dyDescent="0.2"/>
    <row r="551" s="167" customFormat="1" x14ac:dyDescent="0.2"/>
    <row r="552" s="167" customFormat="1" x14ac:dyDescent="0.2"/>
    <row r="553" s="167" customFormat="1" x14ac:dyDescent="0.2"/>
    <row r="554" s="167" customFormat="1" x14ac:dyDescent="0.2"/>
    <row r="555" s="167" customFormat="1" x14ac:dyDescent="0.2"/>
    <row r="556" s="167" customFormat="1" x14ac:dyDescent="0.2"/>
    <row r="557" s="167" customFormat="1" x14ac:dyDescent="0.2"/>
    <row r="558" s="167" customFormat="1" x14ac:dyDescent="0.2"/>
    <row r="559" s="167" customFormat="1" x14ac:dyDescent="0.2"/>
    <row r="560" s="167" customFormat="1" x14ac:dyDescent="0.2"/>
    <row r="561" s="167" customFormat="1" x14ac:dyDescent="0.2"/>
    <row r="562" s="167" customFormat="1" x14ac:dyDescent="0.2"/>
    <row r="563" s="167" customFormat="1" x14ac:dyDescent="0.2"/>
    <row r="564" s="167" customFormat="1" x14ac:dyDescent="0.2"/>
    <row r="565" s="167" customFormat="1" x14ac:dyDescent="0.2"/>
    <row r="566" s="167" customFormat="1" x14ac:dyDescent="0.2"/>
    <row r="567" s="167" customFormat="1" x14ac:dyDescent="0.2"/>
    <row r="568" s="167" customFormat="1" x14ac:dyDescent="0.2"/>
    <row r="569" s="167" customFormat="1" x14ac:dyDescent="0.2"/>
    <row r="570" s="167" customFormat="1" x14ac:dyDescent="0.2"/>
    <row r="571" s="167" customFormat="1" x14ac:dyDescent="0.2"/>
    <row r="572" s="167" customFormat="1" x14ac:dyDescent="0.2"/>
    <row r="573" s="167" customFormat="1" x14ac:dyDescent="0.2"/>
    <row r="574" s="167" customFormat="1" x14ac:dyDescent="0.2"/>
    <row r="575" s="167" customFormat="1" x14ac:dyDescent="0.2"/>
    <row r="576" s="167" customFormat="1" x14ac:dyDescent="0.2"/>
    <row r="577" s="167" customFormat="1" x14ac:dyDescent="0.2"/>
    <row r="578" s="167" customFormat="1" x14ac:dyDescent="0.2"/>
    <row r="579" s="167" customFormat="1" x14ac:dyDescent="0.2"/>
    <row r="580" s="167" customFormat="1" x14ac:dyDescent="0.2"/>
    <row r="581" s="167" customFormat="1" x14ac:dyDescent="0.2"/>
    <row r="582" s="167" customFormat="1" x14ac:dyDescent="0.2"/>
    <row r="583" s="167" customFormat="1" x14ac:dyDescent="0.2"/>
    <row r="584" s="167" customFormat="1" x14ac:dyDescent="0.2"/>
    <row r="585" s="167" customFormat="1" x14ac:dyDescent="0.2"/>
    <row r="586" s="167" customFormat="1" x14ac:dyDescent="0.2"/>
    <row r="587" s="167" customFormat="1" x14ac:dyDescent="0.2"/>
    <row r="588" s="167" customFormat="1" x14ac:dyDescent="0.2"/>
    <row r="589" s="167" customFormat="1" x14ac:dyDescent="0.2"/>
    <row r="590" s="167" customFormat="1" x14ac:dyDescent="0.2"/>
    <row r="591" s="167" customFormat="1" x14ac:dyDescent="0.2"/>
    <row r="592" s="167" customFormat="1" x14ac:dyDescent="0.2"/>
    <row r="593" s="167" customFormat="1" x14ac:dyDescent="0.2"/>
    <row r="594" s="167" customFormat="1" x14ac:dyDescent="0.2"/>
    <row r="595" s="167" customFormat="1" x14ac:dyDescent="0.2"/>
    <row r="596" s="167" customFormat="1" x14ac:dyDescent="0.2"/>
    <row r="597" s="167" customFormat="1" x14ac:dyDescent="0.2"/>
    <row r="598" s="167" customFormat="1" x14ac:dyDescent="0.2"/>
    <row r="599" s="167" customFormat="1" x14ac:dyDescent="0.2"/>
    <row r="600" s="167" customFormat="1" x14ac:dyDescent="0.2"/>
    <row r="601" s="167" customFormat="1" x14ac:dyDescent="0.2"/>
    <row r="602" s="167" customFormat="1" x14ac:dyDescent="0.2"/>
    <row r="603" s="167" customFormat="1" x14ac:dyDescent="0.2"/>
    <row r="604" s="167" customFormat="1" x14ac:dyDescent="0.2"/>
    <row r="605" s="167" customFormat="1" x14ac:dyDescent="0.2"/>
    <row r="606" s="167" customFormat="1" x14ac:dyDescent="0.2"/>
    <row r="607" s="167" customFormat="1" x14ac:dyDescent="0.2"/>
    <row r="608" s="167" customFormat="1" x14ac:dyDescent="0.2"/>
    <row r="609" s="167" customFormat="1" x14ac:dyDescent="0.2"/>
    <row r="610" s="167" customFormat="1" x14ac:dyDescent="0.2"/>
    <row r="611" s="167" customFormat="1" x14ac:dyDescent="0.2"/>
    <row r="612" s="167" customFormat="1" x14ac:dyDescent="0.2"/>
    <row r="613" s="167" customFormat="1" x14ac:dyDescent="0.2"/>
    <row r="614" s="167" customFormat="1" x14ac:dyDescent="0.2"/>
    <row r="615" s="167" customFormat="1" x14ac:dyDescent="0.2"/>
    <row r="616" s="167" customFormat="1" x14ac:dyDescent="0.2"/>
    <row r="617" s="167" customFormat="1" x14ac:dyDescent="0.2"/>
    <row r="618" s="167" customFormat="1" x14ac:dyDescent="0.2"/>
    <row r="619" s="167" customFormat="1" x14ac:dyDescent="0.2"/>
    <row r="620" s="167" customFormat="1" x14ac:dyDescent="0.2"/>
    <row r="621" s="167" customFormat="1" x14ac:dyDescent="0.2"/>
    <row r="622" s="167" customFormat="1" x14ac:dyDescent="0.2"/>
    <row r="623" s="167" customFormat="1" x14ac:dyDescent="0.2"/>
    <row r="624" s="167" customFormat="1" x14ac:dyDescent="0.2"/>
    <row r="625" s="167" customFormat="1" x14ac:dyDescent="0.2"/>
    <row r="626" s="167" customFormat="1" x14ac:dyDescent="0.2"/>
    <row r="627" s="167" customFormat="1" x14ac:dyDescent="0.2"/>
    <row r="628" s="167" customFormat="1" x14ac:dyDescent="0.2"/>
    <row r="629" s="167" customFormat="1" x14ac:dyDescent="0.2"/>
    <row r="630" s="167" customFormat="1" x14ac:dyDescent="0.2"/>
    <row r="631" s="167" customFormat="1" x14ac:dyDescent="0.2"/>
    <row r="632" s="167" customFormat="1" x14ac:dyDescent="0.2"/>
    <row r="633" s="167" customFormat="1" x14ac:dyDescent="0.2"/>
    <row r="634" s="167" customFormat="1" x14ac:dyDescent="0.2"/>
    <row r="635" s="167" customFormat="1" x14ac:dyDescent="0.2"/>
    <row r="636" s="167" customFormat="1" x14ac:dyDescent="0.2"/>
    <row r="637" s="167" customFormat="1" x14ac:dyDescent="0.2"/>
    <row r="638" s="167" customFormat="1" x14ac:dyDescent="0.2"/>
    <row r="639" s="167" customFormat="1" x14ac:dyDescent="0.2"/>
    <row r="640" s="167" customFormat="1" x14ac:dyDescent="0.2"/>
    <row r="641" s="167" customFormat="1" x14ac:dyDescent="0.2"/>
    <row r="642" s="167" customFormat="1" x14ac:dyDescent="0.2"/>
    <row r="643" s="167" customFormat="1" x14ac:dyDescent="0.2"/>
    <row r="644" s="167" customFormat="1" x14ac:dyDescent="0.2"/>
    <row r="645" s="167" customFormat="1" x14ac:dyDescent="0.2"/>
    <row r="646" s="167" customFormat="1" x14ac:dyDescent="0.2"/>
    <row r="647" s="167" customFormat="1" x14ac:dyDescent="0.2"/>
    <row r="648" s="167" customFormat="1" x14ac:dyDescent="0.2"/>
    <row r="649" s="167" customFormat="1" x14ac:dyDescent="0.2"/>
    <row r="650" s="167" customFormat="1" x14ac:dyDescent="0.2"/>
    <row r="651" s="167" customFormat="1" x14ac:dyDescent="0.2"/>
    <row r="652" s="167" customFormat="1" x14ac:dyDescent="0.2"/>
    <row r="653" s="167" customFormat="1" x14ac:dyDescent="0.2"/>
    <row r="654" s="167" customFormat="1" x14ac:dyDescent="0.2"/>
    <row r="655" s="167" customFormat="1" x14ac:dyDescent="0.2"/>
    <row r="656" s="167" customFormat="1" x14ac:dyDescent="0.2"/>
    <row r="657" s="167" customFormat="1" x14ac:dyDescent="0.2"/>
    <row r="658" s="167" customFormat="1" x14ac:dyDescent="0.2"/>
    <row r="659" s="167" customFormat="1" x14ac:dyDescent="0.2"/>
    <row r="660" s="167" customFormat="1" x14ac:dyDescent="0.2"/>
    <row r="661" s="167" customFormat="1" x14ac:dyDescent="0.2"/>
    <row r="662" s="167" customFormat="1" x14ac:dyDescent="0.2"/>
    <row r="663" s="167" customFormat="1" x14ac:dyDescent="0.2"/>
    <row r="664" s="167" customFormat="1" x14ac:dyDescent="0.2"/>
    <row r="665" s="167" customFormat="1" x14ac:dyDescent="0.2"/>
    <row r="666" s="167" customFormat="1" x14ac:dyDescent="0.2"/>
    <row r="667" s="167" customFormat="1" x14ac:dyDescent="0.2"/>
    <row r="668" s="167" customFormat="1" x14ac:dyDescent="0.2"/>
    <row r="669" s="167" customFormat="1" x14ac:dyDescent="0.2"/>
    <row r="670" s="167" customFormat="1" x14ac:dyDescent="0.2"/>
    <row r="671" s="167" customFormat="1" x14ac:dyDescent="0.2"/>
    <row r="672" s="167" customFormat="1" x14ac:dyDescent="0.2"/>
    <row r="673" s="167" customFormat="1" x14ac:dyDescent="0.2"/>
    <row r="674" s="167" customFormat="1" x14ac:dyDescent="0.2"/>
    <row r="675" s="167" customFormat="1" x14ac:dyDescent="0.2"/>
    <row r="676" s="167" customFormat="1" x14ac:dyDescent="0.2"/>
    <row r="677" s="167" customFormat="1" x14ac:dyDescent="0.2"/>
    <row r="678" s="167" customFormat="1" x14ac:dyDescent="0.2"/>
    <row r="679" s="167" customFormat="1" x14ac:dyDescent="0.2"/>
    <row r="680" s="167" customFormat="1" x14ac:dyDescent="0.2"/>
    <row r="681" s="167" customFormat="1" x14ac:dyDescent="0.2"/>
    <row r="682" s="167" customFormat="1" x14ac:dyDescent="0.2"/>
    <row r="683" s="167" customFormat="1" x14ac:dyDescent="0.2"/>
    <row r="684" s="167" customFormat="1" x14ac:dyDescent="0.2"/>
    <row r="685" s="167" customFormat="1" x14ac:dyDescent="0.2"/>
    <row r="686" s="167" customFormat="1" x14ac:dyDescent="0.2"/>
    <row r="687" s="167" customFormat="1" x14ac:dyDescent="0.2"/>
    <row r="688" s="167" customFormat="1" x14ac:dyDescent="0.2"/>
    <row r="689" s="167" customFormat="1" x14ac:dyDescent="0.2"/>
    <row r="690" s="167" customFormat="1" x14ac:dyDescent="0.2"/>
    <row r="691" s="167" customFormat="1" x14ac:dyDescent="0.2"/>
    <row r="692" s="167" customFormat="1" x14ac:dyDescent="0.2"/>
    <row r="693" s="167" customFormat="1" x14ac:dyDescent="0.2"/>
    <row r="694" s="167" customFormat="1" x14ac:dyDescent="0.2"/>
    <row r="695" s="167" customFormat="1" x14ac:dyDescent="0.2"/>
    <row r="696" s="167" customFormat="1" x14ac:dyDescent="0.2"/>
    <row r="697" s="167" customFormat="1" x14ac:dyDescent="0.2"/>
    <row r="698" s="167" customFormat="1" x14ac:dyDescent="0.2"/>
    <row r="699" s="167" customFormat="1" x14ac:dyDescent="0.2"/>
    <row r="700" s="167" customFormat="1" x14ac:dyDescent="0.2"/>
    <row r="701" s="167" customFormat="1" x14ac:dyDescent="0.2"/>
    <row r="702" s="167" customFormat="1" x14ac:dyDescent="0.2"/>
    <row r="703" s="167" customFormat="1" x14ac:dyDescent="0.2"/>
    <row r="704" s="167" customFormat="1" x14ac:dyDescent="0.2"/>
    <row r="705" s="167" customFormat="1" x14ac:dyDescent="0.2"/>
    <row r="706" s="167" customFormat="1" x14ac:dyDescent="0.2"/>
    <row r="707" s="167" customFormat="1" x14ac:dyDescent="0.2"/>
    <row r="708" s="167" customFormat="1" x14ac:dyDescent="0.2"/>
    <row r="709" s="167" customFormat="1" x14ac:dyDescent="0.2"/>
    <row r="710" s="167" customFormat="1" x14ac:dyDescent="0.2"/>
    <row r="711" s="167" customFormat="1" x14ac:dyDescent="0.2"/>
    <row r="712" s="167" customFormat="1" x14ac:dyDescent="0.2"/>
    <row r="713" s="167" customFormat="1" x14ac:dyDescent="0.2"/>
    <row r="714" s="167" customFormat="1" x14ac:dyDescent="0.2"/>
    <row r="715" s="167" customFormat="1" x14ac:dyDescent="0.2"/>
    <row r="716" s="167" customFormat="1" x14ac:dyDescent="0.2"/>
    <row r="717" s="167" customFormat="1" x14ac:dyDescent="0.2"/>
    <row r="718" s="167" customFormat="1" x14ac:dyDescent="0.2"/>
    <row r="719" s="167" customFormat="1" x14ac:dyDescent="0.2"/>
    <row r="720" s="167" customFormat="1" x14ac:dyDescent="0.2"/>
    <row r="721" s="167" customFormat="1" x14ac:dyDescent="0.2"/>
    <row r="722" s="167" customFormat="1" x14ac:dyDescent="0.2"/>
    <row r="723" s="167" customFormat="1" x14ac:dyDescent="0.2"/>
    <row r="724" s="167" customFormat="1" x14ac:dyDescent="0.2"/>
    <row r="725" s="167" customFormat="1" x14ac:dyDescent="0.2"/>
    <row r="726" s="167" customFormat="1" x14ac:dyDescent="0.2"/>
    <row r="727" s="167" customFormat="1" x14ac:dyDescent="0.2"/>
    <row r="728" s="167" customFormat="1" x14ac:dyDescent="0.2"/>
    <row r="729" s="167" customFormat="1" x14ac:dyDescent="0.2"/>
    <row r="730" s="167" customFormat="1" x14ac:dyDescent="0.2"/>
    <row r="731" s="167" customFormat="1" x14ac:dyDescent="0.2"/>
    <row r="732" s="167" customFormat="1" x14ac:dyDescent="0.2"/>
    <row r="733" s="167" customFormat="1" x14ac:dyDescent="0.2"/>
    <row r="734" s="167" customFormat="1" x14ac:dyDescent="0.2"/>
    <row r="735" s="167" customFormat="1" x14ac:dyDescent="0.2"/>
    <row r="736" s="167" customFormat="1" x14ac:dyDescent="0.2"/>
    <row r="737" s="167" customFormat="1" x14ac:dyDescent="0.2"/>
    <row r="738" s="167" customFormat="1" x14ac:dyDescent="0.2"/>
    <row r="739" s="167" customFormat="1" x14ac:dyDescent="0.2"/>
    <row r="740" s="167" customFormat="1" x14ac:dyDescent="0.2"/>
    <row r="741" s="167" customFormat="1" x14ac:dyDescent="0.2"/>
    <row r="742" s="167" customFormat="1" x14ac:dyDescent="0.2"/>
    <row r="743" s="167" customFormat="1" x14ac:dyDescent="0.2"/>
    <row r="744" s="167" customFormat="1" x14ac:dyDescent="0.2"/>
    <row r="745" s="167" customFormat="1" x14ac:dyDescent="0.2"/>
    <row r="746" s="167" customFormat="1" x14ac:dyDescent="0.2"/>
    <row r="747" s="167" customFormat="1" x14ac:dyDescent="0.2"/>
    <row r="748" s="167" customFormat="1" x14ac:dyDescent="0.2"/>
    <row r="749" s="167" customFormat="1" x14ac:dyDescent="0.2"/>
    <row r="750" s="167" customFormat="1" x14ac:dyDescent="0.2"/>
    <row r="751" s="167" customFormat="1" x14ac:dyDescent="0.2"/>
    <row r="752" s="167" customFormat="1" x14ac:dyDescent="0.2"/>
    <row r="753" s="167" customFormat="1" x14ac:dyDescent="0.2"/>
    <row r="754" s="167" customFormat="1" x14ac:dyDescent="0.2"/>
    <row r="755" s="167" customFormat="1" x14ac:dyDescent="0.2"/>
    <row r="756" s="167" customFormat="1" x14ac:dyDescent="0.2"/>
    <row r="757" s="167" customFormat="1" x14ac:dyDescent="0.2"/>
    <row r="758" s="167" customFormat="1" x14ac:dyDescent="0.2"/>
    <row r="759" s="167" customFormat="1" x14ac:dyDescent="0.2"/>
    <row r="760" s="167" customFormat="1" x14ac:dyDescent="0.2"/>
    <row r="761" s="167" customFormat="1" x14ac:dyDescent="0.2"/>
    <row r="762" s="167" customFormat="1" x14ac:dyDescent="0.2"/>
    <row r="763" s="167" customFormat="1" x14ac:dyDescent="0.2"/>
    <row r="764" s="167" customFormat="1" x14ac:dyDescent="0.2"/>
    <row r="765" s="167" customFormat="1" x14ac:dyDescent="0.2"/>
    <row r="766" s="167" customFormat="1" x14ac:dyDescent="0.2"/>
    <row r="767" s="167" customFormat="1" x14ac:dyDescent="0.2"/>
    <row r="768" s="167" customFormat="1" x14ac:dyDescent="0.2"/>
    <row r="769" s="167" customFormat="1" x14ac:dyDescent="0.2"/>
    <row r="770" s="167" customFormat="1" x14ac:dyDescent="0.2"/>
    <row r="771" s="167" customFormat="1" x14ac:dyDescent="0.2"/>
    <row r="772" s="167" customFormat="1" x14ac:dyDescent="0.2"/>
    <row r="773" s="167" customFormat="1" x14ac:dyDescent="0.2"/>
    <row r="774" s="167" customFormat="1" x14ac:dyDescent="0.2"/>
    <row r="775" s="167" customFormat="1" x14ac:dyDescent="0.2"/>
    <row r="776" s="167" customFormat="1" x14ac:dyDescent="0.2"/>
    <row r="777" s="167" customFormat="1" x14ac:dyDescent="0.2"/>
    <row r="778" s="167" customFormat="1" x14ac:dyDescent="0.2"/>
    <row r="779" s="167" customFormat="1" x14ac:dyDescent="0.2"/>
    <row r="780" s="167" customFormat="1" x14ac:dyDescent="0.2"/>
    <row r="781" s="167" customFormat="1" x14ac:dyDescent="0.2"/>
    <row r="782" s="167" customFormat="1" x14ac:dyDescent="0.2"/>
    <row r="783" s="167" customFormat="1" x14ac:dyDescent="0.2"/>
    <row r="784" s="167" customFormat="1" x14ac:dyDescent="0.2"/>
    <row r="785" s="167" customFormat="1" x14ac:dyDescent="0.2"/>
    <row r="786" s="167" customFormat="1" x14ac:dyDescent="0.2"/>
    <row r="787" s="167" customFormat="1" x14ac:dyDescent="0.2"/>
    <row r="788" s="167" customFormat="1" x14ac:dyDescent="0.2"/>
    <row r="789" s="167" customFormat="1" x14ac:dyDescent="0.2"/>
    <row r="790" s="167" customFormat="1" x14ac:dyDescent="0.2"/>
    <row r="791" s="167" customFormat="1" x14ac:dyDescent="0.2"/>
    <row r="792" s="167" customFormat="1" x14ac:dyDescent="0.2"/>
    <row r="793" s="167" customFormat="1" x14ac:dyDescent="0.2"/>
    <row r="794" s="167" customFormat="1" x14ac:dyDescent="0.2"/>
    <row r="795" s="167" customFormat="1" x14ac:dyDescent="0.2"/>
    <row r="796" s="167" customFormat="1" x14ac:dyDescent="0.2"/>
    <row r="797" s="167" customFormat="1" x14ac:dyDescent="0.2"/>
    <row r="798" s="167" customFormat="1" x14ac:dyDescent="0.2"/>
    <row r="799" s="167" customFormat="1" x14ac:dyDescent="0.2"/>
    <row r="800" s="167" customFormat="1" x14ac:dyDescent="0.2"/>
    <row r="801" s="167" customFormat="1" x14ac:dyDescent="0.2"/>
    <row r="802" s="167" customFormat="1" x14ac:dyDescent="0.2"/>
    <row r="803" s="167" customFormat="1" x14ac:dyDescent="0.2"/>
    <row r="804" s="167" customFormat="1" x14ac:dyDescent="0.2"/>
    <row r="805" s="167" customFormat="1" x14ac:dyDescent="0.2"/>
    <row r="806" s="167" customFormat="1" x14ac:dyDescent="0.2"/>
    <row r="807" s="167" customFormat="1" x14ac:dyDescent="0.2"/>
    <row r="808" s="167" customFormat="1" x14ac:dyDescent="0.2"/>
    <row r="809" s="167" customFormat="1" x14ac:dyDescent="0.2"/>
    <row r="810" s="167" customFormat="1" x14ac:dyDescent="0.2"/>
    <row r="811" s="167" customFormat="1" x14ac:dyDescent="0.2"/>
    <row r="812" s="167" customFormat="1" x14ac:dyDescent="0.2"/>
    <row r="813" s="167" customFormat="1" x14ac:dyDescent="0.2"/>
    <row r="814" s="167" customFormat="1" x14ac:dyDescent="0.2"/>
    <row r="815" s="167" customFormat="1" x14ac:dyDescent="0.2"/>
    <row r="816" s="167" customFormat="1" x14ac:dyDescent="0.2"/>
    <row r="817" s="167" customFormat="1" x14ac:dyDescent="0.2"/>
    <row r="818" s="167" customFormat="1" x14ac:dyDescent="0.2"/>
    <row r="819" s="167" customFormat="1" x14ac:dyDescent="0.2"/>
    <row r="820" s="167" customFormat="1" x14ac:dyDescent="0.2"/>
    <row r="821" s="167" customFormat="1" x14ac:dyDescent="0.2"/>
    <row r="822" s="167" customFormat="1" x14ac:dyDescent="0.2"/>
    <row r="823" s="167" customFormat="1" x14ac:dyDescent="0.2"/>
    <row r="824" s="167" customFormat="1" x14ac:dyDescent="0.2"/>
    <row r="825" s="167" customFormat="1" x14ac:dyDescent="0.2"/>
    <row r="826" s="167" customFormat="1" x14ac:dyDescent="0.2"/>
    <row r="827" s="167" customFormat="1" x14ac:dyDescent="0.2"/>
    <row r="828" s="167" customFormat="1" x14ac:dyDescent="0.2"/>
    <row r="829" s="167" customFormat="1" x14ac:dyDescent="0.2"/>
    <row r="830" s="167" customFormat="1" x14ac:dyDescent="0.2"/>
    <row r="831" s="167" customFormat="1" x14ac:dyDescent="0.2"/>
    <row r="832" s="167" customFormat="1" x14ac:dyDescent="0.2"/>
    <row r="833" s="167" customFormat="1" x14ac:dyDescent="0.2"/>
    <row r="834" s="167" customFormat="1" x14ac:dyDescent="0.2"/>
    <row r="835" s="167" customFormat="1" x14ac:dyDescent="0.2"/>
    <row r="836" s="167" customFormat="1" x14ac:dyDescent="0.2"/>
    <row r="837" s="167" customFormat="1" x14ac:dyDescent="0.2"/>
    <row r="838" s="167" customFormat="1" x14ac:dyDescent="0.2"/>
    <row r="839" s="167" customFormat="1" x14ac:dyDescent="0.2"/>
    <row r="840" s="167" customFormat="1" x14ac:dyDescent="0.2"/>
    <row r="841" s="167" customFormat="1" x14ac:dyDescent="0.2"/>
    <row r="842" s="167" customFormat="1" x14ac:dyDescent="0.2"/>
    <row r="843" s="167" customFormat="1" x14ac:dyDescent="0.2"/>
    <row r="844" s="167" customFormat="1" x14ac:dyDescent="0.2"/>
    <row r="845" s="167" customFormat="1" x14ac:dyDescent="0.2"/>
    <row r="846" s="167" customFormat="1" x14ac:dyDescent="0.2"/>
    <row r="847" s="167" customFormat="1" x14ac:dyDescent="0.2"/>
    <row r="848" s="167" customFormat="1" x14ac:dyDescent="0.2"/>
    <row r="849" s="167" customFormat="1" x14ac:dyDescent="0.2"/>
    <row r="850" s="167" customFormat="1" x14ac:dyDescent="0.2"/>
    <row r="851" s="167" customFormat="1" x14ac:dyDescent="0.2"/>
    <row r="852" s="167" customFormat="1" x14ac:dyDescent="0.2"/>
    <row r="853" s="167" customFormat="1" x14ac:dyDescent="0.2"/>
    <row r="854" s="167" customFormat="1" x14ac:dyDescent="0.2"/>
    <row r="855" s="167" customFormat="1" x14ac:dyDescent="0.2"/>
    <row r="856" s="167" customFormat="1" x14ac:dyDescent="0.2"/>
    <row r="857" s="167" customFormat="1" x14ac:dyDescent="0.2"/>
    <row r="858" s="167" customFormat="1" x14ac:dyDescent="0.2"/>
    <row r="859" s="167" customFormat="1" x14ac:dyDescent="0.2"/>
    <row r="860" s="167" customFormat="1" x14ac:dyDescent="0.2"/>
    <row r="861" s="167" customFormat="1" x14ac:dyDescent="0.2"/>
    <row r="862" s="167" customFormat="1" x14ac:dyDescent="0.2"/>
    <row r="863" s="167" customFormat="1" x14ac:dyDescent="0.2"/>
    <row r="864" s="167" customFormat="1" x14ac:dyDescent="0.2"/>
    <row r="865" s="167" customFormat="1" x14ac:dyDescent="0.2"/>
    <row r="866" s="167" customFormat="1" x14ac:dyDescent="0.2"/>
    <row r="867" s="167" customFormat="1" x14ac:dyDescent="0.2"/>
    <row r="868" s="167" customFormat="1" x14ac:dyDescent="0.2"/>
    <row r="869" s="167" customFormat="1" x14ac:dyDescent="0.2"/>
    <row r="870" s="167" customFormat="1" x14ac:dyDescent="0.2"/>
    <row r="871" s="167" customFormat="1" x14ac:dyDescent="0.2"/>
    <row r="872" s="167" customFormat="1" x14ac:dyDescent="0.2"/>
    <row r="873" s="167" customFormat="1" x14ac:dyDescent="0.2"/>
    <row r="874" s="167" customFormat="1" x14ac:dyDescent="0.2"/>
    <row r="875" s="167" customFormat="1" x14ac:dyDescent="0.2"/>
    <row r="876" s="167" customFormat="1" x14ac:dyDescent="0.2"/>
    <row r="877" s="167" customFormat="1" x14ac:dyDescent="0.2"/>
    <row r="878" s="167" customFormat="1" x14ac:dyDescent="0.2"/>
    <row r="879" s="167" customFormat="1" x14ac:dyDescent="0.2"/>
    <row r="880" s="167" customFormat="1" x14ac:dyDescent="0.2"/>
    <row r="881" s="167" customFormat="1" x14ac:dyDescent="0.2"/>
    <row r="882" s="167" customFormat="1" x14ac:dyDescent="0.2"/>
    <row r="883" s="167" customFormat="1" x14ac:dyDescent="0.2"/>
    <row r="884" s="167" customFormat="1" x14ac:dyDescent="0.2"/>
    <row r="885" s="167" customFormat="1" x14ac:dyDescent="0.2"/>
    <row r="886" s="167" customFormat="1" x14ac:dyDescent="0.2"/>
    <row r="887" s="167" customFormat="1" x14ac:dyDescent="0.2"/>
    <row r="888" s="167" customFormat="1" x14ac:dyDescent="0.2"/>
    <row r="889" s="167" customFormat="1" x14ac:dyDescent="0.2"/>
    <row r="890" s="167" customFormat="1" x14ac:dyDescent="0.2"/>
    <row r="891" s="167" customFormat="1" x14ac:dyDescent="0.2"/>
    <row r="892" s="167" customFormat="1" x14ac:dyDescent="0.2"/>
    <row r="893" s="167" customFormat="1" x14ac:dyDescent="0.2"/>
    <row r="894" s="167" customFormat="1" x14ac:dyDescent="0.2"/>
    <row r="895" s="167" customFormat="1" x14ac:dyDescent="0.2"/>
    <row r="896" s="167" customFormat="1" x14ac:dyDescent="0.2"/>
    <row r="897" s="167" customFormat="1" x14ac:dyDescent="0.2"/>
    <row r="898" s="167" customFormat="1" x14ac:dyDescent="0.2"/>
    <row r="899" s="167" customFormat="1" x14ac:dyDescent="0.2"/>
    <row r="900" s="167" customFormat="1" x14ac:dyDescent="0.2"/>
    <row r="901" s="167" customFormat="1" x14ac:dyDescent="0.2"/>
    <row r="902" s="167" customFormat="1" x14ac:dyDescent="0.2"/>
  </sheetData>
  <sheetProtection algorithmName="SHA-512" hashValue="LHjEMXIuLksEj4tK1Z2iKWfu5IehX25FnFiS7QAE64ZlKvpvwouciW0UHoIz5TwEBUw3nZr2d2Msiohwe3Q+ZQ==" saltValue="0AYgHmGtAC/PoH4GCVXBGA==" spinCount="100000" sheet="1" objects="1" scenarios="1"/>
  <customSheetViews>
    <customSheetView guid="{C8C7977F-B6BF-432B-A1A7-559450D521AF}" scale="83">
      <selection activeCell="B37" sqref="B37"/>
      <pageMargins left="0.75" right="0.75" top="1" bottom="1" header="0.5" footer="0.5"/>
      <pageSetup paperSize="9" orientation="portrait" r:id="rId1"/>
      <headerFooter alignWithMargins="0"/>
    </customSheetView>
  </customSheetViews>
  <mergeCells count="6">
    <mergeCell ref="A9:D9"/>
    <mergeCell ref="A12:D12"/>
    <mergeCell ref="A1:E1"/>
    <mergeCell ref="B16:C16"/>
    <mergeCell ref="D17:D18"/>
    <mergeCell ref="E17:E18"/>
  </mergeCells>
  <conditionalFormatting sqref="C17:C30 D16:E30">
    <cfRule type="expression" dxfId="64" priority="2">
      <formula>$E$6="ex-ante"</formula>
    </cfRule>
  </conditionalFormatting>
  <conditionalFormatting sqref="A23:E25 A29:E29">
    <cfRule type="expression" dxfId="63" priority="1">
      <formula>$A$12="gas"</formula>
    </cfRule>
  </conditionalFormatting>
  <pageMargins left="0.74803149606299213" right="0.74803149606299213" top="0.98425196850393704" bottom="0.98425196850393704" header="0.51181102362204722" footer="0.51181102362204722"/>
  <pageSetup paperSize="8" orientation="portrait" r:id="rId2"/>
  <headerFooter alignWithMargins="0"/>
  <colBreaks count="1" manualBreakCount="1">
    <brk id="6" max="1048575" man="1"/>
  </colBreaks>
  <ignoredErrors>
    <ignoredError sqref="C30 B28:C29 B30"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dimension ref="A1:V248"/>
  <sheetViews>
    <sheetView topLeftCell="A94" zoomScale="85" zoomScaleNormal="85" workbookViewId="0">
      <selection activeCell="B141" sqref="B141"/>
    </sheetView>
  </sheetViews>
  <sheetFormatPr defaultColWidth="8.85546875" defaultRowHeight="12.75" x14ac:dyDescent="0.2"/>
  <cols>
    <col min="1" max="1" width="3.42578125" style="167" customWidth="1"/>
    <col min="2" max="2" width="60.42578125" style="581" customWidth="1"/>
    <col min="3" max="3" width="18" style="220" customWidth="1"/>
    <col min="4" max="4" width="26.140625" style="167" customWidth="1"/>
    <col min="5" max="5" width="26.140625" style="212" customWidth="1"/>
    <col min="6" max="6" width="12.85546875" style="220" customWidth="1"/>
    <col min="7" max="7" width="2.5703125" style="167" customWidth="1"/>
    <col min="8" max="8" width="26.42578125" style="220" customWidth="1"/>
    <col min="9" max="9" width="8.85546875" style="224"/>
    <col min="10" max="16384" width="8.85546875" style="167"/>
  </cols>
  <sheetData>
    <row r="1" spans="1:22" ht="23.1" customHeight="1" thickBot="1" x14ac:dyDescent="0.25">
      <c r="A1" s="1178" t="s">
        <v>201</v>
      </c>
      <c r="B1" s="1179"/>
      <c r="C1" s="1179"/>
      <c r="D1" s="1179"/>
      <c r="E1" s="1179"/>
      <c r="F1" s="1179"/>
      <c r="G1" s="1179"/>
      <c r="H1" s="1180"/>
      <c r="I1" s="580"/>
      <c r="J1" s="296"/>
      <c r="K1" s="296"/>
      <c r="L1" s="296"/>
      <c r="M1" s="296"/>
      <c r="N1" s="209"/>
      <c r="O1" s="209" t="str">
        <f>+TITELBLAD!B16</f>
        <v>Rapportering over boekjaar:</v>
      </c>
      <c r="P1" s="209"/>
      <c r="Q1" s="209"/>
      <c r="R1" s="209">
        <f>+TITELBLAD!E16</f>
        <v>2021</v>
      </c>
      <c r="S1" s="209" t="str">
        <f>+TITELBLAD!F16</f>
        <v>ex-ante</v>
      </c>
      <c r="T1" s="209" t="str">
        <f>+R1&amp;S1</f>
        <v>2021ex-ante</v>
      </c>
      <c r="U1" s="209"/>
      <c r="V1" s="296"/>
    </row>
    <row r="2" spans="1:22" x14ac:dyDescent="0.2">
      <c r="I2" s="580"/>
      <c r="J2" s="296"/>
      <c r="K2" s="296"/>
      <c r="L2" s="296"/>
      <c r="M2" s="296"/>
      <c r="N2" s="209"/>
      <c r="O2" s="209"/>
      <c r="P2" s="209"/>
      <c r="Q2" s="209"/>
      <c r="R2" s="209"/>
      <c r="S2" s="209"/>
      <c r="T2" s="209"/>
      <c r="U2" s="209"/>
      <c r="V2" s="296"/>
    </row>
    <row r="3" spans="1:22" x14ac:dyDescent="0.2">
      <c r="B3" s="582" t="s">
        <v>37</v>
      </c>
      <c r="F3" s="167"/>
      <c r="H3" s="167"/>
      <c r="I3" s="583"/>
      <c r="J3" s="296"/>
      <c r="K3" s="296"/>
      <c r="L3" s="296"/>
      <c r="M3" s="296"/>
      <c r="N3" s="209"/>
      <c r="O3" s="209"/>
      <c r="P3" s="209"/>
      <c r="Q3" s="209"/>
      <c r="R3" s="209"/>
      <c r="S3" s="209"/>
      <c r="T3" s="209"/>
      <c r="U3" s="209"/>
      <c r="V3" s="296"/>
    </row>
    <row r="4" spans="1:22" x14ac:dyDescent="0.2">
      <c r="B4" s="224" t="s">
        <v>96</v>
      </c>
      <c r="F4" s="167"/>
      <c r="H4" s="167"/>
      <c r="I4" s="583"/>
      <c r="J4" s="296"/>
      <c r="K4" s="296"/>
      <c r="L4" s="296"/>
      <c r="M4" s="296"/>
      <c r="N4" s="209"/>
      <c r="O4" s="209"/>
      <c r="P4" s="209"/>
      <c r="Q4" s="209"/>
      <c r="R4" s="209"/>
      <c r="S4" s="209"/>
      <c r="T4" s="209"/>
      <c r="U4" s="209"/>
      <c r="V4" s="296"/>
    </row>
    <row r="5" spans="1:22" x14ac:dyDescent="0.2">
      <c r="B5" s="494"/>
      <c r="F5" s="167"/>
      <c r="H5" s="167"/>
      <c r="I5" s="583"/>
      <c r="J5" s="296"/>
      <c r="K5" s="296"/>
      <c r="L5" s="296"/>
      <c r="M5" s="296"/>
      <c r="N5" s="209"/>
      <c r="O5" s="209"/>
      <c r="P5" s="209"/>
      <c r="Q5" s="209"/>
      <c r="R5" s="209"/>
      <c r="S5" s="209"/>
      <c r="T5" s="209"/>
      <c r="U5" s="209"/>
      <c r="V5" s="296"/>
    </row>
    <row r="6" spans="1:22" x14ac:dyDescent="0.2">
      <c r="B6" s="358" t="s">
        <v>202</v>
      </c>
      <c r="F6" s="167"/>
      <c r="H6" s="167"/>
      <c r="I6" s="583"/>
      <c r="J6" s="296"/>
      <c r="K6" s="296"/>
      <c r="L6" s="296"/>
      <c r="M6" s="296"/>
      <c r="N6" s="209"/>
      <c r="O6" s="209"/>
      <c r="P6" s="209"/>
      <c r="Q6" s="209"/>
      <c r="R6" s="209"/>
      <c r="S6" s="209"/>
      <c r="T6" s="209"/>
      <c r="U6" s="209"/>
      <c r="V6" s="296"/>
    </row>
    <row r="7" spans="1:22" x14ac:dyDescent="0.2">
      <c r="B7" s="224" t="s">
        <v>203</v>
      </c>
      <c r="E7" s="167"/>
      <c r="F7" s="167"/>
      <c r="H7" s="167"/>
      <c r="I7" s="583"/>
      <c r="J7" s="296"/>
      <c r="K7" s="296"/>
      <c r="L7" s="296"/>
      <c r="M7" s="296"/>
      <c r="N7" s="296"/>
      <c r="O7" s="296"/>
      <c r="P7" s="296"/>
      <c r="Q7" s="296"/>
      <c r="R7" s="296"/>
      <c r="S7" s="296"/>
      <c r="T7" s="296"/>
      <c r="U7" s="209"/>
      <c r="V7" s="296"/>
    </row>
    <row r="8" spans="1:22" x14ac:dyDescent="0.2">
      <c r="B8" s="494"/>
      <c r="E8" s="167"/>
      <c r="F8" s="167"/>
      <c r="H8" s="167"/>
      <c r="I8" s="583"/>
      <c r="J8" s="296"/>
      <c r="K8" s="296"/>
      <c r="L8" s="296"/>
      <c r="M8" s="296"/>
      <c r="N8" s="296"/>
      <c r="O8" s="296"/>
      <c r="P8" s="296"/>
      <c r="Q8" s="296"/>
      <c r="R8" s="296"/>
      <c r="S8" s="296"/>
      <c r="T8" s="296"/>
      <c r="U8" s="296"/>
      <c r="V8" s="296"/>
    </row>
    <row r="9" spans="1:22" x14ac:dyDescent="0.2">
      <c r="F9" s="167"/>
      <c r="H9" s="167"/>
      <c r="I9" s="583"/>
      <c r="J9" s="296"/>
      <c r="K9" s="296"/>
      <c r="L9" s="296"/>
      <c r="M9" s="296"/>
      <c r="N9" s="296"/>
      <c r="O9" s="296"/>
      <c r="P9" s="296"/>
      <c r="Q9" s="296"/>
      <c r="R9" s="296"/>
      <c r="S9" s="296"/>
      <c r="T9" s="296"/>
      <c r="U9" s="296"/>
      <c r="V9" s="296"/>
    </row>
    <row r="10" spans="1:22" x14ac:dyDescent="0.2">
      <c r="D10" s="166" t="s">
        <v>0</v>
      </c>
      <c r="E10" s="166" t="s">
        <v>1</v>
      </c>
      <c r="I10" s="580"/>
      <c r="J10" s="296"/>
      <c r="K10" s="296"/>
      <c r="L10" s="296"/>
      <c r="M10" s="296"/>
      <c r="N10" s="296"/>
      <c r="O10" s="296"/>
      <c r="P10" s="296"/>
      <c r="Q10" s="296"/>
      <c r="R10" s="296"/>
      <c r="S10" s="296"/>
      <c r="T10" s="296"/>
      <c r="U10" s="296"/>
      <c r="V10" s="296"/>
    </row>
    <row r="11" spans="1:22" x14ac:dyDescent="0.2">
      <c r="D11" s="657" t="s">
        <v>2</v>
      </c>
      <c r="E11" s="657" t="s">
        <v>2</v>
      </c>
      <c r="I11" s="580"/>
      <c r="J11" s="296"/>
      <c r="K11" s="296"/>
      <c r="L11" s="296"/>
      <c r="M11" s="296"/>
      <c r="N11" s="296"/>
      <c r="O11" s="296"/>
      <c r="P11" s="296"/>
      <c r="Q11" s="296"/>
      <c r="R11" s="296"/>
      <c r="S11" s="296"/>
      <c r="T11" s="296"/>
      <c r="U11" s="296"/>
      <c r="V11" s="296"/>
    </row>
    <row r="12" spans="1:22" x14ac:dyDescent="0.2">
      <c r="D12" s="657">
        <f>'T2 - Overzicht'!D6</f>
        <v>2021</v>
      </c>
      <c r="E12" s="657">
        <f>$D$12</f>
        <v>2021</v>
      </c>
      <c r="I12" s="580"/>
      <c r="J12" s="296"/>
      <c r="K12" s="296"/>
      <c r="L12" s="296"/>
      <c r="M12" s="296"/>
      <c r="N12" s="296"/>
      <c r="O12" s="296"/>
      <c r="P12" s="296"/>
      <c r="Q12" s="296"/>
      <c r="R12" s="296"/>
      <c r="S12" s="296"/>
      <c r="T12" s="296"/>
      <c r="U12" s="296"/>
      <c r="V12" s="296"/>
    </row>
    <row r="13" spans="1:22" x14ac:dyDescent="0.2">
      <c r="D13" s="657" t="str">
        <f>+TITELBLAD!$C$7</f>
        <v>NAAM DNB</v>
      </c>
      <c r="E13" s="657" t="str">
        <f>+TITELBLAD!$C$7</f>
        <v>NAAM DNB</v>
      </c>
      <c r="I13" s="580"/>
      <c r="J13" s="296"/>
      <c r="K13" s="296"/>
      <c r="L13" s="296"/>
      <c r="M13" s="296"/>
      <c r="N13" s="296"/>
      <c r="O13" s="296"/>
      <c r="P13" s="296"/>
      <c r="Q13" s="296"/>
      <c r="R13" s="296"/>
      <c r="S13" s="296"/>
      <c r="T13" s="296"/>
      <c r="U13" s="296"/>
      <c r="V13" s="296"/>
    </row>
    <row r="14" spans="1:22" x14ac:dyDescent="0.2">
      <c r="D14" s="657" t="str">
        <f>TITELBLAD!$C$10</f>
        <v>gas</v>
      </c>
      <c r="E14" s="657" t="str">
        <f>TITELBLAD!$C$10</f>
        <v>gas</v>
      </c>
      <c r="I14" s="580"/>
      <c r="J14" s="296"/>
      <c r="K14" s="296"/>
      <c r="L14" s="296"/>
      <c r="M14" s="296"/>
      <c r="N14" s="296"/>
      <c r="O14" s="296"/>
      <c r="P14" s="296"/>
      <c r="Q14" s="296"/>
      <c r="R14" s="296"/>
      <c r="S14" s="296"/>
      <c r="T14" s="296"/>
      <c r="U14" s="296"/>
      <c r="V14" s="296"/>
    </row>
    <row r="15" spans="1:22" x14ac:dyDescent="0.2">
      <c r="D15" s="658"/>
      <c r="E15" s="658"/>
      <c r="I15" s="580"/>
      <c r="J15" s="296"/>
      <c r="K15" s="296"/>
      <c r="L15" s="296"/>
      <c r="M15" s="296"/>
      <c r="N15" s="296"/>
      <c r="O15" s="296"/>
      <c r="P15" s="296"/>
      <c r="Q15" s="296"/>
      <c r="R15" s="296"/>
      <c r="S15" s="296"/>
      <c r="T15" s="296"/>
      <c r="U15" s="296"/>
      <c r="V15" s="296"/>
    </row>
    <row r="16" spans="1:22" ht="12.95" customHeight="1" x14ac:dyDescent="0.2">
      <c r="B16" s="1211" t="s">
        <v>103</v>
      </c>
      <c r="C16" s="1214" t="s">
        <v>401</v>
      </c>
      <c r="D16" s="1217"/>
      <c r="E16" s="1221"/>
      <c r="F16" s="1218" t="s">
        <v>104</v>
      </c>
      <c r="H16" s="1218" t="s">
        <v>140</v>
      </c>
      <c r="I16" s="580"/>
      <c r="J16" s="296"/>
      <c r="K16" s="296"/>
      <c r="L16" s="296"/>
      <c r="M16" s="296"/>
      <c r="N16" s="296"/>
      <c r="O16" s="296"/>
      <c r="P16" s="296"/>
      <c r="Q16" s="296"/>
      <c r="R16" s="296"/>
      <c r="S16" s="296"/>
      <c r="T16" s="296"/>
      <c r="U16" s="296"/>
      <c r="V16" s="296"/>
    </row>
    <row r="17" spans="1:22" x14ac:dyDescent="0.2">
      <c r="B17" s="1212"/>
      <c r="C17" s="1215"/>
      <c r="D17" s="1217"/>
      <c r="E17" s="1222"/>
      <c r="F17" s="1219"/>
      <c r="H17" s="1219"/>
      <c r="L17" s="296"/>
      <c r="M17" s="296"/>
      <c r="N17" s="296"/>
      <c r="O17" s="296"/>
      <c r="P17" s="296"/>
      <c r="Q17" s="296"/>
      <c r="R17" s="296"/>
      <c r="S17" s="296"/>
      <c r="T17" s="296"/>
      <c r="U17" s="296"/>
      <c r="V17" s="296"/>
    </row>
    <row r="18" spans="1:22" x14ac:dyDescent="0.2">
      <c r="B18" s="1213"/>
      <c r="C18" s="1216"/>
      <c r="D18" s="1217"/>
      <c r="E18" s="1223"/>
      <c r="F18" s="1220"/>
      <c r="H18" s="1220"/>
      <c r="L18" s="296"/>
      <c r="M18" s="296"/>
      <c r="N18" s="296"/>
      <c r="O18" s="296"/>
      <c r="P18" s="296"/>
      <c r="Q18" s="296"/>
      <c r="R18" s="296"/>
      <c r="S18" s="296"/>
      <c r="T18" s="296"/>
      <c r="U18" s="296"/>
      <c r="V18" s="296"/>
    </row>
    <row r="19" spans="1:22" s="661" customFormat="1" x14ac:dyDescent="0.2">
      <c r="B19" s="960"/>
      <c r="C19" s="663"/>
      <c r="F19" s="663"/>
      <c r="H19" s="663"/>
      <c r="I19" s="664"/>
      <c r="L19" s="669"/>
      <c r="M19" s="669"/>
      <c r="N19" s="669"/>
      <c r="O19" s="669"/>
      <c r="P19" s="669"/>
      <c r="Q19" s="669"/>
      <c r="R19" s="669"/>
      <c r="S19" s="669"/>
      <c r="T19" s="669"/>
      <c r="U19" s="669"/>
      <c r="V19" s="669"/>
    </row>
    <row r="20" spans="1:22" s="661" customFormat="1" x14ac:dyDescent="0.2">
      <c r="B20" s="960"/>
      <c r="C20" s="663"/>
      <c r="F20" s="663"/>
      <c r="H20" s="663"/>
      <c r="I20" s="664"/>
      <c r="L20" s="669"/>
      <c r="M20" s="669"/>
      <c r="N20" s="669"/>
      <c r="O20" s="669"/>
      <c r="P20" s="669"/>
      <c r="Q20" s="669"/>
      <c r="R20" s="669"/>
      <c r="S20" s="669"/>
      <c r="T20" s="669"/>
      <c r="U20" s="669"/>
      <c r="V20" s="669"/>
    </row>
    <row r="21" spans="1:22" s="661" customFormat="1" ht="17.45" customHeight="1" x14ac:dyDescent="0.2">
      <c r="B21" s="961" t="s">
        <v>257</v>
      </c>
      <c r="C21" s="962"/>
      <c r="D21" s="963"/>
      <c r="E21" s="963"/>
      <c r="F21" s="962"/>
      <c r="G21" s="963"/>
      <c r="H21" s="964"/>
      <c r="I21" s="664"/>
      <c r="L21" s="669"/>
      <c r="M21" s="669"/>
      <c r="N21" s="669"/>
      <c r="O21" s="669"/>
      <c r="P21" s="669"/>
      <c r="Q21" s="669"/>
      <c r="R21" s="669"/>
      <c r="S21" s="669"/>
      <c r="T21" s="669"/>
      <c r="U21" s="669"/>
      <c r="V21" s="669"/>
    </row>
    <row r="22" spans="1:22" s="661" customFormat="1" x14ac:dyDescent="0.2">
      <c r="B22" s="960"/>
      <c r="C22" s="663"/>
      <c r="F22" s="663"/>
      <c r="H22" s="663"/>
      <c r="I22" s="664"/>
      <c r="L22" s="669"/>
      <c r="M22" s="669"/>
      <c r="N22" s="669"/>
      <c r="O22" s="669"/>
      <c r="P22" s="669"/>
      <c r="Q22" s="669"/>
      <c r="R22" s="669"/>
      <c r="S22" s="669"/>
      <c r="T22" s="669"/>
      <c r="U22" s="669"/>
      <c r="V22" s="669"/>
    </row>
    <row r="23" spans="1:22" ht="55.5" customHeight="1" x14ac:dyDescent="0.2">
      <c r="A23" s="167">
        <v>1</v>
      </c>
      <c r="B23" s="180" t="s">
        <v>121</v>
      </c>
      <c r="C23" s="2" t="s">
        <v>102</v>
      </c>
      <c r="D23" s="197"/>
      <c r="E23" s="197"/>
      <c r="F23" s="193"/>
      <c r="H23" s="193"/>
      <c r="L23" s="296"/>
      <c r="M23" s="296"/>
      <c r="N23" s="296"/>
      <c r="O23" s="296"/>
      <c r="P23" s="296"/>
      <c r="Q23" s="296"/>
      <c r="R23" s="296"/>
      <c r="S23" s="296"/>
      <c r="T23" s="296"/>
      <c r="U23" s="296"/>
      <c r="V23" s="296"/>
    </row>
    <row r="24" spans="1:22" ht="27.95" customHeight="1" x14ac:dyDescent="0.2">
      <c r="B24" s="175" t="s">
        <v>107</v>
      </c>
      <c r="C24" s="206"/>
      <c r="D24" s="189">
        <f>-T4B!G224</f>
        <v>0</v>
      </c>
      <c r="E24" s="189">
        <f>+D24</f>
        <v>0</v>
      </c>
      <c r="F24" s="195" t="s">
        <v>4</v>
      </c>
      <c r="H24" s="195"/>
    </row>
    <row r="25" spans="1:22" x14ac:dyDescent="0.2">
      <c r="L25" s="296"/>
      <c r="M25" s="296"/>
      <c r="N25" s="296"/>
      <c r="O25" s="296"/>
      <c r="P25" s="296"/>
      <c r="Q25" s="296"/>
      <c r="R25" s="296"/>
      <c r="S25" s="296"/>
      <c r="T25" s="296"/>
      <c r="U25" s="296"/>
      <c r="V25" s="296"/>
    </row>
    <row r="26" spans="1:22" ht="72.75" customHeight="1" x14ac:dyDescent="0.2">
      <c r="A26" s="167">
        <f>+A23+1</f>
        <v>2</v>
      </c>
      <c r="B26" s="180" t="s">
        <v>369</v>
      </c>
      <c r="C26" s="2" t="s">
        <v>117</v>
      </c>
      <c r="D26" s="197"/>
      <c r="E26" s="197"/>
      <c r="F26" s="193"/>
      <c r="H26" s="193"/>
    </row>
    <row r="27" spans="1:22" ht="27.95" customHeight="1" x14ac:dyDescent="0.2">
      <c r="B27" s="175" t="s">
        <v>107</v>
      </c>
      <c r="C27" s="160"/>
      <c r="D27" s="189">
        <f>-T5B!G224</f>
        <v>0</v>
      </c>
      <c r="E27" s="189">
        <f>+D27</f>
        <v>0</v>
      </c>
      <c r="F27" s="195" t="s">
        <v>4</v>
      </c>
      <c r="H27" s="195"/>
    </row>
    <row r="28" spans="1:22" x14ac:dyDescent="0.2">
      <c r="L28" s="296"/>
      <c r="M28" s="296"/>
      <c r="N28" s="296"/>
      <c r="O28" s="296"/>
      <c r="P28" s="296"/>
      <c r="Q28" s="296"/>
      <c r="R28" s="296"/>
      <c r="S28" s="296"/>
      <c r="T28" s="296"/>
      <c r="U28" s="296"/>
      <c r="V28" s="296"/>
    </row>
    <row r="29" spans="1:22" ht="59.25" customHeight="1" x14ac:dyDescent="0.2">
      <c r="A29" s="167">
        <f>A26+1</f>
        <v>3</v>
      </c>
      <c r="B29" s="180" t="s">
        <v>125</v>
      </c>
      <c r="C29" s="2" t="s">
        <v>135</v>
      </c>
      <c r="D29" s="197"/>
      <c r="E29" s="193"/>
      <c r="F29" s="193"/>
      <c r="H29" s="193"/>
    </row>
    <row r="30" spans="1:22" ht="27.95" customHeight="1" x14ac:dyDescent="0.2">
      <c r="B30" s="175" t="s">
        <v>107</v>
      </c>
      <c r="C30" s="194"/>
      <c r="D30" s="215">
        <f>-T6B!G192</f>
        <v>0</v>
      </c>
      <c r="E30" s="189">
        <f>+D30</f>
        <v>0</v>
      </c>
      <c r="F30" s="193" t="s">
        <v>4</v>
      </c>
      <c r="H30" s="193"/>
    </row>
    <row r="31" spans="1:22" s="301" customFormat="1" x14ac:dyDescent="0.2">
      <c r="B31" s="586"/>
      <c r="C31" s="587"/>
      <c r="D31" s="587"/>
      <c r="E31" s="205"/>
      <c r="F31" s="205"/>
      <c r="G31" s="167"/>
      <c r="H31" s="205"/>
      <c r="I31" s="224"/>
      <c r="J31" s="167"/>
    </row>
    <row r="32" spans="1:22" ht="59.25" customHeight="1" x14ac:dyDescent="0.2">
      <c r="A32" s="167">
        <f>+A29+1</f>
        <v>4</v>
      </c>
      <c r="B32" s="180" t="s">
        <v>138</v>
      </c>
      <c r="C32" s="161" t="s">
        <v>63</v>
      </c>
      <c r="D32" s="197"/>
      <c r="E32" s="193"/>
      <c r="F32" s="193"/>
      <c r="H32" s="193"/>
    </row>
    <row r="33" spans="1:10" ht="27.95" customHeight="1" x14ac:dyDescent="0.2">
      <c r="B33" s="175" t="s">
        <v>107</v>
      </c>
      <c r="C33" s="192"/>
      <c r="D33" s="617">
        <f>-VLOOKUP(D12,'T7'!A109:B112,2,FALSE)</f>
        <v>0</v>
      </c>
      <c r="E33" s="189">
        <f>+D33</f>
        <v>0</v>
      </c>
      <c r="F33" s="193" t="s">
        <v>4</v>
      </c>
      <c r="G33" s="176"/>
      <c r="H33" s="193"/>
    </row>
    <row r="34" spans="1:10" s="301" customFormat="1" x14ac:dyDescent="0.2">
      <c r="B34" s="586"/>
      <c r="C34" s="587"/>
      <c r="D34" s="587"/>
      <c r="E34" s="587"/>
      <c r="F34" s="205"/>
      <c r="G34" s="167"/>
      <c r="H34" s="205"/>
      <c r="I34" s="224"/>
      <c r="J34" s="167"/>
    </row>
    <row r="35" spans="1:10" ht="31.5" customHeight="1" x14ac:dyDescent="0.2">
      <c r="A35" s="167">
        <f>+A32+1</f>
        <v>5</v>
      </c>
      <c r="B35" s="180" t="s">
        <v>206</v>
      </c>
      <c r="C35" s="579" t="s">
        <v>64</v>
      </c>
      <c r="D35" s="197"/>
      <c r="E35" s="197"/>
      <c r="F35" s="193"/>
      <c r="H35" s="193"/>
    </row>
    <row r="36" spans="1:10" ht="27.95" customHeight="1" x14ac:dyDescent="0.2">
      <c r="B36" s="175" t="s">
        <v>107</v>
      </c>
      <c r="C36" s="194"/>
      <c r="D36" s="189">
        <f>-VLOOKUP(D12,'T8'!A68:B71,2,FALSE)</f>
        <v>0</v>
      </c>
      <c r="E36" s="189">
        <f>+D36</f>
        <v>0</v>
      </c>
      <c r="F36" s="193" t="s">
        <v>4</v>
      </c>
      <c r="H36" s="193"/>
    </row>
    <row r="37" spans="1:10" x14ac:dyDescent="0.2">
      <c r="B37" s="123"/>
      <c r="C37" s="611"/>
      <c r="D37" s="590"/>
      <c r="E37" s="590"/>
      <c r="F37" s="222"/>
      <c r="H37" s="222"/>
    </row>
    <row r="38" spans="1:10" ht="30.95" customHeight="1" x14ac:dyDescent="0.2">
      <c r="A38" s="167">
        <f>+A35+1</f>
        <v>6</v>
      </c>
      <c r="B38" s="612" t="s">
        <v>420</v>
      </c>
      <c r="C38" s="613"/>
      <c r="D38" s="651">
        <f>D39*D46</f>
        <v>0</v>
      </c>
      <c r="E38" s="651">
        <f>E39*E46</f>
        <v>0</v>
      </c>
      <c r="F38" s="193" t="s">
        <v>4</v>
      </c>
      <c r="H38" s="614"/>
    </row>
    <row r="39" spans="1:10" ht="48" customHeight="1" x14ac:dyDescent="0.2">
      <c r="B39" s="615" t="str">
        <f>"Gemiddelde voorraad GSC en WKC (boekhoudkundige waarde) voor boekjaar "&amp;D12</f>
        <v>Gemiddelde voorraad GSC en WKC (boekhoudkundige waarde) voor boekjaar 2021</v>
      </c>
      <c r="C39" s="616"/>
      <c r="D39" s="617">
        <f>+AVERAGE(D40,D43)</f>
        <v>0</v>
      </c>
      <c r="E39" s="617">
        <f>+AVERAGE(E40,E43)</f>
        <v>0</v>
      </c>
      <c r="F39" s="167"/>
      <c r="H39" s="614"/>
    </row>
    <row r="40" spans="1:10" ht="36.75" customHeight="1" x14ac:dyDescent="0.2">
      <c r="B40" s="175" t="str">
        <f>"Beginvoorraad GSC en WKC (01/01/"&amp;D12&amp;")"</f>
        <v>Beginvoorraad GSC en WKC (01/01/2021)</v>
      </c>
      <c r="C40" s="594"/>
      <c r="D40" s="208">
        <f>+SUM(D41:D42)</f>
        <v>0</v>
      </c>
      <c r="E40" s="208">
        <f>+SUM(E41:E42)</f>
        <v>0</v>
      </c>
      <c r="F40" s="167"/>
      <c r="H40" s="614"/>
    </row>
    <row r="41" spans="1:10" ht="36.75" customHeight="1" x14ac:dyDescent="0.2">
      <c r="B41" s="721" t="str">
        <f>"Beginvoorraad GSC (01/01/"&amp;D12&amp;")"</f>
        <v>Beginvoorraad GSC (01/01/2021)</v>
      </c>
      <c r="C41" s="592"/>
      <c r="D41" s="196">
        <v>0</v>
      </c>
      <c r="E41" s="196">
        <v>0</v>
      </c>
      <c r="F41" s="167"/>
      <c r="H41" s="614" t="s">
        <v>35</v>
      </c>
    </row>
    <row r="42" spans="1:10" ht="36.75" customHeight="1" x14ac:dyDescent="0.2">
      <c r="B42" s="721" t="str">
        <f>"Beginvoorraad WKC (01/01/"&amp;D12&amp;")"</f>
        <v>Beginvoorraad WKC (01/01/2021)</v>
      </c>
      <c r="C42" s="592"/>
      <c r="D42" s="196">
        <v>0</v>
      </c>
      <c r="E42" s="196">
        <v>0</v>
      </c>
      <c r="F42" s="167"/>
      <c r="H42" s="614" t="s">
        <v>35</v>
      </c>
    </row>
    <row r="43" spans="1:10" ht="33.6" customHeight="1" x14ac:dyDescent="0.2">
      <c r="B43" s="175" t="str">
        <f>"Eindvoorraad GSC en WKC (31/12/"&amp;D12&amp;")"</f>
        <v>Eindvoorraad GSC en WKC (31/12/2021)</v>
      </c>
      <c r="C43" s="594"/>
      <c r="D43" s="208">
        <f>+SUM(D44:D45)</f>
        <v>0</v>
      </c>
      <c r="E43" s="208">
        <f>+SUM(E44:E45)</f>
        <v>0</v>
      </c>
      <c r="F43" s="167"/>
      <c r="H43" s="614"/>
    </row>
    <row r="44" spans="1:10" ht="36.75" customHeight="1" x14ac:dyDescent="0.2">
      <c r="B44" s="721" t="str">
        <f>"Eindvoorraad GSC (31/12/"&amp;D12&amp;")"</f>
        <v>Eindvoorraad GSC (31/12/2021)</v>
      </c>
      <c r="C44" s="592"/>
      <c r="D44" s="196">
        <v>0</v>
      </c>
      <c r="E44" s="196">
        <v>0</v>
      </c>
      <c r="F44" s="167"/>
      <c r="H44" s="614" t="s">
        <v>35</v>
      </c>
    </row>
    <row r="45" spans="1:10" ht="36.75" customHeight="1" x14ac:dyDescent="0.2">
      <c r="B45" s="721" t="str">
        <f>"Eindvoorraad WKC (31/12/"&amp;D12&amp;")"</f>
        <v>Eindvoorraad WKC (31/12/2021)</v>
      </c>
      <c r="C45" s="592"/>
      <c r="D45" s="196">
        <v>0</v>
      </c>
      <c r="E45" s="196">
        <v>0</v>
      </c>
      <c r="F45" s="167"/>
      <c r="H45" s="614" t="s">
        <v>35</v>
      </c>
    </row>
    <row r="46" spans="1:10" ht="29.25" customHeight="1" x14ac:dyDescent="0.2">
      <c r="B46" s="191" t="str">
        <f>"Kapitaalkostvergoeding voor boekjaar "&amp;D12&amp;" (in te vullen door de VREG)"</f>
        <v>Kapitaalkostvergoeding voor boekjaar 2021 (in te vullen door de VREG)</v>
      </c>
      <c r="C46" s="168"/>
      <c r="D46" s="985">
        <v>0</v>
      </c>
      <c r="E46" s="985">
        <v>0</v>
      </c>
      <c r="F46" s="167"/>
      <c r="H46" s="614"/>
    </row>
    <row r="47" spans="1:10" x14ac:dyDescent="0.2">
      <c r="B47" s="123"/>
      <c r="C47" s="611"/>
      <c r="D47" s="590"/>
      <c r="E47" s="590"/>
      <c r="F47" s="222"/>
      <c r="H47" s="167"/>
    </row>
    <row r="48" spans="1:10" ht="32.25" customHeight="1" x14ac:dyDescent="0.2">
      <c r="A48" s="167">
        <f>+A38+1</f>
        <v>7</v>
      </c>
      <c r="B48" s="180" t="s">
        <v>147</v>
      </c>
      <c r="C48" s="618"/>
      <c r="D48" s="651">
        <f>+D49*D50</f>
        <v>0</v>
      </c>
      <c r="E48" s="651">
        <f>+E49*E50</f>
        <v>0</v>
      </c>
      <c r="F48" s="193" t="s">
        <v>4</v>
      </c>
      <c r="H48" s="614"/>
    </row>
    <row r="49" spans="1:8" ht="48.75" customHeight="1" x14ac:dyDescent="0.2">
      <c r="B49" s="191" t="str">
        <f>"Gecumuleerd regulatoir saldo exogene kosten m.b.t. distributie bij het begin van het boekjaar (01/01/"&amp;R1&amp;") (positieve waarde voor tekort, en omgekeerd)"</f>
        <v>Gecumuleerd regulatoir saldo exogene kosten m.b.t. distributie bij het begin van het boekjaar (01/01/2021) (positieve waarde voor tekort, en omgekeerd)</v>
      </c>
      <c r="C49" s="2"/>
      <c r="D49" s="650">
        <f>+VLOOKUP($R$1-1,T4A!$B$63:$N$67,13,FALSE)-INDEX(T4A!$H$63:$L$67,MATCH('T3'!$R$1-1,T4A!$B$63:$B$67,0),MATCH('T3'!$R$1-1,T4A!$H$57:$L$57,0))</f>
        <v>0</v>
      </c>
      <c r="E49" s="617">
        <f>IF($S$1="ex-ante",0,IF($S$1="ex-post",VLOOKUP(R1-1,T4B!$A$212:$R$216,18,FALSE),0))</f>
        <v>0</v>
      </c>
      <c r="F49" s="167"/>
      <c r="H49" s="614"/>
    </row>
    <row r="50" spans="1:8" ht="33" customHeight="1" x14ac:dyDescent="0.2">
      <c r="B50" s="191" t="str">
        <f>"Kapitaalkostvergoeding voor boekjaar "&amp;R1&amp;" (in te vullen door de VREG)"</f>
        <v>Kapitaalkostvergoeding voor boekjaar 2021 (in te vullen door de VREG)</v>
      </c>
      <c r="C50" s="585"/>
      <c r="D50" s="985">
        <v>0</v>
      </c>
      <c r="E50" s="985">
        <v>0</v>
      </c>
      <c r="F50" s="167"/>
      <c r="H50" s="614"/>
    </row>
    <row r="51" spans="1:8" x14ac:dyDescent="0.2">
      <c r="B51" s="123"/>
      <c r="C51" s="611"/>
      <c r="D51" s="590"/>
      <c r="E51" s="590"/>
      <c r="F51" s="222"/>
      <c r="H51" s="167"/>
    </row>
    <row r="52" spans="1:8" ht="36.6" customHeight="1" x14ac:dyDescent="0.2">
      <c r="A52" s="167">
        <f>A48+1</f>
        <v>8</v>
      </c>
      <c r="B52" s="180" t="s">
        <v>370</v>
      </c>
      <c r="C52" s="613"/>
      <c r="D52" s="651">
        <f>D53*D56</f>
        <v>0</v>
      </c>
      <c r="E52" s="651">
        <f>+E53*E56</f>
        <v>0</v>
      </c>
      <c r="F52" s="193" t="s">
        <v>4</v>
      </c>
      <c r="H52" s="614"/>
    </row>
    <row r="53" spans="1:8" ht="51" customHeight="1" x14ac:dyDescent="0.2">
      <c r="B53" s="191" t="str">
        <f>"Gemiddeld regulatoir saldo volumerisico endogeen budget voor boekjaar "&amp;D12&amp;" (positieve waarde voor tekort, en omgekeerd)"</f>
        <v>Gemiddeld regulatoir saldo volumerisico endogeen budget voor boekjaar 2021 (positieve waarde voor tekort, en omgekeerd)</v>
      </c>
      <c r="C53" s="616"/>
      <c r="D53" s="617">
        <f>AVERAGE(D54:D55)</f>
        <v>0</v>
      </c>
      <c r="E53" s="617">
        <f>AVERAGE(E54:E55)</f>
        <v>0</v>
      </c>
      <c r="F53" s="167"/>
      <c r="H53" s="614"/>
    </row>
    <row r="54" spans="1:8" ht="45.95" customHeight="1" x14ac:dyDescent="0.2">
      <c r="B54" s="175" t="str">
        <f>"Regulatoir saldo volumerisico endogeen budget bij het begin van het boekjaar (01/01/"&amp;D12&amp;") (positieve waarde voor tekort, en omgekeerd)"</f>
        <v>Regulatoir saldo volumerisico endogeen budget bij het begin van het boekjaar (01/01/2021) (positieve waarde voor tekort, en omgekeerd)</v>
      </c>
      <c r="C54" s="2"/>
      <c r="D54" s="650">
        <f>+VLOOKUP($R$1-1,T5A!$B$95:$N$99,13,FALSE)-INDEX(T5A!$H$95:$L$99,MATCH('T3'!$R$1-1,T5A!$B$95:$B$99,0),MATCH('T3'!$R$1-1,T5A!$H$89:$L$89,0))</f>
        <v>0</v>
      </c>
      <c r="E54" s="617">
        <f>IF($S$1="ex-ante",0,IF($S$1="ex-post",VLOOKUP($R$1-1,T5B!$A$212:$R$216,18,FALSE),0))</f>
        <v>0</v>
      </c>
      <c r="F54" s="167"/>
      <c r="H54" s="614"/>
    </row>
    <row r="55" spans="1:8" ht="45.95" customHeight="1" x14ac:dyDescent="0.2">
      <c r="B55" s="175" t="str">
        <f>"Regulatoir saldo volumerisico endogeen budget op het einde van het boekjaar (31/12/"&amp;D12&amp;") (positieve waarde voor tekort, en omgekeerd)"</f>
        <v>Regulatoir saldo volumerisico endogeen budget op het einde van het boekjaar (31/12/2021) (positieve waarde voor tekort, en omgekeerd)</v>
      </c>
      <c r="C55" s="2"/>
      <c r="D55" s="650">
        <f>+VLOOKUP($R$1,T5A!$B$95:$N$99,13,FALSE)-INDEX(T5A!$H$95:$L$99,MATCH('T3'!$R$1,T5A!$B$95:$B$99,0),MATCH('T3'!$R$1,T5A!$H$89:$L$89,0))-INDEX(T5A!$H$95:$L$99,MATCH('T3'!$R$1,T5A!$B$95:$B$99,0),MATCH('T3'!$R$1-1,T5A!$H$89:$L$89,0))</f>
        <v>0</v>
      </c>
      <c r="E55" s="617">
        <f>IF($S$1="ex-ante",0,IF($S$1="ex-post",VLOOKUP($R$1,T5B!$A$212:$R$216,18,FALSE),0))</f>
        <v>0</v>
      </c>
      <c r="F55" s="167"/>
      <c r="H55" s="614"/>
    </row>
    <row r="56" spans="1:8" ht="32.25" customHeight="1" x14ac:dyDescent="0.2">
      <c r="B56" s="191" t="str">
        <f>"Kapitaalkostvergoeding voor boekjaar "&amp;D12&amp;" (in te vullen door de VREG)"</f>
        <v>Kapitaalkostvergoeding voor boekjaar 2021 (in te vullen door de VREG)</v>
      </c>
      <c r="C56" s="585"/>
      <c r="D56" s="181">
        <f>+$D$50</f>
        <v>0</v>
      </c>
      <c r="E56" s="181">
        <f>+$E$50</f>
        <v>0</v>
      </c>
      <c r="F56" s="167"/>
      <c r="H56" s="614"/>
    </row>
    <row r="57" spans="1:8" x14ac:dyDescent="0.2">
      <c r="B57" s="123"/>
      <c r="C57" s="610"/>
      <c r="D57" s="622"/>
      <c r="E57" s="622"/>
      <c r="F57" s="222"/>
      <c r="H57" s="167"/>
    </row>
    <row r="58" spans="1:8" ht="42" customHeight="1" x14ac:dyDescent="0.2">
      <c r="A58" s="167">
        <f>+A52+1</f>
        <v>9</v>
      </c>
      <c r="B58" s="180" t="s">
        <v>233</v>
      </c>
      <c r="C58" s="613"/>
      <c r="D58" s="651">
        <f>D59*D62</f>
        <v>0</v>
      </c>
      <c r="E58" s="651">
        <f>+E59*E62</f>
        <v>0</v>
      </c>
      <c r="F58" s="193" t="s">
        <v>4</v>
      </c>
      <c r="H58" s="614"/>
    </row>
    <row r="59" spans="1:8" ht="51" customHeight="1" x14ac:dyDescent="0.2">
      <c r="B59" s="191" t="str">
        <f>"Gemiddeld regulatoir saldo herindexering van het budget voor endogene kosten voor boekjaar "&amp;D12&amp;" (positieve waarde voor tekort, en omgekeerd)"</f>
        <v>Gemiddeld regulatoir saldo herindexering van het budget voor endogene kosten voor boekjaar 2021 (positieve waarde voor tekort, en omgekeerd)</v>
      </c>
      <c r="C59" s="616"/>
      <c r="D59" s="617">
        <f>AVERAGE(D60:D61)</f>
        <v>0</v>
      </c>
      <c r="E59" s="617">
        <f>AVERAGE(E60:E61)</f>
        <v>0</v>
      </c>
      <c r="F59" s="167"/>
      <c r="H59" s="614"/>
    </row>
    <row r="60" spans="1:8" ht="46.5" customHeight="1" x14ac:dyDescent="0.2">
      <c r="B60" s="175" t="str">
        <f>"Regulatoir saldo herindexering van het budget voor endogene kosten bij het begin van het boekjaar (01/01/"&amp;D12&amp;") (positieve waarde voor tekort, en omgekeerd)"</f>
        <v>Regulatoir saldo herindexering van het budget voor endogene kosten bij het begin van het boekjaar (01/01/2021) (positieve waarde voor tekort, en omgekeerd)</v>
      </c>
      <c r="C60" s="2"/>
      <c r="D60" s="650">
        <f>+VLOOKUP($R$1-1,T6A!$B$116:$L$120,11,FALSE)</f>
        <v>0</v>
      </c>
      <c r="E60" s="617">
        <f>IF($S$1="ex-ante",0,IF($S$1="ex-post",VLOOKUP($R$1-1,T6B!$A$180:$P$184,16,FALSE),0))</f>
        <v>0</v>
      </c>
      <c r="F60" s="167"/>
      <c r="H60" s="614"/>
    </row>
    <row r="61" spans="1:8" ht="45" customHeight="1" x14ac:dyDescent="0.2">
      <c r="B61" s="175" t="str">
        <f>"Regulatoir saldo herindexering van het budget voor endogene kosten op het einde van het boekjaar (31/12/"&amp;D12&amp;") (positieve waarde voor tekort, en omgekeerd)"</f>
        <v>Regulatoir saldo herindexering van het budget voor endogene kosten op het einde van het boekjaar (31/12/2021) (positieve waarde voor tekort, en omgekeerd)</v>
      </c>
      <c r="C61" s="2"/>
      <c r="D61" s="650">
        <f>+VLOOKUP($R$1,T6A!$B$116:$L$120,11,FALSE)-INDEX(T6A!$F$116:$J$120,MATCH('T3'!$R$1,T6A!$B$116:$B$120,0),MATCH('T3'!$R$1,T6A!$F$112:$J$112,0))</f>
        <v>0</v>
      </c>
      <c r="E61" s="617">
        <f>IF($S$1="ex-ante",0,IF($S$1="ex-post",VLOOKUP($R$1,T6B!$A$180:$P$184,16,FALSE),0))</f>
        <v>0</v>
      </c>
      <c r="F61" s="167"/>
      <c r="H61" s="614"/>
    </row>
    <row r="62" spans="1:8" ht="32.25" customHeight="1" x14ac:dyDescent="0.2">
      <c r="B62" s="191" t="str">
        <f>"Kapitaalkostvergoeding voor boekjaar "&amp;D12&amp;" (in te vullen door de VREG)"</f>
        <v>Kapitaalkostvergoeding voor boekjaar 2021 (in te vullen door de VREG)</v>
      </c>
      <c r="C62" s="585"/>
      <c r="D62" s="181">
        <f>+$D$50</f>
        <v>0</v>
      </c>
      <c r="E62" s="181">
        <f>+$E$50</f>
        <v>0</v>
      </c>
      <c r="F62" s="167"/>
      <c r="H62" s="614"/>
    </row>
    <row r="63" spans="1:8" x14ac:dyDescent="0.2">
      <c r="B63" s="123"/>
      <c r="C63" s="610"/>
      <c r="D63" s="622"/>
      <c r="E63" s="622"/>
      <c r="F63" s="222"/>
      <c r="H63" s="167"/>
    </row>
    <row r="64" spans="1:8" ht="36" customHeight="1" x14ac:dyDescent="0.2">
      <c r="A64" s="167">
        <f>+A58+1</f>
        <v>10</v>
      </c>
      <c r="B64" s="180" t="s">
        <v>234</v>
      </c>
      <c r="C64" s="613"/>
      <c r="D64" s="651">
        <f>D65*D68</f>
        <v>0</v>
      </c>
      <c r="E64" s="651">
        <f>+E65*E68</f>
        <v>0</v>
      </c>
      <c r="F64" s="193" t="s">
        <v>4</v>
      </c>
      <c r="H64" s="614"/>
    </row>
    <row r="65" spans="1:22" ht="44.25" customHeight="1" x14ac:dyDescent="0.2">
      <c r="B65" s="191" t="str">
        <f>"Gemiddeld regulatoir saldo vennootschapsbelasting voor boekjaar "&amp;D12&amp;" (positieve waarde voor tekort, en omgekeerd)"</f>
        <v>Gemiddeld regulatoir saldo vennootschapsbelasting voor boekjaar 2021 (positieve waarde voor tekort, en omgekeerd)</v>
      </c>
      <c r="C65" s="616"/>
      <c r="D65" s="617">
        <f>AVERAGE(D66:D67)</f>
        <v>0</v>
      </c>
      <c r="E65" s="617">
        <f>AVERAGE(E66:E67)</f>
        <v>0</v>
      </c>
      <c r="F65" s="167"/>
      <c r="H65" s="614"/>
    </row>
    <row r="66" spans="1:22" ht="46.5" customHeight="1" x14ac:dyDescent="0.2">
      <c r="B66" s="175" t="str">
        <f>"Regulatoir saldo vennootschapsbelasting bij het begin van het boekjaar (01/01/"&amp;D12&amp;") (positieve waarde voor tekort, en omgekeerd)"</f>
        <v>Regulatoir saldo vennootschapsbelasting bij het begin van het boekjaar (01/01/2021) (positieve waarde voor tekort, en omgekeerd)</v>
      </c>
      <c r="C66" s="2"/>
      <c r="D66" s="650">
        <f>+VLOOKUP($R$1-1,'T7'!$B$54:$L$58,11,FALSE)-INDEX('T7'!$F$54:$J$58,MATCH('T3'!$R$1-1,'T7'!$B$54:$B$58,0),MATCH('T3'!$R$1-1,'T7'!$F$50:$J$50,0))</f>
        <v>0</v>
      </c>
      <c r="E66" s="617">
        <f>IF($S$1="ex-ante",0,IF($S$1="ex-post",VLOOKUP($R$1-1,'T7'!$B$54:$L$58,11,FALSE),0))</f>
        <v>0</v>
      </c>
      <c r="F66" s="167"/>
      <c r="H66" s="614"/>
    </row>
    <row r="67" spans="1:22" ht="45" customHeight="1" x14ac:dyDescent="0.2">
      <c r="B67" s="175" t="str">
        <f>"Regulatoir saldo vennootschapsbelasting op het einde van het boekjaar (31/12/"&amp;D12&amp;") (positieve waarde voor tekort, en omgekeerd)"</f>
        <v>Regulatoir saldo vennootschapsbelasting op het einde van het boekjaar (31/12/2021) (positieve waarde voor tekort, en omgekeerd)</v>
      </c>
      <c r="C67" s="2"/>
      <c r="D67" s="650">
        <f>+VLOOKUP($R$1,'T7'!$B$54:$L$58,11,FALSE)-INDEX('T7'!$F$54:$J$58,MATCH('T3'!$R$1,'T7'!$B$54:$B$58,0),MATCH('T3'!$R$1,'T7'!$F$50:$J$50,0))-INDEX('T7'!$F$54:$J$58,MATCH('T3'!$R$1,'T7'!$B$54:$B$58,0),MATCH('T3'!$R$1-1,'T7'!$F$50:$J$50,0))</f>
        <v>0</v>
      </c>
      <c r="E67" s="617">
        <f>IF($S$1="ex-ante",0,IF($S$1="ex-post",VLOOKUP($R$1,'T7'!$B$54:$L$58,11,FALSE),0))</f>
        <v>0</v>
      </c>
      <c r="F67" s="167"/>
      <c r="H67" s="614"/>
    </row>
    <row r="68" spans="1:22" ht="32.25" customHeight="1" x14ac:dyDescent="0.2">
      <c r="B68" s="191" t="str">
        <f>"Kapitaalkostvergoeding voor boekjaar "&amp;D12&amp;" (in te vullen door de VREG)"</f>
        <v>Kapitaalkostvergoeding voor boekjaar 2021 (in te vullen door de VREG)</v>
      </c>
      <c r="C68" s="585"/>
      <c r="D68" s="181">
        <f>+$D$50</f>
        <v>0</v>
      </c>
      <c r="E68" s="181">
        <f>+$E$50</f>
        <v>0</v>
      </c>
      <c r="F68" s="167"/>
      <c r="H68" s="614"/>
    </row>
    <row r="69" spans="1:22" x14ac:dyDescent="0.2">
      <c r="B69" s="123"/>
      <c r="C69" s="610"/>
      <c r="D69" s="622"/>
      <c r="E69" s="622"/>
      <c r="F69" s="222"/>
      <c r="H69" s="167"/>
    </row>
    <row r="70" spans="1:22" ht="36" customHeight="1" x14ac:dyDescent="0.2">
      <c r="A70" s="167">
        <f>+A64+1</f>
        <v>11</v>
      </c>
      <c r="B70" s="180" t="s">
        <v>235</v>
      </c>
      <c r="C70" s="613"/>
      <c r="D70" s="651">
        <f>D71*D74</f>
        <v>0</v>
      </c>
      <c r="E70" s="651">
        <f>+E71*E74</f>
        <v>0</v>
      </c>
      <c r="F70" s="193" t="s">
        <v>4</v>
      </c>
      <c r="H70" s="614"/>
    </row>
    <row r="71" spans="1:22" ht="44.25" customHeight="1" x14ac:dyDescent="0.2">
      <c r="B71" s="191" t="str">
        <f>"Gemiddeld regulatoir saldo herwaarderingsmeerwaarden voor boekjaar "&amp;D12&amp;" (positieve waarde voor tekort, en omgekeerd)"</f>
        <v>Gemiddeld regulatoir saldo herwaarderingsmeerwaarden voor boekjaar 2021 (positieve waarde voor tekort, en omgekeerd)</v>
      </c>
      <c r="C71" s="616"/>
      <c r="D71" s="617">
        <f>AVERAGE(D72:D73)</f>
        <v>0</v>
      </c>
      <c r="E71" s="617">
        <f>AVERAGE(E72:E73)</f>
        <v>0</v>
      </c>
      <c r="F71" s="167"/>
      <c r="H71" s="614"/>
    </row>
    <row r="72" spans="1:22" ht="46.5" customHeight="1" x14ac:dyDescent="0.2">
      <c r="B72" s="175" t="str">
        <f>"Regulatoir saldo herwaarderingsmeerwaarden bij het begin van het boekjaar (01/01/"&amp;D12&amp;") (positieve waarde voor tekort, en omgekeerd)"</f>
        <v>Regulatoir saldo herwaarderingsmeerwaarden bij het begin van het boekjaar (01/01/2021) (positieve waarde voor tekort, en omgekeerd)</v>
      </c>
      <c r="C72" s="649"/>
      <c r="D72" s="650">
        <f>+IF($R$1=2021,0,VLOOKUP($R$1-1,'T8'!$B$43:$H$46,7,FALSE)-INDEX('T8'!$C$43:$F$46,MATCH('T3'!$R$1-1,'T8'!$B$43:$B$46,0),MATCH('T3'!$R$1-1,'T8'!$C$42:$F$42,0)))</f>
        <v>0</v>
      </c>
      <c r="E72" s="617">
        <f>IF($T$1="2021ex-post",0,IF($S$1="ex-ante",0,IF($S$1="ex-post",VLOOKUP($R$1-1,'T8'!$B$43:$H$46,7,FALSE),0)))</f>
        <v>0</v>
      </c>
      <c r="F72" s="167"/>
      <c r="H72" s="614"/>
    </row>
    <row r="73" spans="1:22" ht="45" customHeight="1" x14ac:dyDescent="0.2">
      <c r="B73" s="175" t="str">
        <f>"Regulatoir saldo herwaarderingsmeerwaarden op het einde van het boekjaar (31/12/"&amp;D12&amp;") (positieve waarde voor tekort, en omgekeerd)"</f>
        <v>Regulatoir saldo herwaarderingsmeerwaarden op het einde van het boekjaar (31/12/2021) (positieve waarde voor tekort, en omgekeerd)</v>
      </c>
      <c r="C73" s="649"/>
      <c r="D73" s="650">
        <f>+VLOOKUP($R$1,'T8'!$B$43:$H$46,7,FALSE)-INDEX('T8'!$C$43:$F$46,MATCH('T3'!$R$1,'T8'!$B$43:$B$46,0),MATCH('T3'!$R$1,'T8'!$C$42:$F$42,0))-IF($R$1=2021,0,INDEX('T8'!$C$43:$F$46,MATCH('T3'!$R$1,'T8'!$B$43:$B$46,0),MATCH('T3'!$R$1-1,'T8'!$C$42:$F$42,0)))</f>
        <v>0</v>
      </c>
      <c r="E73" s="617">
        <f>IF($S$1="ex-ante",0,IF($S$1="ex-post",VLOOKUP($R$1,'T8'!$B$43:$H$46,7,FALSE),0))</f>
        <v>0</v>
      </c>
      <c r="F73" s="167"/>
      <c r="H73" s="614"/>
    </row>
    <row r="74" spans="1:22" ht="32.25" customHeight="1" x14ac:dyDescent="0.2">
      <c r="B74" s="191" t="str">
        <f>"Kapitaalkostvergoeding voor boekjaar "&amp;D12&amp;" (in te vullen door de VREG)"</f>
        <v>Kapitaalkostvergoeding voor boekjaar 2021 (in te vullen door de VREG)</v>
      </c>
      <c r="C74" s="585"/>
      <c r="D74" s="181">
        <f>+$D$50</f>
        <v>0</v>
      </c>
      <c r="E74" s="181">
        <f>+$E$50</f>
        <v>0</v>
      </c>
      <c r="F74" s="167"/>
      <c r="H74" s="614"/>
    </row>
    <row r="75" spans="1:22" s="661" customFormat="1" x14ac:dyDescent="0.2">
      <c r="B75" s="960"/>
      <c r="C75" s="663"/>
      <c r="F75" s="663"/>
      <c r="H75" s="663"/>
      <c r="I75" s="664"/>
      <c r="L75" s="669"/>
      <c r="M75" s="669"/>
      <c r="N75" s="669"/>
      <c r="O75" s="669"/>
      <c r="P75" s="669"/>
      <c r="Q75" s="669"/>
      <c r="R75" s="669"/>
      <c r="S75" s="669"/>
      <c r="T75" s="669"/>
      <c r="U75" s="669"/>
      <c r="V75" s="669"/>
    </row>
    <row r="76" spans="1:22" s="661" customFormat="1" x14ac:dyDescent="0.2">
      <c r="B76" s="960"/>
      <c r="C76" s="663"/>
      <c r="F76" s="663"/>
      <c r="H76" s="663"/>
      <c r="I76" s="664"/>
      <c r="L76" s="669"/>
      <c r="M76" s="669"/>
      <c r="N76" s="669"/>
      <c r="O76" s="669"/>
      <c r="P76" s="669"/>
      <c r="Q76" s="669"/>
      <c r="R76" s="669"/>
      <c r="S76" s="669"/>
      <c r="T76" s="669"/>
      <c r="U76" s="669"/>
      <c r="V76" s="669"/>
    </row>
    <row r="77" spans="1:22" s="661" customFormat="1" ht="17.45" customHeight="1" x14ac:dyDescent="0.2">
      <c r="B77" s="961" t="s">
        <v>407</v>
      </c>
      <c r="C77" s="962"/>
      <c r="D77" s="963"/>
      <c r="E77" s="963"/>
      <c r="F77" s="962"/>
      <c r="G77" s="963"/>
      <c r="H77" s="964"/>
      <c r="I77" s="664"/>
      <c r="L77" s="669"/>
      <c r="M77" s="669"/>
      <c r="N77" s="669"/>
      <c r="O77" s="669"/>
      <c r="P77" s="669"/>
      <c r="Q77" s="669"/>
      <c r="R77" s="669"/>
      <c r="S77" s="669"/>
      <c r="T77" s="669"/>
      <c r="U77" s="669"/>
      <c r="V77" s="669"/>
    </row>
    <row r="78" spans="1:22" x14ac:dyDescent="0.2">
      <c r="L78" s="296"/>
      <c r="M78" s="296"/>
      <c r="N78" s="296"/>
      <c r="O78" s="296"/>
      <c r="P78" s="296"/>
      <c r="Q78" s="296"/>
      <c r="R78" s="296"/>
      <c r="S78" s="296"/>
      <c r="T78" s="296"/>
      <c r="U78" s="296"/>
      <c r="V78" s="296"/>
    </row>
    <row r="79" spans="1:22" ht="55.5" customHeight="1" x14ac:dyDescent="0.2">
      <c r="A79" s="167">
        <f>+A70+1</f>
        <v>12</v>
      </c>
      <c r="B79" s="180" t="s">
        <v>121</v>
      </c>
      <c r="C79" s="2" t="s">
        <v>102</v>
      </c>
      <c r="D79" s="197"/>
      <c r="E79" s="197"/>
      <c r="F79" s="193"/>
      <c r="H79" s="193"/>
      <c r="L79" s="296"/>
      <c r="M79" s="296"/>
      <c r="N79" s="296"/>
      <c r="O79" s="296"/>
      <c r="P79" s="296"/>
      <c r="Q79" s="296"/>
      <c r="R79" s="296"/>
      <c r="S79" s="296"/>
      <c r="T79" s="296"/>
      <c r="U79" s="296"/>
      <c r="V79" s="296"/>
    </row>
    <row r="80" spans="1:22" ht="27.95" customHeight="1" x14ac:dyDescent="0.2">
      <c r="B80" s="175" t="s">
        <v>108</v>
      </c>
      <c r="C80" s="160"/>
      <c r="D80" s="189">
        <f>-T4B!G225</f>
        <v>0</v>
      </c>
      <c r="E80" s="189">
        <f>+D80</f>
        <v>0</v>
      </c>
      <c r="F80" s="195" t="s">
        <v>4</v>
      </c>
      <c r="H80" s="195"/>
    </row>
    <row r="81" spans="1:22" x14ac:dyDescent="0.2">
      <c r="L81" s="296"/>
      <c r="M81" s="296"/>
      <c r="N81" s="296"/>
      <c r="O81" s="296"/>
      <c r="P81" s="296"/>
      <c r="Q81" s="296"/>
      <c r="R81" s="296"/>
      <c r="S81" s="296"/>
      <c r="T81" s="296"/>
      <c r="U81" s="296"/>
      <c r="V81" s="296"/>
    </row>
    <row r="82" spans="1:22" ht="72.75" customHeight="1" x14ac:dyDescent="0.2">
      <c r="A82" s="167">
        <f>+A79+1</f>
        <v>13</v>
      </c>
      <c r="B82" s="180" t="s">
        <v>369</v>
      </c>
      <c r="C82" s="2" t="s">
        <v>117</v>
      </c>
      <c r="D82" s="197"/>
      <c r="E82" s="197"/>
      <c r="F82" s="193"/>
      <c r="H82" s="193"/>
    </row>
    <row r="83" spans="1:22" ht="27.95" customHeight="1" x14ac:dyDescent="0.2">
      <c r="B83" s="175" t="s">
        <v>108</v>
      </c>
      <c r="C83" s="160"/>
      <c r="D83" s="189">
        <f>-T5B!G225</f>
        <v>0</v>
      </c>
      <c r="E83" s="189">
        <f>+D83</f>
        <v>0</v>
      </c>
      <c r="F83" s="195" t="s">
        <v>4</v>
      </c>
      <c r="H83" s="195"/>
    </row>
    <row r="84" spans="1:22" x14ac:dyDescent="0.2">
      <c r="L84" s="296"/>
      <c r="M84" s="296"/>
      <c r="N84" s="296"/>
      <c r="O84" s="296"/>
      <c r="P84" s="296"/>
      <c r="Q84" s="296"/>
      <c r="R84" s="296"/>
      <c r="S84" s="296"/>
      <c r="T84" s="296"/>
      <c r="U84" s="296"/>
      <c r="V84" s="296"/>
    </row>
    <row r="85" spans="1:22" ht="59.25" customHeight="1" x14ac:dyDescent="0.2">
      <c r="A85" s="167">
        <f>A82+1</f>
        <v>14</v>
      </c>
      <c r="B85" s="180" t="s">
        <v>125</v>
      </c>
      <c r="C85" s="2" t="s">
        <v>135</v>
      </c>
      <c r="D85" s="197"/>
      <c r="E85" s="193"/>
      <c r="F85" s="193"/>
      <c r="H85" s="193"/>
    </row>
    <row r="86" spans="1:22" ht="27.95" customHeight="1" x14ac:dyDescent="0.2">
      <c r="B86" s="175" t="s">
        <v>108</v>
      </c>
      <c r="C86" s="194"/>
      <c r="D86" s="215">
        <f>-T6B!G193</f>
        <v>0</v>
      </c>
      <c r="E86" s="189">
        <f>+D86</f>
        <v>0</v>
      </c>
      <c r="F86" s="193" t="s">
        <v>4</v>
      </c>
      <c r="H86" s="193"/>
    </row>
    <row r="87" spans="1:22" s="661" customFormat="1" x14ac:dyDescent="0.2">
      <c r="B87" s="960"/>
      <c r="C87" s="663"/>
      <c r="F87" s="663"/>
      <c r="H87" s="663"/>
      <c r="I87" s="664"/>
      <c r="L87" s="669"/>
      <c r="M87" s="669"/>
      <c r="N87" s="669"/>
      <c r="O87" s="669"/>
      <c r="P87" s="669"/>
      <c r="Q87" s="669"/>
      <c r="R87" s="669"/>
      <c r="S87" s="669"/>
      <c r="T87" s="669"/>
      <c r="U87" s="669"/>
      <c r="V87" s="669"/>
    </row>
    <row r="88" spans="1:22" s="661" customFormat="1" x14ac:dyDescent="0.2">
      <c r="B88" s="960"/>
      <c r="C88" s="663"/>
      <c r="F88" s="663"/>
      <c r="H88" s="663"/>
      <c r="I88" s="664"/>
      <c r="L88" s="669"/>
      <c r="M88" s="669"/>
      <c r="N88" s="669"/>
      <c r="O88" s="669"/>
      <c r="P88" s="669"/>
      <c r="Q88" s="669"/>
      <c r="R88" s="669"/>
      <c r="S88" s="669"/>
      <c r="T88" s="669"/>
      <c r="U88" s="669"/>
      <c r="V88" s="669"/>
    </row>
    <row r="89" spans="1:22" s="661" customFormat="1" ht="17.45" customHeight="1" x14ac:dyDescent="0.2">
      <c r="B89" s="961" t="s">
        <v>408</v>
      </c>
      <c r="C89" s="962"/>
      <c r="D89" s="963"/>
      <c r="E89" s="963"/>
      <c r="F89" s="962"/>
      <c r="G89" s="963"/>
      <c r="H89" s="964"/>
      <c r="I89" s="664"/>
      <c r="L89" s="669"/>
      <c r="M89" s="669"/>
      <c r="N89" s="669"/>
      <c r="O89" s="669"/>
      <c r="P89" s="669"/>
      <c r="Q89" s="669"/>
      <c r="R89" s="669"/>
      <c r="S89" s="669"/>
      <c r="T89" s="669"/>
      <c r="U89" s="669"/>
      <c r="V89" s="669"/>
    </row>
    <row r="90" spans="1:22" s="661" customFormat="1" x14ac:dyDescent="0.2">
      <c r="B90" s="960"/>
      <c r="C90" s="663"/>
      <c r="F90" s="663"/>
      <c r="H90" s="663"/>
      <c r="I90" s="664"/>
      <c r="L90" s="669"/>
      <c r="M90" s="669"/>
      <c r="N90" s="669"/>
      <c r="O90" s="669"/>
      <c r="P90" s="669"/>
      <c r="Q90" s="669"/>
      <c r="R90" s="669"/>
      <c r="S90" s="669"/>
      <c r="T90" s="669"/>
      <c r="U90" s="669"/>
      <c r="V90" s="669"/>
    </row>
    <row r="91" spans="1:22" s="661" customFormat="1" x14ac:dyDescent="0.2">
      <c r="B91" s="960"/>
      <c r="C91" s="663"/>
      <c r="F91" s="663"/>
      <c r="H91" s="663"/>
      <c r="I91" s="664"/>
      <c r="L91" s="669"/>
      <c r="M91" s="669"/>
      <c r="N91" s="669"/>
      <c r="O91" s="669"/>
      <c r="P91" s="669"/>
      <c r="Q91" s="669"/>
      <c r="R91" s="669"/>
      <c r="S91" s="669"/>
      <c r="T91" s="669"/>
      <c r="U91" s="669"/>
      <c r="V91" s="669"/>
    </row>
    <row r="92" spans="1:22" s="661" customFormat="1" ht="17.45" customHeight="1" x14ac:dyDescent="0.2">
      <c r="B92" s="961" t="s">
        <v>409</v>
      </c>
      <c r="C92" s="962"/>
      <c r="D92" s="963"/>
      <c r="E92" s="963"/>
      <c r="F92" s="962"/>
      <c r="G92" s="963"/>
      <c r="H92" s="964"/>
      <c r="I92" s="664"/>
      <c r="L92" s="669"/>
      <c r="M92" s="669"/>
      <c r="N92" s="669"/>
      <c r="O92" s="669"/>
      <c r="P92" s="669"/>
      <c r="Q92" s="669"/>
      <c r="R92" s="669"/>
      <c r="S92" s="669"/>
      <c r="T92" s="669"/>
      <c r="U92" s="669"/>
      <c r="V92" s="669"/>
    </row>
    <row r="93" spans="1:22" x14ac:dyDescent="0.2">
      <c r="L93" s="296"/>
      <c r="M93" s="296"/>
      <c r="N93" s="296"/>
      <c r="O93" s="296"/>
      <c r="P93" s="296"/>
      <c r="Q93" s="296"/>
      <c r="R93" s="296"/>
      <c r="S93" s="296"/>
      <c r="T93" s="296"/>
      <c r="U93" s="296"/>
      <c r="V93" s="296"/>
    </row>
    <row r="94" spans="1:22" ht="55.5" customHeight="1" x14ac:dyDescent="0.2">
      <c r="A94" s="167">
        <f>+A85+1</f>
        <v>15</v>
      </c>
      <c r="B94" s="180" t="s">
        <v>121</v>
      </c>
      <c r="C94" s="2" t="s">
        <v>102</v>
      </c>
      <c r="D94" s="197"/>
      <c r="E94" s="197"/>
      <c r="F94" s="193"/>
      <c r="H94" s="193"/>
      <c r="L94" s="296"/>
      <c r="M94" s="296"/>
      <c r="N94" s="296"/>
      <c r="O94" s="296"/>
      <c r="P94" s="296"/>
      <c r="Q94" s="296"/>
      <c r="R94" s="296"/>
      <c r="S94" s="296"/>
      <c r="T94" s="296"/>
      <c r="U94" s="296"/>
      <c r="V94" s="296"/>
    </row>
    <row r="95" spans="1:22" ht="27.95" customHeight="1" x14ac:dyDescent="0.2">
      <c r="B95" s="175" t="s">
        <v>109</v>
      </c>
      <c r="C95" s="160"/>
      <c r="D95" s="189">
        <f>-T4B!G226</f>
        <v>0</v>
      </c>
      <c r="E95" s="189">
        <f>+D95</f>
        <v>0</v>
      </c>
      <c r="F95" s="195" t="s">
        <v>4</v>
      </c>
      <c r="H95" s="195"/>
    </row>
    <row r="96" spans="1:22" x14ac:dyDescent="0.2">
      <c r="L96" s="296"/>
      <c r="M96" s="296"/>
      <c r="N96" s="296"/>
      <c r="O96" s="296"/>
      <c r="P96" s="296"/>
      <c r="Q96" s="296"/>
      <c r="R96" s="296"/>
      <c r="S96" s="296"/>
      <c r="T96" s="296"/>
      <c r="U96" s="296"/>
      <c r="V96" s="296"/>
    </row>
    <row r="97" spans="1:22" ht="72.75" customHeight="1" x14ac:dyDescent="0.2">
      <c r="A97" s="167">
        <f>+A94+1</f>
        <v>16</v>
      </c>
      <c r="B97" s="180" t="s">
        <v>369</v>
      </c>
      <c r="C97" s="2" t="s">
        <v>117</v>
      </c>
      <c r="D97" s="197"/>
      <c r="E97" s="197"/>
      <c r="F97" s="193"/>
      <c r="H97" s="193"/>
    </row>
    <row r="98" spans="1:22" ht="27.95" customHeight="1" x14ac:dyDescent="0.2">
      <c r="B98" s="175" t="s">
        <v>109</v>
      </c>
      <c r="C98" s="160"/>
      <c r="D98" s="189">
        <f>-T5B!G226</f>
        <v>0</v>
      </c>
      <c r="E98" s="189">
        <f>+D98</f>
        <v>0</v>
      </c>
      <c r="F98" s="195" t="s">
        <v>4</v>
      </c>
      <c r="H98" s="195"/>
    </row>
    <row r="99" spans="1:22" x14ac:dyDescent="0.2">
      <c r="L99" s="296"/>
      <c r="M99" s="296"/>
      <c r="N99" s="296"/>
      <c r="O99" s="296"/>
      <c r="P99" s="296"/>
      <c r="Q99" s="296"/>
      <c r="R99" s="296"/>
      <c r="S99" s="296"/>
      <c r="T99" s="296"/>
      <c r="U99" s="296"/>
      <c r="V99" s="296"/>
    </row>
    <row r="100" spans="1:22" ht="59.25" customHeight="1" x14ac:dyDescent="0.2">
      <c r="A100" s="167">
        <f>A97+1</f>
        <v>17</v>
      </c>
      <c r="B100" s="180" t="s">
        <v>125</v>
      </c>
      <c r="C100" s="2" t="s">
        <v>135</v>
      </c>
      <c r="D100" s="197"/>
      <c r="E100" s="193"/>
      <c r="F100" s="193"/>
      <c r="H100" s="193"/>
    </row>
    <row r="101" spans="1:22" ht="27.95" customHeight="1" x14ac:dyDescent="0.2">
      <c r="B101" s="175" t="s">
        <v>109</v>
      </c>
      <c r="C101" s="194"/>
      <c r="D101" s="215">
        <f>-T6B!G194</f>
        <v>0</v>
      </c>
      <c r="E101" s="189">
        <f>+D101</f>
        <v>0</v>
      </c>
      <c r="F101" s="193" t="s">
        <v>4</v>
      </c>
      <c r="H101" s="193"/>
    </row>
    <row r="102" spans="1:22" x14ac:dyDescent="0.2">
      <c r="B102" s="588"/>
      <c r="C102" s="589"/>
      <c r="D102" s="590"/>
      <c r="E102" s="590"/>
      <c r="F102" s="222"/>
      <c r="H102" s="222"/>
    </row>
    <row r="103" spans="1:22" ht="29.25" customHeight="1" x14ac:dyDescent="0.2">
      <c r="A103" s="167">
        <f>+A100+1</f>
        <v>18</v>
      </c>
      <c r="B103" s="180" t="s">
        <v>232</v>
      </c>
      <c r="C103" s="591"/>
      <c r="D103" s="207">
        <f>SUM(D104:D106)</f>
        <v>0</v>
      </c>
      <c r="E103" s="197">
        <f>SUM(E104:E106)</f>
        <v>0</v>
      </c>
      <c r="F103" s="193" t="s">
        <v>4</v>
      </c>
      <c r="H103" s="193"/>
    </row>
    <row r="104" spans="1:22" ht="29.25" customHeight="1" x14ac:dyDescent="0.2">
      <c r="B104" s="652" t="s">
        <v>207</v>
      </c>
      <c r="C104" s="592"/>
      <c r="D104" s="593">
        <v>0</v>
      </c>
      <c r="E104" s="593">
        <v>0</v>
      </c>
      <c r="F104" s="193"/>
      <c r="H104" s="193" t="s">
        <v>35</v>
      </c>
    </row>
    <row r="105" spans="1:22" ht="29.25" customHeight="1" x14ac:dyDescent="0.2">
      <c r="B105" s="652" t="s">
        <v>208</v>
      </c>
      <c r="C105" s="592"/>
      <c r="D105" s="593">
        <v>0</v>
      </c>
      <c r="E105" s="593">
        <v>0</v>
      </c>
      <c r="F105" s="193"/>
      <c r="H105" s="193" t="s">
        <v>35</v>
      </c>
    </row>
    <row r="106" spans="1:22" ht="29.25" customHeight="1" x14ac:dyDescent="0.2">
      <c r="B106" s="652" t="s">
        <v>209</v>
      </c>
      <c r="C106" s="592"/>
      <c r="D106" s="593">
        <v>0</v>
      </c>
      <c r="E106" s="593">
        <v>0</v>
      </c>
      <c r="F106" s="193"/>
      <c r="H106" s="193" t="s">
        <v>35</v>
      </c>
    </row>
    <row r="107" spans="1:22" ht="36.75" customHeight="1" x14ac:dyDescent="0.2">
      <c r="B107" s="180" t="s">
        <v>106</v>
      </c>
      <c r="C107" s="594"/>
      <c r="D107" s="207">
        <f>SUM(D108:D110)</f>
        <v>0</v>
      </c>
      <c r="E107" s="197">
        <f>SUM(E108:E110)</f>
        <v>0</v>
      </c>
      <c r="F107" s="193" t="s">
        <v>8</v>
      </c>
      <c r="H107" s="193"/>
    </row>
    <row r="108" spans="1:22" ht="29.25" customHeight="1" x14ac:dyDescent="0.2">
      <c r="B108" s="652" t="s">
        <v>223</v>
      </c>
      <c r="C108" s="592"/>
      <c r="D108" s="593">
        <v>0</v>
      </c>
      <c r="E108" s="593">
        <v>0</v>
      </c>
      <c r="F108" s="193"/>
      <c r="H108" s="193" t="s">
        <v>35</v>
      </c>
    </row>
    <row r="109" spans="1:22" ht="29.25" customHeight="1" x14ac:dyDescent="0.2">
      <c r="B109" s="652" t="s">
        <v>224</v>
      </c>
      <c r="C109" s="592"/>
      <c r="D109" s="593">
        <v>0</v>
      </c>
      <c r="E109" s="593">
        <v>0</v>
      </c>
      <c r="F109" s="193"/>
      <c r="H109" s="193" t="s">
        <v>35</v>
      </c>
    </row>
    <row r="110" spans="1:22" ht="45" customHeight="1" x14ac:dyDescent="0.2">
      <c r="B110" s="652" t="s">
        <v>225</v>
      </c>
      <c r="C110" s="592"/>
      <c r="D110" s="593">
        <v>0</v>
      </c>
      <c r="E110" s="593">
        <v>0</v>
      </c>
      <c r="F110" s="193"/>
      <c r="H110" s="193" t="s">
        <v>35</v>
      </c>
    </row>
    <row r="111" spans="1:22" s="301" customFormat="1" x14ac:dyDescent="0.2">
      <c r="B111" s="595"/>
      <c r="C111" s="596"/>
      <c r="D111" s="597"/>
      <c r="E111" s="597"/>
      <c r="F111" s="222"/>
      <c r="H111" s="222"/>
      <c r="I111" s="226"/>
    </row>
    <row r="112" spans="1:22" ht="33.75" customHeight="1" x14ac:dyDescent="0.2">
      <c r="A112" s="167">
        <f>A103+1</f>
        <v>19</v>
      </c>
      <c r="B112" s="598" t="s">
        <v>419</v>
      </c>
      <c r="C112" s="591"/>
      <c r="D112" s="599"/>
      <c r="E112" s="600"/>
      <c r="F112" s="601"/>
      <c r="H112" s="193"/>
    </row>
    <row r="113" spans="1:9" ht="17.45" customHeight="1" x14ac:dyDescent="0.2">
      <c r="B113" s="652" t="s">
        <v>5</v>
      </c>
      <c r="C113" s="592"/>
      <c r="D113" s="593">
        <v>0</v>
      </c>
      <c r="E113" s="593">
        <v>0</v>
      </c>
      <c r="F113" s="193" t="s">
        <v>4</v>
      </c>
      <c r="H113" s="193" t="s">
        <v>35</v>
      </c>
    </row>
    <row r="114" spans="1:9" ht="17.45" customHeight="1" x14ac:dyDescent="0.2">
      <c r="B114" s="652" t="s">
        <v>6</v>
      </c>
      <c r="C114" s="592"/>
      <c r="D114" s="593">
        <v>0</v>
      </c>
      <c r="E114" s="593">
        <v>0</v>
      </c>
      <c r="F114" s="193" t="s">
        <v>4</v>
      </c>
      <c r="H114" s="193" t="s">
        <v>35</v>
      </c>
    </row>
    <row r="115" spans="1:9" x14ac:dyDescent="0.2">
      <c r="B115" s="602"/>
      <c r="C115" s="603"/>
      <c r="D115" s="604"/>
      <c r="E115" s="604"/>
      <c r="F115" s="605"/>
      <c r="H115" s="222"/>
    </row>
    <row r="116" spans="1:9" ht="18.95" customHeight="1" x14ac:dyDescent="0.2">
      <c r="A116" s="167">
        <f>+A112+1</f>
        <v>20</v>
      </c>
      <c r="B116" s="606" t="s">
        <v>7</v>
      </c>
      <c r="C116" s="594"/>
      <c r="D116" s="607">
        <f>SUM(D117:D118)</f>
        <v>0</v>
      </c>
      <c r="E116" s="607">
        <f>SUM(E117:E118)</f>
        <v>0</v>
      </c>
      <c r="F116" s="193" t="s">
        <v>8</v>
      </c>
      <c r="H116" s="193"/>
    </row>
    <row r="117" spans="1:9" ht="18.95" customHeight="1" x14ac:dyDescent="0.2">
      <c r="B117" s="652" t="s">
        <v>221</v>
      </c>
      <c r="C117" s="592"/>
      <c r="D117" s="593">
        <v>0</v>
      </c>
      <c r="E117" s="593">
        <v>0</v>
      </c>
      <c r="F117" s="193"/>
      <c r="H117" s="193" t="s">
        <v>35</v>
      </c>
    </row>
    <row r="118" spans="1:9" ht="18.95" customHeight="1" x14ac:dyDescent="0.2">
      <c r="B118" s="652" t="s">
        <v>222</v>
      </c>
      <c r="C118" s="592"/>
      <c r="D118" s="593">
        <v>0</v>
      </c>
      <c r="E118" s="593">
        <v>0</v>
      </c>
      <c r="F118" s="193"/>
      <c r="H118" s="193" t="s">
        <v>35</v>
      </c>
    </row>
    <row r="119" spans="1:9" ht="18.95" customHeight="1" x14ac:dyDescent="0.2">
      <c r="B119" s="606" t="s">
        <v>9</v>
      </c>
      <c r="C119" s="594"/>
      <c r="D119" s="607">
        <f>SUM(D120:D121)</f>
        <v>0</v>
      </c>
      <c r="E119" s="607">
        <f>SUM(E120:E121)</f>
        <v>0</v>
      </c>
      <c r="F119" s="193" t="s">
        <v>8</v>
      </c>
      <c r="H119" s="193"/>
    </row>
    <row r="120" spans="1:9" ht="18.95" customHeight="1" x14ac:dyDescent="0.2">
      <c r="B120" s="652" t="s">
        <v>221</v>
      </c>
      <c r="C120" s="592"/>
      <c r="D120" s="593">
        <v>0</v>
      </c>
      <c r="E120" s="593">
        <v>0</v>
      </c>
      <c r="F120" s="193"/>
      <c r="H120" s="193" t="s">
        <v>35</v>
      </c>
    </row>
    <row r="121" spans="1:9" ht="18.95" customHeight="1" x14ac:dyDescent="0.2">
      <c r="B121" s="652" t="s">
        <v>222</v>
      </c>
      <c r="C121" s="592"/>
      <c r="D121" s="593">
        <v>0</v>
      </c>
      <c r="E121" s="593">
        <v>0</v>
      </c>
      <c r="F121" s="193"/>
      <c r="H121" s="193" t="s">
        <v>35</v>
      </c>
    </row>
    <row r="122" spans="1:9" x14ac:dyDescent="0.2">
      <c r="B122" s="602"/>
      <c r="C122" s="603"/>
      <c r="D122" s="604"/>
      <c r="E122" s="604"/>
      <c r="F122" s="205"/>
      <c r="H122" s="222"/>
    </row>
    <row r="123" spans="1:9" ht="33.75" customHeight="1" x14ac:dyDescent="0.2">
      <c r="A123" s="167">
        <f>+A116+1</f>
        <v>21</v>
      </c>
      <c r="B123" s="608" t="s">
        <v>421</v>
      </c>
      <c r="C123" s="592"/>
      <c r="D123" s="196">
        <v>0</v>
      </c>
      <c r="E123" s="196">
        <v>0</v>
      </c>
      <c r="F123" s="193" t="s">
        <v>4</v>
      </c>
      <c r="H123" s="193" t="s">
        <v>35</v>
      </c>
    </row>
    <row r="124" spans="1:9" x14ac:dyDescent="0.2">
      <c r="B124" s="586"/>
      <c r="C124" s="204"/>
      <c r="D124" s="604"/>
      <c r="E124" s="604"/>
      <c r="F124" s="205"/>
      <c r="H124" s="222"/>
    </row>
    <row r="125" spans="1:9" ht="32.25" customHeight="1" x14ac:dyDescent="0.2">
      <c r="A125" s="167">
        <f>A123+1</f>
        <v>22</v>
      </c>
      <c r="B125" s="608" t="s">
        <v>422</v>
      </c>
      <c r="C125" s="592"/>
      <c r="D125" s="196">
        <v>0</v>
      </c>
      <c r="E125" s="196">
        <v>0</v>
      </c>
      <c r="F125" s="193" t="s">
        <v>4</v>
      </c>
      <c r="H125" s="193" t="s">
        <v>35</v>
      </c>
      <c r="I125" s="227"/>
    </row>
    <row r="126" spans="1:9" x14ac:dyDescent="0.2">
      <c r="A126" s="301"/>
      <c r="B126" s="123"/>
      <c r="C126" s="609"/>
      <c r="D126" s="590"/>
      <c r="E126" s="590"/>
      <c r="F126" s="222"/>
      <c r="H126" s="222"/>
    </row>
    <row r="127" spans="1:9" ht="61.5" customHeight="1" x14ac:dyDescent="0.2">
      <c r="A127" s="167">
        <f>A125+1</f>
        <v>23</v>
      </c>
      <c r="B127" s="598" t="s">
        <v>423</v>
      </c>
      <c r="C127" s="594"/>
      <c r="D127" s="207"/>
      <c r="E127" s="197"/>
      <c r="F127" s="193"/>
      <c r="H127" s="193"/>
      <c r="I127" s="227"/>
    </row>
    <row r="128" spans="1:9" ht="15.6" customHeight="1" x14ac:dyDescent="0.2">
      <c r="B128" s="652" t="s">
        <v>210</v>
      </c>
      <c r="C128" s="592"/>
      <c r="D128" s="593">
        <v>0</v>
      </c>
      <c r="E128" s="593">
        <v>0</v>
      </c>
      <c r="F128" s="193" t="s">
        <v>4</v>
      </c>
      <c r="H128" s="193" t="s">
        <v>35</v>
      </c>
    </row>
    <row r="129" spans="1:22" ht="15.6" customHeight="1" x14ac:dyDescent="0.2">
      <c r="B129" s="652" t="s">
        <v>211</v>
      </c>
      <c r="C129" s="592"/>
      <c r="D129" s="593">
        <v>0</v>
      </c>
      <c r="E129" s="593">
        <v>0</v>
      </c>
      <c r="F129" s="193" t="s">
        <v>4</v>
      </c>
      <c r="H129" s="193" t="s">
        <v>35</v>
      </c>
    </row>
    <row r="130" spans="1:22" x14ac:dyDescent="0.2">
      <c r="A130" s="301"/>
      <c r="B130" s="123"/>
      <c r="C130" s="609"/>
      <c r="D130" s="590"/>
      <c r="E130" s="590"/>
      <c r="F130" s="222"/>
      <c r="H130" s="222"/>
    </row>
    <row r="131" spans="1:22" ht="36.6" customHeight="1" x14ac:dyDescent="0.2">
      <c r="A131" s="167">
        <f>+A127+1</f>
        <v>24</v>
      </c>
      <c r="B131" s="180" t="s">
        <v>226</v>
      </c>
      <c r="C131" s="594"/>
      <c r="D131" s="207"/>
      <c r="E131" s="197"/>
      <c r="F131" s="193"/>
      <c r="H131" s="193"/>
      <c r="I131" s="227"/>
    </row>
    <row r="132" spans="1:22" ht="20.100000000000001" customHeight="1" x14ac:dyDescent="0.2">
      <c r="B132" s="652" t="s">
        <v>227</v>
      </c>
      <c r="C132" s="592"/>
      <c r="D132" s="593">
        <v>0</v>
      </c>
      <c r="E132" s="593">
        <v>0</v>
      </c>
      <c r="F132" s="193" t="s">
        <v>8</v>
      </c>
      <c r="H132" s="193" t="s">
        <v>35</v>
      </c>
    </row>
    <row r="133" spans="1:22" ht="20.100000000000001" customHeight="1" x14ac:dyDescent="0.2">
      <c r="B133" s="652" t="s">
        <v>228</v>
      </c>
      <c r="C133" s="592"/>
      <c r="D133" s="593">
        <v>0</v>
      </c>
      <c r="E133" s="593">
        <v>0</v>
      </c>
      <c r="F133" s="193" t="s">
        <v>8</v>
      </c>
      <c r="H133" s="193" t="s">
        <v>35</v>
      </c>
    </row>
    <row r="134" spans="1:22" x14ac:dyDescent="0.2">
      <c r="A134" s="301"/>
      <c r="B134" s="123"/>
      <c r="C134" s="609"/>
      <c r="D134" s="590"/>
      <c r="E134" s="590"/>
      <c r="F134" s="222"/>
      <c r="H134" s="222"/>
    </row>
    <row r="135" spans="1:22" ht="27.6" customHeight="1" x14ac:dyDescent="0.2">
      <c r="A135" s="167">
        <f>+A131+1</f>
        <v>25</v>
      </c>
      <c r="B135" s="180" t="s">
        <v>229</v>
      </c>
      <c r="C135" s="594"/>
      <c r="D135" s="207"/>
      <c r="E135" s="197"/>
      <c r="F135" s="193"/>
      <c r="H135" s="193"/>
      <c r="I135" s="227"/>
    </row>
    <row r="136" spans="1:22" ht="20.100000000000001" customHeight="1" x14ac:dyDescent="0.2">
      <c r="B136" s="652" t="s">
        <v>227</v>
      </c>
      <c r="C136" s="592"/>
      <c r="D136" s="593">
        <v>0</v>
      </c>
      <c r="E136" s="593">
        <v>0</v>
      </c>
      <c r="F136" s="193" t="s">
        <v>4</v>
      </c>
      <c r="H136" s="193" t="s">
        <v>35</v>
      </c>
    </row>
    <row r="137" spans="1:22" ht="20.100000000000001" customHeight="1" x14ac:dyDescent="0.2">
      <c r="B137" s="652" t="s">
        <v>228</v>
      </c>
      <c r="C137" s="592"/>
      <c r="D137" s="593">
        <v>0</v>
      </c>
      <c r="E137" s="593">
        <v>0</v>
      </c>
      <c r="F137" s="193" t="s">
        <v>4</v>
      </c>
      <c r="H137" s="193" t="s">
        <v>35</v>
      </c>
    </row>
    <row r="138" spans="1:22" x14ac:dyDescent="0.2">
      <c r="B138" s="602"/>
      <c r="C138" s="603"/>
      <c r="D138" s="604"/>
      <c r="E138" s="604"/>
      <c r="F138" s="205"/>
      <c r="H138" s="222"/>
    </row>
    <row r="139" spans="1:22" ht="33.75" customHeight="1" x14ac:dyDescent="0.2">
      <c r="A139" s="167">
        <f>+A135+1</f>
        <v>26</v>
      </c>
      <c r="B139" s="612" t="s">
        <v>230</v>
      </c>
      <c r="C139" s="592"/>
      <c r="D139" s="196">
        <v>0</v>
      </c>
      <c r="E139" s="196">
        <v>0</v>
      </c>
      <c r="F139" s="193" t="s">
        <v>4</v>
      </c>
      <c r="H139" s="193" t="s">
        <v>35</v>
      </c>
    </row>
    <row r="140" spans="1:22" x14ac:dyDescent="0.2">
      <c r="B140" s="602"/>
      <c r="C140" s="603"/>
      <c r="D140" s="604"/>
      <c r="E140" s="604"/>
      <c r="F140" s="205"/>
      <c r="H140" s="222"/>
    </row>
    <row r="141" spans="1:22" s="1130" customFormat="1" ht="33.75" customHeight="1" x14ac:dyDescent="0.2">
      <c r="A141" s="1130">
        <f>+A139+1</f>
        <v>27</v>
      </c>
      <c r="B141" s="1131" t="s">
        <v>457</v>
      </c>
      <c r="C141" s="1132"/>
      <c r="D141" s="1133">
        <v>0</v>
      </c>
      <c r="E141" s="1133">
        <v>0</v>
      </c>
      <c r="F141" s="1134" t="s">
        <v>4</v>
      </c>
      <c r="H141" s="1134" t="s">
        <v>35</v>
      </c>
      <c r="I141" s="1135" t="s">
        <v>458</v>
      </c>
    </row>
    <row r="142" spans="1:22" x14ac:dyDescent="0.2">
      <c r="B142" s="602"/>
      <c r="C142" s="603"/>
      <c r="D142" s="604"/>
      <c r="E142" s="604"/>
      <c r="F142" s="205"/>
      <c r="H142" s="222"/>
    </row>
    <row r="143" spans="1:22" s="1130" customFormat="1" ht="33.75" customHeight="1" x14ac:dyDescent="0.2">
      <c r="A143" s="1130">
        <f>+A141+1</f>
        <v>28</v>
      </c>
      <c r="B143" s="1131" t="s">
        <v>456</v>
      </c>
      <c r="C143" s="1132"/>
      <c r="D143" s="1133">
        <v>0</v>
      </c>
      <c r="E143" s="1133">
        <v>0</v>
      </c>
      <c r="F143" s="1134" t="s">
        <v>8</v>
      </c>
      <c r="H143" s="1134" t="s">
        <v>35</v>
      </c>
      <c r="I143" s="1135" t="s">
        <v>458</v>
      </c>
    </row>
    <row r="144" spans="1:22" s="661" customFormat="1" x14ac:dyDescent="0.2">
      <c r="B144" s="960"/>
      <c r="C144" s="663"/>
      <c r="F144" s="663"/>
      <c r="H144" s="663"/>
      <c r="I144" s="664"/>
      <c r="L144" s="669"/>
      <c r="M144" s="669"/>
      <c r="N144" s="669"/>
      <c r="O144" s="669"/>
      <c r="P144" s="669"/>
      <c r="Q144" s="669"/>
      <c r="R144" s="669"/>
      <c r="S144" s="669"/>
      <c r="T144" s="669"/>
      <c r="U144" s="669"/>
      <c r="V144" s="669"/>
    </row>
    <row r="145" spans="1:22" s="661" customFormat="1" x14ac:dyDescent="0.2">
      <c r="B145" s="960"/>
      <c r="C145" s="663"/>
      <c r="F145" s="663"/>
      <c r="H145" s="663"/>
      <c r="I145" s="664"/>
      <c r="L145" s="669"/>
      <c r="M145" s="669"/>
      <c r="N145" s="669"/>
      <c r="O145" s="669"/>
      <c r="P145" s="669"/>
      <c r="Q145" s="669"/>
      <c r="R145" s="669"/>
      <c r="S145" s="669"/>
      <c r="T145" s="669"/>
      <c r="U145" s="669"/>
      <c r="V145" s="669"/>
    </row>
    <row r="146" spans="1:22" s="661" customFormat="1" ht="17.45" customHeight="1" x14ac:dyDescent="0.2">
      <c r="B146" s="961" t="s">
        <v>410</v>
      </c>
      <c r="C146" s="962"/>
      <c r="D146" s="963"/>
      <c r="E146" s="963"/>
      <c r="F146" s="962"/>
      <c r="G146" s="963"/>
      <c r="H146" s="964"/>
      <c r="I146" s="664"/>
      <c r="L146" s="669"/>
      <c r="M146" s="669"/>
      <c r="N146" s="669"/>
      <c r="O146" s="669"/>
      <c r="P146" s="669"/>
      <c r="Q146" s="669"/>
      <c r="R146" s="669"/>
      <c r="S146" s="669"/>
      <c r="T146" s="669"/>
      <c r="U146" s="669"/>
      <c r="V146" s="669"/>
    </row>
    <row r="147" spans="1:22" s="661" customFormat="1" x14ac:dyDescent="0.2">
      <c r="B147" s="960"/>
      <c r="C147" s="663"/>
      <c r="F147" s="663"/>
      <c r="H147" s="663"/>
      <c r="I147" s="664"/>
      <c r="L147" s="669"/>
      <c r="M147" s="669"/>
      <c r="N147" s="669"/>
      <c r="O147" s="669"/>
      <c r="P147" s="669"/>
      <c r="Q147" s="669"/>
      <c r="R147" s="669"/>
      <c r="S147" s="669"/>
      <c r="T147" s="669"/>
      <c r="U147" s="669"/>
      <c r="V147" s="669"/>
    </row>
    <row r="148" spans="1:22" s="661" customFormat="1" x14ac:dyDescent="0.2">
      <c r="B148" s="960"/>
      <c r="C148" s="663"/>
      <c r="F148" s="663"/>
      <c r="H148" s="663"/>
      <c r="I148" s="664"/>
      <c r="L148" s="669"/>
      <c r="M148" s="669"/>
      <c r="N148" s="669"/>
      <c r="O148" s="669"/>
      <c r="P148" s="669"/>
      <c r="Q148" s="669"/>
      <c r="R148" s="669"/>
      <c r="S148" s="669"/>
      <c r="T148" s="669"/>
      <c r="U148" s="669"/>
      <c r="V148" s="669"/>
    </row>
    <row r="149" spans="1:22" s="661" customFormat="1" ht="17.45" customHeight="1" x14ac:dyDescent="0.2">
      <c r="B149" s="961" t="s">
        <v>411</v>
      </c>
      <c r="C149" s="962"/>
      <c r="D149" s="963"/>
      <c r="E149" s="963"/>
      <c r="F149" s="962"/>
      <c r="G149" s="963"/>
      <c r="H149" s="964"/>
      <c r="I149" s="664"/>
      <c r="L149" s="669"/>
      <c r="M149" s="669"/>
      <c r="N149" s="669"/>
      <c r="O149" s="669"/>
      <c r="P149" s="669"/>
      <c r="Q149" s="669"/>
      <c r="R149" s="669"/>
      <c r="S149" s="669"/>
      <c r="T149" s="669"/>
      <c r="U149" s="669"/>
      <c r="V149" s="669"/>
    </row>
    <row r="150" spans="1:22" x14ac:dyDescent="0.2">
      <c r="L150" s="296"/>
      <c r="M150" s="296"/>
      <c r="N150" s="296"/>
      <c r="O150" s="296"/>
      <c r="P150" s="296"/>
      <c r="Q150" s="296"/>
      <c r="R150" s="296"/>
      <c r="S150" s="296"/>
      <c r="T150" s="296"/>
      <c r="U150" s="296"/>
      <c r="V150" s="296"/>
    </row>
    <row r="151" spans="1:22" ht="55.5" customHeight="1" x14ac:dyDescent="0.2">
      <c r="A151" s="167">
        <f>A143+1</f>
        <v>29</v>
      </c>
      <c r="B151" s="180" t="s">
        <v>121</v>
      </c>
      <c r="C151" s="2" t="s">
        <v>102</v>
      </c>
      <c r="D151" s="197"/>
      <c r="E151" s="197"/>
      <c r="F151" s="193"/>
      <c r="H151" s="193"/>
      <c r="L151" s="296"/>
      <c r="M151" s="296"/>
      <c r="N151" s="296"/>
      <c r="O151" s="296"/>
      <c r="P151" s="296"/>
      <c r="Q151" s="296"/>
      <c r="R151" s="296"/>
      <c r="S151" s="296"/>
      <c r="T151" s="296"/>
      <c r="U151" s="296"/>
      <c r="V151" s="296"/>
    </row>
    <row r="152" spans="1:22" ht="27.95" customHeight="1" x14ac:dyDescent="0.2">
      <c r="B152" s="175" t="s">
        <v>111</v>
      </c>
      <c r="C152" s="160"/>
      <c r="D152" s="189">
        <f>-T4B!G227</f>
        <v>0</v>
      </c>
      <c r="E152" s="189">
        <f>+D152</f>
        <v>0</v>
      </c>
      <c r="F152" s="195" t="s">
        <v>4</v>
      </c>
      <c r="H152" s="195"/>
    </row>
    <row r="153" spans="1:22" x14ac:dyDescent="0.2">
      <c r="L153" s="296"/>
      <c r="M153" s="296"/>
      <c r="N153" s="296"/>
      <c r="O153" s="296"/>
      <c r="P153" s="296"/>
      <c r="Q153" s="296"/>
      <c r="R153" s="296"/>
      <c r="S153" s="296"/>
      <c r="T153" s="296"/>
      <c r="U153" s="296"/>
      <c r="V153" s="296"/>
    </row>
    <row r="154" spans="1:22" ht="72.75" customHeight="1" x14ac:dyDescent="0.2">
      <c r="A154" s="167">
        <f>+A151+1</f>
        <v>30</v>
      </c>
      <c r="B154" s="180" t="s">
        <v>369</v>
      </c>
      <c r="C154" s="2" t="s">
        <v>117</v>
      </c>
      <c r="D154" s="197"/>
      <c r="E154" s="197"/>
      <c r="F154" s="193"/>
      <c r="H154" s="193"/>
    </row>
    <row r="155" spans="1:22" ht="27.95" customHeight="1" x14ac:dyDescent="0.2">
      <c r="B155" s="175" t="s">
        <v>111</v>
      </c>
      <c r="C155" s="160"/>
      <c r="D155" s="189">
        <f>-T5B!G227</f>
        <v>0</v>
      </c>
      <c r="E155" s="189">
        <f>+D155</f>
        <v>0</v>
      </c>
      <c r="F155" s="195" t="s">
        <v>4</v>
      </c>
      <c r="H155" s="195"/>
    </row>
    <row r="156" spans="1:22" x14ac:dyDescent="0.2">
      <c r="L156" s="296"/>
      <c r="M156" s="296"/>
      <c r="N156" s="296"/>
      <c r="O156" s="296"/>
      <c r="P156" s="296"/>
      <c r="Q156" s="296"/>
      <c r="R156" s="296"/>
      <c r="S156" s="296"/>
      <c r="T156" s="296"/>
      <c r="U156" s="296"/>
      <c r="V156" s="296"/>
    </row>
    <row r="157" spans="1:22" ht="59.25" customHeight="1" x14ac:dyDescent="0.2">
      <c r="A157" s="167">
        <f>A154+1</f>
        <v>31</v>
      </c>
      <c r="B157" s="180" t="s">
        <v>125</v>
      </c>
      <c r="C157" s="2" t="s">
        <v>135</v>
      </c>
      <c r="D157" s="197"/>
      <c r="E157" s="193"/>
      <c r="F157" s="193"/>
      <c r="H157" s="193"/>
    </row>
    <row r="158" spans="1:22" ht="27.95" customHeight="1" x14ac:dyDescent="0.2">
      <c r="B158" s="175" t="s">
        <v>111</v>
      </c>
      <c r="C158" s="194"/>
      <c r="D158" s="215">
        <f>-T6B!G195</f>
        <v>0</v>
      </c>
      <c r="E158" s="189">
        <f>+D158</f>
        <v>0</v>
      </c>
      <c r="F158" s="193" t="s">
        <v>4</v>
      </c>
      <c r="H158" s="193"/>
    </row>
    <row r="159" spans="1:22" s="661" customFormat="1" x14ac:dyDescent="0.2">
      <c r="B159" s="960"/>
      <c r="C159" s="663"/>
      <c r="F159" s="663"/>
      <c r="H159" s="663"/>
      <c r="I159" s="664"/>
      <c r="L159" s="669"/>
      <c r="M159" s="669"/>
      <c r="N159" s="669"/>
      <c r="O159" s="669"/>
      <c r="P159" s="669"/>
      <c r="Q159" s="669"/>
      <c r="R159" s="669"/>
      <c r="S159" s="669"/>
      <c r="T159" s="669"/>
      <c r="U159" s="669"/>
      <c r="V159" s="669"/>
    </row>
    <row r="160" spans="1:22" s="661" customFormat="1" x14ac:dyDescent="0.2">
      <c r="B160" s="960"/>
      <c r="C160" s="663"/>
      <c r="F160" s="663"/>
      <c r="H160" s="663"/>
      <c r="I160" s="664"/>
      <c r="L160" s="669"/>
      <c r="M160" s="669"/>
      <c r="N160" s="669"/>
      <c r="O160" s="669"/>
      <c r="P160" s="669"/>
      <c r="Q160" s="669"/>
      <c r="R160" s="669"/>
      <c r="S160" s="669"/>
      <c r="T160" s="669"/>
      <c r="U160" s="669"/>
      <c r="V160" s="669"/>
    </row>
    <row r="161" spans="1:22" s="661" customFormat="1" ht="17.45" customHeight="1" x14ac:dyDescent="0.2">
      <c r="B161" s="1209" t="s">
        <v>424</v>
      </c>
      <c r="C161" s="1210"/>
      <c r="D161" s="963"/>
      <c r="E161" s="963"/>
      <c r="F161" s="962"/>
      <c r="G161" s="963"/>
      <c r="H161" s="964"/>
      <c r="I161" s="664"/>
      <c r="L161" s="669"/>
      <c r="M161" s="669"/>
      <c r="N161" s="669"/>
      <c r="O161" s="669"/>
      <c r="P161" s="669"/>
      <c r="Q161" s="669"/>
      <c r="R161" s="669"/>
      <c r="S161" s="669"/>
      <c r="T161" s="669"/>
      <c r="U161" s="669"/>
      <c r="V161" s="669"/>
    </row>
    <row r="162" spans="1:22" x14ac:dyDescent="0.2">
      <c r="L162" s="296"/>
      <c r="M162" s="296"/>
      <c r="N162" s="296"/>
      <c r="O162" s="296"/>
      <c r="P162" s="296"/>
      <c r="Q162" s="296"/>
      <c r="R162" s="296"/>
      <c r="S162" s="296"/>
      <c r="T162" s="296"/>
      <c r="U162" s="296"/>
      <c r="V162" s="296"/>
    </row>
    <row r="163" spans="1:22" ht="55.5" customHeight="1" x14ac:dyDescent="0.2">
      <c r="A163" s="167">
        <f>+A157+1</f>
        <v>32</v>
      </c>
      <c r="B163" s="180" t="s">
        <v>121</v>
      </c>
      <c r="C163" s="2" t="s">
        <v>102</v>
      </c>
      <c r="D163" s="197"/>
      <c r="E163" s="197"/>
      <c r="F163" s="193"/>
      <c r="H163" s="193"/>
      <c r="L163" s="296"/>
      <c r="M163" s="296"/>
      <c r="N163" s="296"/>
      <c r="O163" s="296"/>
      <c r="P163" s="296"/>
      <c r="Q163" s="296"/>
      <c r="R163" s="296"/>
      <c r="S163" s="296"/>
      <c r="T163" s="296"/>
      <c r="U163" s="296"/>
      <c r="V163" s="296"/>
    </row>
    <row r="164" spans="1:22" ht="27.95" customHeight="1" x14ac:dyDescent="0.2">
      <c r="B164" s="175" t="s">
        <v>112</v>
      </c>
      <c r="C164" s="160"/>
      <c r="D164" s="189">
        <f>-T4B!G228</f>
        <v>0</v>
      </c>
      <c r="E164" s="189">
        <f t="shared" ref="E164" si="0">+D164</f>
        <v>0</v>
      </c>
      <c r="F164" s="195" t="s">
        <v>4</v>
      </c>
      <c r="H164" s="195"/>
    </row>
    <row r="165" spans="1:22" x14ac:dyDescent="0.2">
      <c r="L165" s="296"/>
      <c r="M165" s="296"/>
      <c r="N165" s="296"/>
      <c r="O165" s="296"/>
      <c r="P165" s="296"/>
      <c r="Q165" s="296"/>
      <c r="R165" s="296"/>
      <c r="S165" s="296"/>
      <c r="T165" s="296"/>
      <c r="U165" s="296"/>
      <c r="V165" s="296"/>
    </row>
    <row r="166" spans="1:22" ht="72.599999999999994" customHeight="1" x14ac:dyDescent="0.2">
      <c r="A166" s="167">
        <f>+A163+1</f>
        <v>33</v>
      </c>
      <c r="B166" s="180" t="s">
        <v>369</v>
      </c>
      <c r="C166" s="2" t="s">
        <v>117</v>
      </c>
      <c r="D166" s="197"/>
      <c r="E166" s="197"/>
      <c r="F166" s="193"/>
      <c r="H166" s="193"/>
    </row>
    <row r="167" spans="1:22" ht="27.95" customHeight="1" x14ac:dyDescent="0.2">
      <c r="B167" s="175" t="s">
        <v>112</v>
      </c>
      <c r="C167" s="160"/>
      <c r="D167" s="189">
        <f>-T5B!G228</f>
        <v>0</v>
      </c>
      <c r="E167" s="189">
        <f t="shared" ref="E167" si="1">+D167</f>
        <v>0</v>
      </c>
      <c r="F167" s="195" t="s">
        <v>4</v>
      </c>
      <c r="H167" s="195"/>
    </row>
    <row r="168" spans="1:22" x14ac:dyDescent="0.2">
      <c r="L168" s="296"/>
      <c r="M168" s="296"/>
      <c r="N168" s="296"/>
      <c r="O168" s="296"/>
      <c r="P168" s="296"/>
      <c r="Q168" s="296"/>
      <c r="R168" s="296"/>
      <c r="S168" s="296"/>
      <c r="T168" s="296"/>
      <c r="U168" s="296"/>
      <c r="V168" s="296"/>
    </row>
    <row r="169" spans="1:22" ht="59.25" customHeight="1" x14ac:dyDescent="0.2">
      <c r="A169" s="167">
        <f>A166+1</f>
        <v>34</v>
      </c>
      <c r="B169" s="180" t="s">
        <v>125</v>
      </c>
      <c r="C169" s="2" t="s">
        <v>135</v>
      </c>
      <c r="D169" s="197"/>
      <c r="E169" s="193"/>
      <c r="F169" s="193"/>
      <c r="H169" s="193"/>
    </row>
    <row r="170" spans="1:22" ht="27.95" customHeight="1" x14ac:dyDescent="0.2">
      <c r="B170" s="175" t="s">
        <v>112</v>
      </c>
      <c r="C170" s="194"/>
      <c r="D170" s="215">
        <f>-T6B!G196</f>
        <v>0</v>
      </c>
      <c r="E170" s="189">
        <f t="shared" ref="E170" si="2">+D170</f>
        <v>0</v>
      </c>
      <c r="F170" s="193" t="s">
        <v>4</v>
      </c>
      <c r="H170" s="193"/>
    </row>
    <row r="171" spans="1:22" x14ac:dyDescent="0.2">
      <c r="B171" s="123"/>
      <c r="C171" s="611"/>
      <c r="D171" s="622"/>
      <c r="E171" s="622"/>
      <c r="F171" s="222"/>
      <c r="H171" s="167"/>
    </row>
    <row r="172" spans="1:22" ht="19.5" customHeight="1" x14ac:dyDescent="0.2">
      <c r="A172" s="167">
        <f>+A169+1</f>
        <v>35</v>
      </c>
      <c r="B172" s="180" t="s">
        <v>31</v>
      </c>
      <c r="C172" s="2"/>
      <c r="D172" s="197">
        <f>SUM(D173:D175)</f>
        <v>0</v>
      </c>
      <c r="E172" s="197">
        <f>SUM(E173:E175)</f>
        <v>0</v>
      </c>
      <c r="F172" s="193" t="s">
        <v>4</v>
      </c>
      <c r="H172" s="614"/>
    </row>
    <row r="173" spans="1:22" s="661" customFormat="1" ht="27.6" customHeight="1" x14ac:dyDescent="0.2">
      <c r="B173" s="966" t="s">
        <v>42</v>
      </c>
      <c r="C173" s="967"/>
      <c r="D173" s="593">
        <v>0</v>
      </c>
      <c r="E173" s="593">
        <v>0</v>
      </c>
      <c r="F173" s="968"/>
      <c r="H173" s="968" t="s">
        <v>35</v>
      </c>
      <c r="I173" s="664"/>
    </row>
    <row r="174" spans="1:22" s="661" customFormat="1" ht="27.6" customHeight="1" x14ac:dyDescent="0.2">
      <c r="B174" s="966" t="s">
        <v>290</v>
      </c>
      <c r="C174" s="967"/>
      <c r="D174" s="593">
        <v>0</v>
      </c>
      <c r="E174" s="593">
        <v>0</v>
      </c>
      <c r="F174" s="968"/>
      <c r="H174" s="968" t="s">
        <v>35</v>
      </c>
      <c r="I174" s="664"/>
    </row>
    <row r="175" spans="1:22" s="661" customFormat="1" ht="27.6" customHeight="1" x14ac:dyDescent="0.2">
      <c r="B175" s="966" t="s">
        <v>291</v>
      </c>
      <c r="C175" s="967"/>
      <c r="D175" s="593">
        <v>0</v>
      </c>
      <c r="E175" s="593">
        <v>0</v>
      </c>
      <c r="F175" s="968"/>
      <c r="H175" s="968" t="s">
        <v>35</v>
      </c>
      <c r="I175" s="664"/>
    </row>
    <row r="176" spans="1:22" s="661" customFormat="1" x14ac:dyDescent="0.2">
      <c r="B176" s="960"/>
      <c r="C176" s="663"/>
      <c r="F176" s="663"/>
      <c r="H176" s="663"/>
      <c r="I176" s="664"/>
      <c r="L176" s="669"/>
      <c r="M176" s="669"/>
      <c r="N176" s="669"/>
      <c r="O176" s="669"/>
      <c r="P176" s="669"/>
      <c r="Q176" s="669"/>
      <c r="R176" s="669"/>
      <c r="S176" s="669"/>
      <c r="T176" s="669"/>
      <c r="U176" s="669"/>
      <c r="V176" s="669"/>
    </row>
    <row r="177" spans="1:22" s="661" customFormat="1" x14ac:dyDescent="0.2">
      <c r="B177" s="960"/>
      <c r="C177" s="663"/>
      <c r="F177" s="663"/>
      <c r="H177" s="663"/>
      <c r="I177" s="664"/>
      <c r="L177" s="669"/>
      <c r="M177" s="669"/>
      <c r="N177" s="669"/>
      <c r="O177" s="669"/>
      <c r="P177" s="669"/>
      <c r="Q177" s="669"/>
      <c r="R177" s="669"/>
      <c r="S177" s="669"/>
      <c r="T177" s="669"/>
      <c r="U177" s="669"/>
      <c r="V177" s="669"/>
    </row>
    <row r="178" spans="1:22" s="661" customFormat="1" ht="17.45" customHeight="1" x14ac:dyDescent="0.2">
      <c r="B178" s="961" t="s">
        <v>412</v>
      </c>
      <c r="C178" s="962"/>
      <c r="D178" s="963"/>
      <c r="E178" s="963"/>
      <c r="F178" s="962"/>
      <c r="G178" s="963"/>
      <c r="H178" s="964"/>
      <c r="I178" s="664"/>
      <c r="L178" s="669"/>
      <c r="M178" s="669"/>
      <c r="N178" s="669"/>
      <c r="O178" s="669"/>
      <c r="P178" s="669"/>
      <c r="Q178" s="669"/>
      <c r="R178" s="669"/>
      <c r="S178" s="669"/>
      <c r="T178" s="669"/>
      <c r="U178" s="669"/>
      <c r="V178" s="669"/>
    </row>
    <row r="179" spans="1:22" x14ac:dyDescent="0.2">
      <c r="L179" s="296"/>
      <c r="M179" s="296"/>
      <c r="N179" s="296"/>
      <c r="O179" s="296"/>
      <c r="P179" s="296"/>
      <c r="Q179" s="296"/>
      <c r="R179" s="296"/>
      <c r="S179" s="296"/>
      <c r="T179" s="296"/>
      <c r="U179" s="296"/>
      <c r="V179" s="296"/>
    </row>
    <row r="180" spans="1:22" ht="49.5" customHeight="1" x14ac:dyDescent="0.2">
      <c r="A180" s="167">
        <f>+A172+1</f>
        <v>36</v>
      </c>
      <c r="B180" s="180" t="s">
        <v>122</v>
      </c>
      <c r="C180" s="2" t="s">
        <v>149</v>
      </c>
      <c r="D180" s="207">
        <f>-IF($R$1=2021,VLOOKUP(D12,T4C!A104:B104,2,FALSE),0)</f>
        <v>0</v>
      </c>
      <c r="E180" s="197">
        <f>+D180</f>
        <v>0</v>
      </c>
      <c r="F180" s="193" t="s">
        <v>4</v>
      </c>
      <c r="H180" s="193"/>
    </row>
    <row r="181" spans="1:22" x14ac:dyDescent="0.2">
      <c r="L181" s="296"/>
      <c r="M181" s="296"/>
      <c r="N181" s="296"/>
      <c r="O181" s="296"/>
      <c r="P181" s="296"/>
      <c r="Q181" s="296"/>
      <c r="R181" s="296"/>
      <c r="S181" s="296"/>
      <c r="T181" s="296"/>
      <c r="U181" s="296"/>
      <c r="V181" s="296"/>
    </row>
    <row r="182" spans="1:22" ht="32.25" customHeight="1" x14ac:dyDescent="0.2">
      <c r="A182" s="167">
        <f>+A180+1</f>
        <v>37</v>
      </c>
      <c r="B182" s="180" t="s">
        <v>148</v>
      </c>
      <c r="C182" s="619"/>
      <c r="D182" s="651">
        <f>+D183*D184</f>
        <v>0</v>
      </c>
      <c r="E182" s="651">
        <f>+E183*E184</f>
        <v>0</v>
      </c>
      <c r="F182" s="193" t="s">
        <v>4</v>
      </c>
      <c r="H182" s="614"/>
    </row>
    <row r="183" spans="1:22" ht="42" customHeight="1" x14ac:dyDescent="0.2">
      <c r="B183" s="191" t="str">
        <f>"Gecumuleerd regulatoir saldo exogene kosten m.b.t. transmissie bij het begin van het boekjaar (01/01/"&amp;R1&amp;") (positieve waarde voor tekort, en omgekeerd)"</f>
        <v>Gecumuleerd regulatoir saldo exogene kosten m.b.t. transmissie bij het begin van het boekjaar (01/01/2021) (positieve waarde voor tekort, en omgekeerd)</v>
      </c>
      <c r="C183" s="2"/>
      <c r="D183" s="617">
        <f>+VLOOKUP($R$1-1,T4C!$B$51:$K$57,10,FALSE)-INDEX(T4C!$H$56:$I$57,MATCH('T3'!$R$1-1,T4C!$B$56:$B$57,0),MATCH('T3'!$R$1-1,T4C!$H$50:$I$50,0))</f>
        <v>0</v>
      </c>
      <c r="E183" s="617">
        <f>IF($S$1="ex-ante",0,IF($S$1="ex-post",VLOOKUP($R$1-1,T4C!$B$56:$K$57,10,FALSE),0))</f>
        <v>0</v>
      </c>
      <c r="F183" s="620"/>
      <c r="H183" s="614"/>
    </row>
    <row r="184" spans="1:22" ht="33" customHeight="1" x14ac:dyDescent="0.2">
      <c r="B184" s="191" t="str">
        <f>"Kapitaalkostvergoeding voor boekjaar "&amp;R1&amp;" (in te vullen door de VREG)"</f>
        <v>Kapitaalkostvergoeding voor boekjaar 2021 (in te vullen door de VREG)</v>
      </c>
      <c r="C184" s="621"/>
      <c r="D184" s="181">
        <f>+D50</f>
        <v>0</v>
      </c>
      <c r="E184" s="181">
        <f>+E50</f>
        <v>0</v>
      </c>
      <c r="F184" s="620"/>
      <c r="H184" s="614"/>
    </row>
    <row r="186" spans="1:22" ht="40.5" customHeight="1" x14ac:dyDescent="0.2">
      <c r="A186" s="167">
        <f>+A182+1</f>
        <v>38</v>
      </c>
      <c r="B186" s="598" t="s">
        <v>150</v>
      </c>
      <c r="C186" s="594"/>
      <c r="D186" s="207">
        <f>SUM(D187:D202)</f>
        <v>0</v>
      </c>
      <c r="E186" s="207">
        <f>SUM(E187:E202)</f>
        <v>0</v>
      </c>
      <c r="F186" s="193" t="s">
        <v>4</v>
      </c>
      <c r="H186" s="193" t="s">
        <v>35</v>
      </c>
    </row>
    <row r="187" spans="1:22" ht="27.6" customHeight="1" x14ac:dyDescent="0.2">
      <c r="B187" s="652" t="s">
        <v>415</v>
      </c>
      <c r="C187" s="592"/>
      <c r="D187" s="196">
        <v>0</v>
      </c>
      <c r="E187" s="196">
        <v>0</v>
      </c>
      <c r="F187" s="193"/>
      <c r="H187" s="193"/>
    </row>
    <row r="188" spans="1:22" ht="27.6" customHeight="1" x14ac:dyDescent="0.2">
      <c r="B188" s="652" t="s">
        <v>416</v>
      </c>
      <c r="C188" s="592"/>
      <c r="D188" s="196">
        <v>0</v>
      </c>
      <c r="E188" s="196">
        <v>0</v>
      </c>
      <c r="F188" s="193"/>
      <c r="H188" s="193"/>
    </row>
    <row r="189" spans="1:22" ht="27.6" customHeight="1" x14ac:dyDescent="0.2">
      <c r="B189" s="652" t="s">
        <v>417</v>
      </c>
      <c r="C189" s="592"/>
      <c r="D189" s="196">
        <v>0</v>
      </c>
      <c r="E189" s="196">
        <v>0</v>
      </c>
      <c r="F189" s="193"/>
      <c r="H189" s="193"/>
    </row>
    <row r="190" spans="1:22" ht="27.6" customHeight="1" x14ac:dyDescent="0.2">
      <c r="B190" s="652" t="s">
        <v>418</v>
      </c>
      <c r="C190" s="592"/>
      <c r="D190" s="196">
        <v>0</v>
      </c>
      <c r="E190" s="196">
        <v>0</v>
      </c>
      <c r="F190" s="193"/>
      <c r="H190" s="193"/>
    </row>
    <row r="191" spans="1:22" ht="20.45" customHeight="1" x14ac:dyDescent="0.2">
      <c r="B191" s="652" t="s">
        <v>212</v>
      </c>
      <c r="C191" s="592"/>
      <c r="D191" s="196">
        <v>0</v>
      </c>
      <c r="E191" s="196">
        <v>0</v>
      </c>
      <c r="F191" s="193"/>
      <c r="H191" s="193"/>
    </row>
    <row r="192" spans="1:22" ht="20.45" customHeight="1" x14ac:dyDescent="0.2">
      <c r="B192" s="652" t="s">
        <v>371</v>
      </c>
      <c r="C192" s="592"/>
      <c r="D192" s="196">
        <v>0</v>
      </c>
      <c r="E192" s="196">
        <v>0</v>
      </c>
      <c r="F192" s="193"/>
      <c r="H192" s="193"/>
    </row>
    <row r="193" spans="1:8" ht="20.45" customHeight="1" x14ac:dyDescent="0.2">
      <c r="B193" s="652" t="s">
        <v>213</v>
      </c>
      <c r="C193" s="592"/>
      <c r="D193" s="196">
        <v>0</v>
      </c>
      <c r="E193" s="196">
        <v>0</v>
      </c>
      <c r="F193" s="193"/>
      <c r="H193" s="193"/>
    </row>
    <row r="194" spans="1:8" ht="20.45" customHeight="1" x14ac:dyDescent="0.2">
      <c r="B194" s="652" t="s">
        <v>214</v>
      </c>
      <c r="C194" s="592"/>
      <c r="D194" s="196">
        <v>0</v>
      </c>
      <c r="E194" s="196">
        <v>0</v>
      </c>
      <c r="F194" s="193"/>
      <c r="H194" s="193"/>
    </row>
    <row r="195" spans="1:8" ht="20.45" customHeight="1" x14ac:dyDescent="0.2">
      <c r="B195" s="652" t="s">
        <v>215</v>
      </c>
      <c r="C195" s="592"/>
      <c r="D195" s="196">
        <v>0</v>
      </c>
      <c r="E195" s="196">
        <v>0</v>
      </c>
      <c r="F195" s="193"/>
      <c r="H195" s="193"/>
    </row>
    <row r="196" spans="1:8" ht="20.45" customHeight="1" x14ac:dyDescent="0.2">
      <c r="B196" s="652" t="s">
        <v>216</v>
      </c>
      <c r="C196" s="592"/>
      <c r="D196" s="196">
        <v>0</v>
      </c>
      <c r="E196" s="196">
        <v>0</v>
      </c>
      <c r="F196" s="193"/>
      <c r="H196" s="193"/>
    </row>
    <row r="197" spans="1:8" ht="20.45" customHeight="1" x14ac:dyDescent="0.2">
      <c r="B197" s="652" t="s">
        <v>217</v>
      </c>
      <c r="C197" s="592"/>
      <c r="D197" s="196">
        <v>0</v>
      </c>
      <c r="E197" s="196">
        <v>0</v>
      </c>
      <c r="F197" s="193"/>
      <c r="H197" s="193"/>
    </row>
    <row r="198" spans="1:8" ht="20.45" customHeight="1" x14ac:dyDescent="0.2">
      <c r="B198" s="652" t="s">
        <v>218</v>
      </c>
      <c r="C198" s="592"/>
      <c r="D198" s="196">
        <v>0</v>
      </c>
      <c r="E198" s="196">
        <v>0</v>
      </c>
      <c r="F198" s="193"/>
      <c r="H198" s="193"/>
    </row>
    <row r="199" spans="1:8" ht="20.45" customHeight="1" x14ac:dyDescent="0.2">
      <c r="B199" s="652" t="s">
        <v>219</v>
      </c>
      <c r="C199" s="592"/>
      <c r="D199" s="196">
        <v>0</v>
      </c>
      <c r="E199" s="196">
        <v>0</v>
      </c>
      <c r="F199" s="193"/>
      <c r="H199" s="193"/>
    </row>
    <row r="200" spans="1:8" ht="20.45" customHeight="1" x14ac:dyDescent="0.2">
      <c r="B200" s="652" t="s">
        <v>220</v>
      </c>
      <c r="C200" s="592"/>
      <c r="D200" s="196">
        <v>0</v>
      </c>
      <c r="E200" s="196">
        <v>0</v>
      </c>
      <c r="F200" s="193"/>
      <c r="H200" s="193"/>
    </row>
    <row r="201" spans="1:8" ht="20.45" customHeight="1" x14ac:dyDescent="0.2">
      <c r="B201" s="592"/>
      <c r="C201" s="592"/>
      <c r="D201" s="196"/>
      <c r="E201" s="196"/>
      <c r="F201" s="193"/>
      <c r="H201" s="193"/>
    </row>
    <row r="202" spans="1:8" ht="20.45" customHeight="1" x14ac:dyDescent="0.2">
      <c r="B202" s="592"/>
      <c r="C202" s="592"/>
      <c r="D202" s="196"/>
      <c r="E202" s="196"/>
      <c r="F202" s="193"/>
      <c r="H202" s="193"/>
    </row>
    <row r="203" spans="1:8" ht="48" customHeight="1" x14ac:dyDescent="0.2">
      <c r="A203" s="167">
        <f>+A186+1</f>
        <v>39</v>
      </c>
      <c r="B203" s="180" t="s">
        <v>151</v>
      </c>
      <c r="C203" s="594"/>
      <c r="D203" s="196">
        <v>0</v>
      </c>
      <c r="E203" s="196">
        <v>0</v>
      </c>
      <c r="F203" s="193" t="s">
        <v>4</v>
      </c>
      <c r="H203" s="193" t="s">
        <v>35</v>
      </c>
    </row>
    <row r="204" spans="1:8" ht="42" customHeight="1" x14ac:dyDescent="0.2">
      <c r="A204" s="167">
        <f>+A203+1</f>
        <v>40</v>
      </c>
      <c r="B204" s="180" t="s">
        <v>152</v>
      </c>
      <c r="C204" s="594"/>
      <c r="D204" s="196">
        <v>0</v>
      </c>
      <c r="E204" s="965"/>
      <c r="F204" s="193" t="s">
        <v>8</v>
      </c>
      <c r="H204" s="193" t="s">
        <v>35</v>
      </c>
    </row>
    <row r="205" spans="1:8" x14ac:dyDescent="0.2">
      <c r="B205" s="123"/>
      <c r="C205" s="611"/>
      <c r="D205" s="622"/>
      <c r="E205" s="622"/>
      <c r="F205" s="222"/>
      <c r="H205" s="222"/>
    </row>
    <row r="206" spans="1:8" x14ac:dyDescent="0.2">
      <c r="B206" s="123"/>
      <c r="C206" s="611"/>
      <c r="D206" s="622"/>
      <c r="E206" s="622"/>
      <c r="F206" s="222"/>
      <c r="H206" s="222"/>
    </row>
    <row r="207" spans="1:8" x14ac:dyDescent="0.2">
      <c r="B207" s="123"/>
      <c r="C207" s="611"/>
      <c r="D207" s="622"/>
      <c r="E207" s="622"/>
      <c r="F207" s="222"/>
      <c r="H207" s="222"/>
    </row>
    <row r="208" spans="1:8" x14ac:dyDescent="0.2">
      <c r="B208" s="123"/>
      <c r="C208" s="611"/>
      <c r="D208" s="623" t="s">
        <v>0</v>
      </c>
      <c r="E208" s="623" t="s">
        <v>1</v>
      </c>
      <c r="F208" s="222"/>
      <c r="H208" s="222"/>
    </row>
    <row r="209" spans="2:8" x14ac:dyDescent="0.2">
      <c r="B209" s="624"/>
      <c r="C209" s="625"/>
      <c r="D209" s="626">
        <f>D12</f>
        <v>2021</v>
      </c>
      <c r="E209" s="626">
        <f t="shared" ref="E209:E211" si="3">E12</f>
        <v>2021</v>
      </c>
      <c r="F209" s="627"/>
      <c r="G209" s="220"/>
      <c r="H209" s="627"/>
    </row>
    <row r="210" spans="2:8" x14ac:dyDescent="0.2">
      <c r="B210" s="628"/>
      <c r="C210" s="629"/>
      <c r="D210" s="630" t="str">
        <f>D13</f>
        <v>NAAM DNB</v>
      </c>
      <c r="E210" s="630" t="str">
        <f t="shared" si="3"/>
        <v>NAAM DNB</v>
      </c>
      <c r="F210" s="627"/>
      <c r="G210" s="222"/>
      <c r="H210" s="627"/>
    </row>
    <row r="211" spans="2:8" x14ac:dyDescent="0.2">
      <c r="B211" s="631"/>
      <c r="C211" s="584"/>
      <c r="D211" s="632" t="str">
        <f>D14</f>
        <v>gas</v>
      </c>
      <c r="E211" s="632" t="str">
        <f t="shared" si="3"/>
        <v>gas</v>
      </c>
      <c r="F211" s="627"/>
      <c r="G211" s="220"/>
      <c r="H211" s="627"/>
    </row>
    <row r="212" spans="2:8" ht="32.25" customHeight="1" x14ac:dyDescent="0.2">
      <c r="B212" s="633" t="s">
        <v>69</v>
      </c>
      <c r="C212" s="625"/>
      <c r="D212" s="634">
        <f>SUM(D24,D27,D30,D33,D36,D38,D48,D52,D58,D64,D70)</f>
        <v>0</v>
      </c>
      <c r="E212" s="634">
        <f>SUM(E24,E27,E30,E33,E36,E38,E48,E52,E58,E64,E70)</f>
        <v>0</v>
      </c>
      <c r="F212" s="627"/>
      <c r="G212" s="220"/>
      <c r="H212" s="627"/>
    </row>
    <row r="213" spans="2:8" ht="21" customHeight="1" x14ac:dyDescent="0.2">
      <c r="B213" s="633" t="s">
        <v>70</v>
      </c>
      <c r="C213" s="625"/>
      <c r="D213" s="634">
        <f>SUM(D80,D83,D86)</f>
        <v>0</v>
      </c>
      <c r="E213" s="634">
        <f>SUM(E80,E83,E86)</f>
        <v>0</v>
      </c>
      <c r="F213" s="627"/>
      <c r="G213" s="220"/>
      <c r="H213" s="627"/>
    </row>
    <row r="214" spans="2:8" ht="31.5" customHeight="1" x14ac:dyDescent="0.2">
      <c r="B214" s="633" t="s">
        <v>193</v>
      </c>
      <c r="C214" s="625"/>
      <c r="D214" s="971"/>
      <c r="E214" s="971"/>
      <c r="F214" s="627"/>
      <c r="G214" s="220"/>
      <c r="H214" s="627"/>
    </row>
    <row r="215" spans="2:8" ht="33" customHeight="1" x14ac:dyDescent="0.2">
      <c r="B215" s="635" t="s">
        <v>71</v>
      </c>
      <c r="C215" s="591"/>
      <c r="D215" s="1152">
        <f>SUM(D95,D98,D101,D103,D113:D114,D123,D125,D128:D129,D136:D137,D139,D141)-SUM(D107,D116,D119,D132:D133,D143)</f>
        <v>0</v>
      </c>
      <c r="E215" s="1152">
        <f>SUM(E95,E98,E101,E103,E113:E114,E123,E125,E128:E129,E136:E137,E139,E141)-SUM(E107,E116,E119,E132:E133,E143)</f>
        <v>0</v>
      </c>
      <c r="F215" s="1151" t="s">
        <v>459</v>
      </c>
      <c r="H215" s="622"/>
    </row>
    <row r="216" spans="2:8" ht="32.25" customHeight="1" x14ac:dyDescent="0.2">
      <c r="B216" s="636" t="s">
        <v>194</v>
      </c>
      <c r="C216" s="637"/>
      <c r="D216" s="634">
        <f>SUM(D180,D186,D203,D182)-D204</f>
        <v>0</v>
      </c>
      <c r="E216" s="634">
        <f>SUM(E180,E186,E203,E182)</f>
        <v>0</v>
      </c>
      <c r="F216" s="622"/>
      <c r="H216" s="622"/>
    </row>
    <row r="217" spans="2:8" ht="32.25" customHeight="1" x14ac:dyDescent="0.2">
      <c r="B217" s="635" t="s">
        <v>72</v>
      </c>
      <c r="C217" s="591"/>
      <c r="D217" s="971"/>
      <c r="E217" s="971"/>
      <c r="F217" s="622"/>
      <c r="H217" s="622"/>
    </row>
    <row r="218" spans="2:8" ht="32.25" customHeight="1" x14ac:dyDescent="0.2">
      <c r="B218" s="635" t="s">
        <v>73</v>
      </c>
      <c r="C218" s="591"/>
      <c r="D218" s="634">
        <f>SUM(D152,D155,D158)</f>
        <v>0</v>
      </c>
      <c r="E218" s="634">
        <f>SUM(E152,E155,E158)</f>
        <v>0</v>
      </c>
      <c r="F218" s="622"/>
      <c r="H218" s="622"/>
    </row>
    <row r="219" spans="2:8" ht="31.5" customHeight="1" x14ac:dyDescent="0.2">
      <c r="B219" s="635" t="s">
        <v>74</v>
      </c>
      <c r="C219" s="591"/>
      <c r="D219" s="634">
        <f>+SUM(D164,D167,D170,D172)</f>
        <v>0</v>
      </c>
      <c r="E219" s="634">
        <f>+SUM(E164,E167,E170,E172)</f>
        <v>0</v>
      </c>
      <c r="F219" s="622"/>
      <c r="G219" s="220"/>
      <c r="H219" s="622"/>
    </row>
    <row r="220" spans="2:8" ht="13.5" customHeight="1" x14ac:dyDescent="0.2">
      <c r="B220" s="635"/>
      <c r="C220" s="591"/>
      <c r="D220" s="638"/>
      <c r="E220" s="639"/>
      <c r="F220" s="622"/>
      <c r="G220" s="220"/>
      <c r="H220" s="622"/>
    </row>
    <row r="221" spans="2:8" ht="32.25" customHeight="1" x14ac:dyDescent="0.2">
      <c r="B221" s="183" t="s">
        <v>141</v>
      </c>
      <c r="C221" s="591"/>
      <c r="D221" s="184">
        <f>SUM(D217:D219,D212:D215)</f>
        <v>0</v>
      </c>
      <c r="E221" s="640">
        <f>SUM(E212:E215,E217:E219)</f>
        <v>0</v>
      </c>
      <c r="F221" s="641"/>
      <c r="G221" s="220"/>
      <c r="H221" s="641"/>
    </row>
    <row r="222" spans="2:8" ht="32.25" customHeight="1" x14ac:dyDescent="0.2">
      <c r="B222" s="183" t="s">
        <v>142</v>
      </c>
      <c r="C222" s="591"/>
      <c r="D222" s="184">
        <f>SUM(D216)</f>
        <v>0</v>
      </c>
      <c r="E222" s="640">
        <f>SUM(E216)</f>
        <v>0</v>
      </c>
      <c r="F222" s="641"/>
      <c r="G222" s="220"/>
      <c r="H222" s="641"/>
    </row>
    <row r="223" spans="2:8" ht="32.25" customHeight="1" x14ac:dyDescent="0.2">
      <c r="B223" s="183" t="s">
        <v>143</v>
      </c>
      <c r="C223" s="591"/>
      <c r="D223" s="184">
        <f>+SUM(D221:D222)</f>
        <v>0</v>
      </c>
      <c r="E223" s="184">
        <f>SUM(E221:E222)</f>
        <v>0</v>
      </c>
      <c r="F223" s="641"/>
      <c r="G223" s="220"/>
      <c r="H223" s="641"/>
    </row>
    <row r="224" spans="2:8" x14ac:dyDescent="0.2">
      <c r="E224" s="642"/>
    </row>
    <row r="226" spans="2:9" ht="30" customHeight="1" x14ac:dyDescent="0.2">
      <c r="B226" s="200" t="s">
        <v>231</v>
      </c>
      <c r="C226" s="203"/>
      <c r="D226" s="201"/>
      <c r="E226" s="202">
        <f>SUM(E227,E235)</f>
        <v>0</v>
      </c>
      <c r="F226" s="564"/>
      <c r="G226" s="212"/>
      <c r="H226" s="167"/>
    </row>
    <row r="227" spans="2:9" ht="27" customHeight="1" x14ac:dyDescent="0.2">
      <c r="B227" s="200" t="s">
        <v>98</v>
      </c>
      <c r="C227" s="203" t="s">
        <v>292</v>
      </c>
      <c r="D227" s="201"/>
      <c r="E227" s="202">
        <f>SUM(E228:E234)</f>
        <v>0</v>
      </c>
      <c r="F227" s="564"/>
      <c r="G227" s="212"/>
      <c r="H227" s="167"/>
    </row>
    <row r="228" spans="2:9" ht="18.75" customHeight="1" x14ac:dyDescent="0.2">
      <c r="B228" s="191" t="s">
        <v>107</v>
      </c>
      <c r="C228" s="203"/>
      <c r="D228" s="201"/>
      <c r="E228" s="617">
        <f>IF($E$211="elektriciteit",SUM(T5C!P18),IF($E$211="gas",T5E!Q21,"FALSE"))</f>
        <v>0</v>
      </c>
      <c r="F228" s="564"/>
      <c r="G228" s="212"/>
      <c r="H228" s="167"/>
    </row>
    <row r="229" spans="2:9" ht="18.75" customHeight="1" x14ac:dyDescent="0.2">
      <c r="B229" s="191" t="s">
        <v>108</v>
      </c>
      <c r="C229" s="203"/>
      <c r="D229" s="201"/>
      <c r="E229" s="617">
        <f>IF($E$211="elektriciteit",SUM(T5C!P21,T5D!O20),IF($E$211="gas",SUM(T5E!Q24,T5F!J22),"FALSE"))</f>
        <v>0</v>
      </c>
      <c r="F229" s="564"/>
      <c r="G229" s="212"/>
      <c r="H229" s="167"/>
    </row>
    <row r="230" spans="2:9" ht="18.75" customHeight="1" x14ac:dyDescent="0.2">
      <c r="B230" s="191" t="s">
        <v>204</v>
      </c>
      <c r="C230" s="203"/>
      <c r="D230" s="201"/>
      <c r="E230" s="617">
        <f>IF($E$211="elektriciteit",SUM(T5C!P24,T5D!O23),IF($E$211="gas",SUM(T5E!Q27,T5F!J25),"FALSE"))</f>
        <v>0</v>
      </c>
      <c r="F230" s="564"/>
      <c r="G230" s="212"/>
      <c r="H230" s="167"/>
    </row>
    <row r="231" spans="2:9" ht="18.75" customHeight="1" x14ac:dyDescent="0.2">
      <c r="B231" s="191" t="s">
        <v>109</v>
      </c>
      <c r="C231" s="203"/>
      <c r="D231" s="201"/>
      <c r="E231" s="617">
        <f>IF($E$211="elektriciteit",SUM(T5C!P27),IF($E$211="gas",T5E!Q30,"FALSE"))</f>
        <v>0</v>
      </c>
      <c r="F231" s="564"/>
      <c r="G231" s="212"/>
      <c r="H231" s="167"/>
    </row>
    <row r="232" spans="2:9" ht="27" customHeight="1" x14ac:dyDescent="0.2">
      <c r="B232" s="191" t="s">
        <v>110</v>
      </c>
      <c r="C232" s="203"/>
      <c r="D232" s="201"/>
      <c r="E232" s="617">
        <f>IF($E$211="elektriciteit",T5C!P31,IF($E$211="gas",0,"FALSE"))</f>
        <v>0</v>
      </c>
      <c r="F232" s="564"/>
      <c r="G232" s="212"/>
      <c r="H232" s="224"/>
    </row>
    <row r="233" spans="2:9" ht="18.75" customHeight="1" x14ac:dyDescent="0.2">
      <c r="B233" s="191" t="s">
        <v>111</v>
      </c>
      <c r="C233" s="203"/>
      <c r="D233" s="201"/>
      <c r="E233" s="617">
        <f>IF($E$211="elektriciteit",SUM(T5C!P33,T5D!O26),IF($E$211="gas",0,"FALSE"))</f>
        <v>0</v>
      </c>
      <c r="F233" s="564"/>
      <c r="G233" s="212"/>
      <c r="H233" s="167"/>
    </row>
    <row r="234" spans="2:9" ht="30" customHeight="1" x14ac:dyDescent="0.2">
      <c r="B234" s="191" t="s">
        <v>112</v>
      </c>
      <c r="C234" s="643"/>
      <c r="D234" s="201"/>
      <c r="E234" s="617">
        <f>IF($E$211="elektriciteit",SUM(T5C!P38,T5D!O29),IF($E$211="gas",T5E!Q33,"FALSE"))</f>
        <v>0</v>
      </c>
      <c r="F234" s="564"/>
      <c r="G234" s="212"/>
      <c r="H234" s="167"/>
    </row>
    <row r="235" spans="2:9" ht="30" customHeight="1" x14ac:dyDescent="0.2">
      <c r="B235" s="200" t="s">
        <v>99</v>
      </c>
      <c r="C235" s="2" t="s">
        <v>153</v>
      </c>
      <c r="D235" s="201"/>
      <c r="E235" s="202">
        <f>IF($E$211="elektriciteit",T5C!P44,IF($E$211="gas",0,"FALSE"))</f>
        <v>0</v>
      </c>
      <c r="F235" s="564"/>
      <c r="G235" s="212"/>
      <c r="H235" s="167"/>
    </row>
    <row r="236" spans="2:9" x14ac:dyDescent="0.2">
      <c r="B236" s="644"/>
      <c r="D236" s="645"/>
      <c r="E236" s="646"/>
      <c r="F236" s="564"/>
      <c r="G236" s="212"/>
      <c r="H236" s="167"/>
    </row>
    <row r="237" spans="2:9" s="176" customFormat="1" ht="24.75" customHeight="1" x14ac:dyDescent="0.2">
      <c r="B237" s="216" t="str">
        <f>"Regulatoir saldo inzake exogene kosten voor boekjaar "&amp;D209</f>
        <v>Regulatoir saldo inzake exogene kosten voor boekjaar 2021</v>
      </c>
      <c r="C237" s="185"/>
      <c r="D237" s="186"/>
      <c r="E237" s="188">
        <f>SUM(E238,E246)</f>
        <v>0</v>
      </c>
      <c r="F237" s="187"/>
      <c r="G237" s="187"/>
      <c r="I237" s="223"/>
    </row>
    <row r="238" spans="2:9" ht="24" customHeight="1" x14ac:dyDescent="0.2">
      <c r="B238" s="200" t="s">
        <v>98</v>
      </c>
      <c r="C238" s="203"/>
      <c r="D238" s="201"/>
      <c r="E238" s="188">
        <f>SUM(E239:E245)</f>
        <v>0</v>
      </c>
      <c r="F238" s="564"/>
      <c r="G238" s="212"/>
      <c r="H238" s="167"/>
    </row>
    <row r="239" spans="2:9" ht="18.75" customHeight="1" x14ac:dyDescent="0.2">
      <c r="B239" s="191" t="s">
        <v>107</v>
      </c>
      <c r="C239" s="203"/>
      <c r="D239" s="201"/>
      <c r="E239" s="647">
        <f>(E212-D212)+((D212)-(E228+E232+E230))</f>
        <v>0</v>
      </c>
      <c r="F239" s="564"/>
      <c r="G239" s="212"/>
      <c r="H239" s="167"/>
    </row>
    <row r="240" spans="2:9" ht="18.75" customHeight="1" x14ac:dyDescent="0.2">
      <c r="B240" s="191" t="s">
        <v>108</v>
      </c>
      <c r="C240" s="203"/>
      <c r="D240" s="201"/>
      <c r="E240" s="647">
        <f>(E213-D213)+(D213-E229)</f>
        <v>0</v>
      </c>
      <c r="F240" s="564"/>
      <c r="G240" s="212"/>
      <c r="H240" s="167"/>
    </row>
    <row r="241" spans="2:8" ht="18.75" customHeight="1" x14ac:dyDescent="0.2">
      <c r="B241" s="973" t="s">
        <v>204</v>
      </c>
      <c r="C241" s="974"/>
      <c r="D241" s="201"/>
      <c r="E241" s="972"/>
      <c r="F241" s="564"/>
      <c r="G241" s="212"/>
      <c r="H241" s="167"/>
    </row>
    <row r="242" spans="2:8" ht="18.75" customHeight="1" x14ac:dyDescent="0.2">
      <c r="B242" s="191" t="s">
        <v>109</v>
      </c>
      <c r="C242" s="203"/>
      <c r="D242" s="201"/>
      <c r="E242" s="647">
        <f>(E215-D215)+(D215-E231)</f>
        <v>0</v>
      </c>
      <c r="F242" s="564"/>
      <c r="G242" s="212"/>
      <c r="H242" s="167"/>
    </row>
    <row r="243" spans="2:8" ht="29.25" customHeight="1" x14ac:dyDescent="0.2">
      <c r="B243" s="973" t="s">
        <v>110</v>
      </c>
      <c r="C243" s="974"/>
      <c r="D243" s="201"/>
      <c r="E243" s="972"/>
      <c r="F243" s="564"/>
      <c r="G243" s="212"/>
      <c r="H243" s="167"/>
    </row>
    <row r="244" spans="2:8" ht="20.25" customHeight="1" x14ac:dyDescent="0.2">
      <c r="B244" s="191" t="s">
        <v>111</v>
      </c>
      <c r="C244" s="203"/>
      <c r="D244" s="201"/>
      <c r="E244" s="647">
        <f>(E218-D218)+(D218-E233)</f>
        <v>0</v>
      </c>
      <c r="F244" s="564"/>
      <c r="G244" s="212"/>
      <c r="H244" s="167"/>
    </row>
    <row r="245" spans="2:8" ht="30" customHeight="1" x14ac:dyDescent="0.2">
      <c r="B245" s="191" t="s">
        <v>112</v>
      </c>
      <c r="C245" s="203"/>
      <c r="D245" s="201"/>
      <c r="E245" s="647">
        <f>(E219-D219)+(D219-E234)</f>
        <v>0</v>
      </c>
      <c r="F245" s="564"/>
      <c r="G245" s="212"/>
      <c r="H245" s="167"/>
    </row>
    <row r="246" spans="2:8" ht="25.5" customHeight="1" x14ac:dyDescent="0.2">
      <c r="B246" s="200" t="s">
        <v>99</v>
      </c>
      <c r="C246" s="203"/>
      <c r="D246" s="201"/>
      <c r="E246" s="202">
        <f>+(E216-D216)+(D216-E235)</f>
        <v>0</v>
      </c>
      <c r="F246" s="564"/>
      <c r="G246" s="212"/>
      <c r="H246" s="167"/>
    </row>
    <row r="247" spans="2:8" x14ac:dyDescent="0.2">
      <c r="B247" s="644"/>
      <c r="D247" s="212"/>
      <c r="E247" s="241" t="s">
        <v>38</v>
      </c>
      <c r="F247" s="564"/>
      <c r="G247" s="212"/>
      <c r="H247" s="167"/>
    </row>
    <row r="248" spans="2:8" x14ac:dyDescent="0.2">
      <c r="B248" s="648"/>
      <c r="D248" s="212"/>
      <c r="E248" s="243" t="s">
        <v>39</v>
      </c>
      <c r="F248" s="564"/>
      <c r="G248" s="212"/>
      <c r="H248" s="167"/>
    </row>
  </sheetData>
  <sheetProtection algorithmName="SHA-512" hashValue="vBkrT5E2nyyQHpLy4vxfTWVmhzCUkGcAos4ZUZkPlghsXL1QGy5LGalOMYT6SiaTP6BqoKxpF+trpHnCxOcXkA==" saltValue="RGHmizT85O1NtCWZ4ksmvg==" spinCount="100000" sheet="1" objects="1" scenarios="1"/>
  <customSheetViews>
    <customSheetView guid="{C8C7977F-B6BF-432B-A1A7-559450D521AF}" scale="85" topLeftCell="A67">
      <selection activeCell="B79" sqref="B79"/>
      <pageMargins left="0.75" right="0.75" top="1" bottom="1" header="0.5" footer="0.5"/>
      <pageSetup paperSize="9" orientation="portrait" r:id="rId1"/>
      <headerFooter alignWithMargins="0"/>
    </customSheetView>
  </customSheetViews>
  <mergeCells count="8">
    <mergeCell ref="B161:C161"/>
    <mergeCell ref="A1:H1"/>
    <mergeCell ref="B16:B18"/>
    <mergeCell ref="C16:C18"/>
    <mergeCell ref="D16:D18"/>
    <mergeCell ref="F16:F18"/>
    <mergeCell ref="H16:H18"/>
    <mergeCell ref="E16:E18"/>
  </mergeCells>
  <conditionalFormatting sqref="E10:E18 E23:E24 E26:E27 E29:E30 E32:E33 E35:E36 E48:E49 E52:E56 E58:E62 E64:E68 E70:E74 E79:E80 E82:E83 E85:E86 E97:E98 E94:E95 E100:E101 E103:E110 E151:E152 E154:E155 E157:E158 E163:E164 E166:E167 E169:E170 E180 E182:E184 E208:E223 E226:E235 E237:E246 E247:I248 E38:E45 E112:E114 E116:E121 E123 E125 E127:E129 E131:E133 E135:E137 E139 E172:E175 E186:E204">
    <cfRule type="expression" dxfId="62" priority="16">
      <formula>$S$1="ex-ante"</formula>
    </cfRule>
  </conditionalFormatting>
  <conditionalFormatting sqref="A103:H110 B146:H146 B149:H149 A151:H152 A154:H155 A157:H158 B178:H178 A180:H180 A182:H184 B216:E218 B222:E222 B232:E233 B235:E235 B243:E244 B246:E246 A38:H45 A46:C46 F46:H46 A112:H114 A116:H121 A123:H123 A125:H125 A127:H129 A131:H133 A135:H137 A139:H139 A186:H204">
    <cfRule type="expression" dxfId="61" priority="15">
      <formula>$D$14="gas"</formula>
    </cfRule>
  </conditionalFormatting>
  <conditionalFormatting sqref="E46">
    <cfRule type="expression" dxfId="60" priority="13">
      <formula>$S$1="ex-ante"</formula>
    </cfRule>
  </conditionalFormatting>
  <conditionalFormatting sqref="D46:E46">
    <cfRule type="expression" dxfId="59" priority="12">
      <formula>$D$14="gas"</formula>
    </cfRule>
  </conditionalFormatting>
  <conditionalFormatting sqref="E50">
    <cfRule type="expression" dxfId="58" priority="11">
      <formula>$S$1="ex-ante"</formula>
    </cfRule>
  </conditionalFormatting>
  <conditionalFormatting sqref="E173:E175">
    <cfRule type="expression" dxfId="57" priority="9">
      <formula>$D$14="gas"</formula>
    </cfRule>
  </conditionalFormatting>
  <conditionalFormatting sqref="E187">
    <cfRule type="expression" dxfId="56" priority="8">
      <formula>$D$14="gas"</formula>
    </cfRule>
  </conditionalFormatting>
  <conditionalFormatting sqref="E188:E200">
    <cfRule type="expression" dxfId="55" priority="7">
      <formula>$D$14="gas"</formula>
    </cfRule>
  </conditionalFormatting>
  <conditionalFormatting sqref="E201:E202">
    <cfRule type="expression" dxfId="54" priority="6">
      <formula>$D$14="gas"</formula>
    </cfRule>
  </conditionalFormatting>
  <conditionalFormatting sqref="E143">
    <cfRule type="expression" dxfId="53" priority="5">
      <formula>$S$1="ex-ante"</formula>
    </cfRule>
  </conditionalFormatting>
  <conditionalFormatting sqref="E141">
    <cfRule type="expression" dxfId="52" priority="2">
      <formula>$S$1="ex-ante"</formula>
    </cfRule>
  </conditionalFormatting>
  <hyperlinks>
    <hyperlink ref="C23" location="T4B!A1" display="TABEL 4B" xr:uid="{00000000-0004-0000-0300-000000000000}"/>
    <hyperlink ref="C180" location="T4C!A1" display="TABEL 4C" xr:uid="{00000000-0004-0000-0300-000001000000}"/>
    <hyperlink ref="C26" location="T5B!A1" display="TABEL 5B" xr:uid="{00000000-0004-0000-0300-000002000000}"/>
    <hyperlink ref="C29" location="T6B!A1" display="TABEL 6B" xr:uid="{00000000-0004-0000-0300-000003000000}"/>
    <hyperlink ref="C32" location="'T7'!A1" display="TABEL 7" xr:uid="{00000000-0004-0000-0300-000004000000}"/>
    <hyperlink ref="C35" location="'T8'!A1" display="TABEL 8" xr:uid="{00000000-0004-0000-0300-000005000000}"/>
    <hyperlink ref="C235" location="T5C!A1" display="TABEL 5C" xr:uid="{455A0A72-F288-4145-A4E4-8C8EC49174CD}"/>
    <hyperlink ref="C79" location="T4B!A1" display="TABEL 4B" xr:uid="{A53EF9F9-63B7-478C-BB02-156F1619D43E}"/>
    <hyperlink ref="C82" location="T5B!A1" display="TABEL 5B" xr:uid="{73E2A6B8-ACAC-4BB5-9C25-9E13598C96E9}"/>
    <hyperlink ref="C85" location="T6B!A1" display="TABEL 6B" xr:uid="{CF873091-5037-4578-84DB-9CA1AE00DA03}"/>
    <hyperlink ref="C94" location="T4B!A1" display="TABEL 4B" xr:uid="{614317D1-E0C7-4141-94A2-15417378C59E}"/>
    <hyperlink ref="C97" location="T5B!A1" display="TABEL 5B" xr:uid="{D6B58673-17E4-46E2-A982-13DC43542836}"/>
    <hyperlink ref="C100" location="T6B!A1" display="TABEL 6B" xr:uid="{A52590DA-7B08-4D78-9FFA-3C40C5B1E8FD}"/>
    <hyperlink ref="C151" location="T4B!A1" display="TABEL 4B" xr:uid="{9A5306C0-219A-41AB-A45B-274A16CCDAB9}"/>
    <hyperlink ref="C154" location="T5B!A1" display="TABEL 5B" xr:uid="{FF012133-5BCA-4236-A47A-5137C7AB2652}"/>
    <hyperlink ref="C157" location="T6B!A1" display="TABEL 6B" xr:uid="{DB499ACA-2520-490B-8F60-1B12D99E6B4F}"/>
    <hyperlink ref="C163" location="T4B!A1" display="TABEL 4B" xr:uid="{F08479D4-5829-4F5F-88DD-FA8EF237767D}"/>
    <hyperlink ref="C166" location="T5B!A1" display="TABEL 5B" xr:uid="{4D9C2516-1929-419C-A7F8-DDF109B3F8BF}"/>
    <hyperlink ref="C169" location="T6B!A1" display="TABEL 6B" xr:uid="{628EB405-8870-4380-BACA-3B8C96300B3F}"/>
  </hyperlinks>
  <pageMargins left="0.74803149606299213" right="0.74803149606299213" top="0.98425196850393704" bottom="0.98425196850393704" header="0.51181102362204722" footer="0.51181102362204722"/>
  <pageSetup paperSize="8" scale="47" fitToWidth="3" fitToHeight="3" orientation="portrait" r:id="rId2"/>
  <headerFooter alignWithMargins="0"/>
  <rowBreaks count="2" manualBreakCount="2">
    <brk id="102" max="13" man="1"/>
    <brk id="47" max="13" man="1"/>
  </rowBreaks>
  <extLst>
    <ext xmlns:x14="http://schemas.microsoft.com/office/spreadsheetml/2009/9/main" uri="{78C0D931-6437-407d-A8EE-F0AAD7539E65}">
      <x14:conditionalFormattings>
        <x14:conditionalFormatting xmlns:xm="http://schemas.microsoft.com/office/excel/2006/main">
          <x14:cfRule type="expression" priority="3" id="{2D80BB8E-39C0-42CD-93E1-C7038C244117}">
            <xm:f>TITELBLAD!$C$10="elektriciteit"</xm:f>
            <x14:dxf>
              <fill>
                <patternFill patternType="lightUp"/>
              </fill>
            </x14:dxf>
          </x14:cfRule>
          <xm:sqref>A143:H143</xm:sqref>
        </x14:conditionalFormatting>
        <x14:conditionalFormatting xmlns:xm="http://schemas.microsoft.com/office/excel/2006/main">
          <x14:cfRule type="expression" priority="1" id="{D582BD9D-CA89-4736-A02A-C578E87A8722}">
            <xm:f>TITELBLAD!$C$10="elektriciteit"</xm:f>
            <x14:dxf>
              <fill>
                <patternFill patternType="lightUp"/>
              </fill>
            </x14:dxf>
          </x14:cfRule>
          <xm:sqref>A141:H141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pageSetUpPr fitToPage="1"/>
  </sheetPr>
  <dimension ref="A1:AG69"/>
  <sheetViews>
    <sheetView zoomScale="40" zoomScaleNormal="40" zoomScaleSheetLayoutView="80" workbookViewId="0">
      <selection activeCell="Q20" sqref="Q20"/>
    </sheetView>
  </sheetViews>
  <sheetFormatPr defaultColWidth="11.42578125" defaultRowHeight="12.75" x14ac:dyDescent="0.2"/>
  <cols>
    <col min="1" max="1" width="19.7109375" style="178" customWidth="1"/>
    <col min="2" max="2" width="14.85546875" style="178" customWidth="1"/>
    <col min="3" max="12" width="20.7109375" style="178" customWidth="1"/>
    <col min="13" max="13" width="5.7109375" style="178" customWidth="1"/>
    <col min="14" max="14" width="20.7109375" style="178" customWidth="1"/>
    <col min="15" max="15" width="7.42578125" style="178" customWidth="1"/>
    <col min="16" max="17" width="20.7109375" style="178" customWidth="1"/>
    <col min="18" max="18" width="14" style="178" customWidth="1"/>
    <col min="19" max="19" width="11.42578125" style="178"/>
    <col min="20" max="20" width="12.28515625" style="178" bestFit="1" customWidth="1"/>
    <col min="21" max="16384" width="11.42578125" style="178"/>
  </cols>
  <sheetData>
    <row r="1" spans="1:33" ht="21" customHeight="1" thickBot="1" x14ac:dyDescent="0.25">
      <c r="A1" s="1232" t="s">
        <v>236</v>
      </c>
      <c r="B1" s="1233"/>
      <c r="C1" s="1233"/>
      <c r="D1" s="1233"/>
      <c r="E1" s="1233"/>
      <c r="F1" s="1233"/>
      <c r="G1" s="1233"/>
      <c r="H1" s="1233"/>
      <c r="I1" s="1233"/>
      <c r="J1" s="1233"/>
      <c r="K1" s="1233"/>
      <c r="L1" s="1233"/>
      <c r="M1" s="1233"/>
      <c r="N1" s="1234"/>
      <c r="O1" s="230"/>
      <c r="P1" s="230"/>
      <c r="Q1" s="230"/>
      <c r="R1" s="231"/>
      <c r="S1" s="231"/>
      <c r="T1" s="231"/>
      <c r="U1" s="231"/>
      <c r="V1" s="231"/>
      <c r="W1" s="231"/>
      <c r="X1" s="231"/>
      <c r="Y1" s="231"/>
      <c r="Z1" s="231"/>
      <c r="AA1" s="231"/>
      <c r="AB1" s="231"/>
    </row>
    <row r="2" spans="1:33" x14ac:dyDescent="0.2">
      <c r="A2" s="232"/>
      <c r="B2" s="232"/>
      <c r="C2" s="232"/>
      <c r="D2" s="232"/>
      <c r="E2" s="232"/>
      <c r="F2" s="232"/>
      <c r="G2" s="232"/>
      <c r="H2" s="232"/>
      <c r="I2" s="232"/>
      <c r="J2" s="232"/>
      <c r="K2" s="232"/>
      <c r="L2" s="232"/>
      <c r="M2" s="232"/>
      <c r="N2" s="232"/>
      <c r="O2" s="234"/>
      <c r="P2" s="288"/>
      <c r="Q2" s="288"/>
      <c r="R2" s="237"/>
      <c r="S2" s="237"/>
      <c r="T2" s="237"/>
      <c r="U2" s="231"/>
      <c r="V2" s="231"/>
      <c r="W2" s="231"/>
      <c r="X2" s="231"/>
      <c r="Y2" s="231"/>
      <c r="Z2" s="231"/>
      <c r="AA2" s="231"/>
      <c r="AB2" s="231"/>
    </row>
    <row r="3" spans="1:33" ht="13.5" thickBot="1" x14ac:dyDescent="0.25">
      <c r="A3" s="232"/>
      <c r="B3" s="232"/>
      <c r="C3" s="232"/>
      <c r="D3" s="232"/>
      <c r="E3" s="232"/>
      <c r="F3" s="232"/>
      <c r="G3" s="232"/>
      <c r="H3" s="232"/>
      <c r="I3" s="232"/>
      <c r="J3" s="232"/>
      <c r="K3" s="232"/>
      <c r="L3" s="232"/>
      <c r="M3" s="232"/>
      <c r="N3" s="232"/>
      <c r="O3" s="234"/>
      <c r="P3" s="288"/>
      <c r="Q3" s="288"/>
      <c r="R3" s="237"/>
      <c r="S3" s="237"/>
      <c r="T3" s="237"/>
      <c r="U3" s="231"/>
      <c r="V3" s="231"/>
      <c r="W3" s="231"/>
      <c r="X3" s="231"/>
      <c r="Y3" s="231"/>
      <c r="Z3" s="231"/>
      <c r="AA3" s="231"/>
      <c r="AB3" s="231"/>
    </row>
    <row r="4" spans="1:33" s="179" customFormat="1" ht="21.75" customHeight="1" thickBot="1" x14ac:dyDescent="0.25">
      <c r="A4" s="1224" t="s">
        <v>237</v>
      </c>
      <c r="B4" s="1225"/>
      <c r="C4" s="1225"/>
      <c r="D4" s="1225"/>
      <c r="E4" s="1225"/>
      <c r="F4" s="1225"/>
      <c r="G4" s="1225"/>
      <c r="H4" s="1225"/>
      <c r="I4" s="1225"/>
      <c r="J4" s="1225"/>
      <c r="K4" s="1225"/>
      <c r="L4" s="1225"/>
      <c r="M4" s="1225"/>
      <c r="N4" s="1226"/>
      <c r="O4" s="236"/>
      <c r="P4" s="289"/>
      <c r="Q4" s="237" t="str">
        <f>+TITELBLAD!B16</f>
        <v>Rapportering over boekjaar:</v>
      </c>
      <c r="R4" s="237">
        <f>+TITELBLAD!E16</f>
        <v>2021</v>
      </c>
      <c r="S4" s="237" t="str">
        <f>+TITELBLAD!F16</f>
        <v>ex-ante</v>
      </c>
      <c r="T4" s="237"/>
      <c r="U4" s="231"/>
      <c r="V4" s="231"/>
      <c r="W4" s="231"/>
      <c r="X4" s="231"/>
      <c r="Y4" s="231"/>
      <c r="Z4" s="231"/>
      <c r="AA4" s="231"/>
      <c r="AB4" s="231"/>
      <c r="AC4" s="178"/>
      <c r="AD4" s="178"/>
      <c r="AE4" s="178"/>
      <c r="AF4" s="178"/>
      <c r="AG4" s="178"/>
    </row>
    <row r="5" spans="1:33" ht="13.5" thickBot="1" x14ac:dyDescent="0.25">
      <c r="C5" s="659"/>
      <c r="D5" s="659"/>
      <c r="E5" s="659"/>
      <c r="F5" s="659"/>
      <c r="G5" s="659"/>
      <c r="H5" s="659"/>
      <c r="I5" s="659"/>
      <c r="J5" s="659"/>
      <c r="K5" s="659"/>
      <c r="L5" s="659"/>
      <c r="O5" s="231"/>
      <c r="P5" s="237"/>
      <c r="Q5" s="237"/>
      <c r="R5" s="237"/>
      <c r="S5" s="237"/>
      <c r="T5" s="237"/>
      <c r="U5" s="231"/>
      <c r="V5" s="231"/>
      <c r="W5" s="231"/>
      <c r="X5" s="231"/>
      <c r="Y5" s="231"/>
      <c r="Z5" s="231"/>
      <c r="AA5" s="231"/>
      <c r="AB5" s="231"/>
    </row>
    <row r="6" spans="1:33" ht="17.25" thickBot="1" x14ac:dyDescent="0.25">
      <c r="C6" s="1227" t="str">
        <f>+TITELBLAD!C7</f>
        <v>NAAM DNB</v>
      </c>
      <c r="D6" s="1228"/>
      <c r="E6" s="1228"/>
      <c r="F6" s="1228"/>
      <c r="G6" s="1228"/>
      <c r="H6" s="1228"/>
      <c r="I6" s="1228"/>
      <c r="J6" s="1228"/>
      <c r="K6" s="1228"/>
      <c r="L6" s="1229"/>
      <c r="O6" s="231"/>
      <c r="P6" s="237"/>
      <c r="Q6" s="237"/>
      <c r="R6" s="237"/>
      <c r="S6" s="237"/>
      <c r="T6" s="237"/>
      <c r="U6" s="231"/>
      <c r="V6" s="231"/>
      <c r="W6" s="231"/>
      <c r="X6" s="231"/>
      <c r="Y6" s="231"/>
      <c r="Z6" s="231"/>
      <c r="AA6" s="231"/>
      <c r="AB6" s="231"/>
    </row>
    <row r="7" spans="1:33" ht="17.25" thickBot="1" x14ac:dyDescent="0.25">
      <c r="C7" s="1227" t="str">
        <f>+TITELBLAD!C10</f>
        <v>gas</v>
      </c>
      <c r="D7" s="1228"/>
      <c r="E7" s="1228"/>
      <c r="F7" s="1228"/>
      <c r="G7" s="1228"/>
      <c r="H7" s="1228"/>
      <c r="I7" s="1228"/>
      <c r="J7" s="1228"/>
      <c r="K7" s="1228"/>
      <c r="L7" s="1229"/>
      <c r="O7" s="231"/>
      <c r="P7" s="237"/>
      <c r="Q7" s="237"/>
      <c r="R7" s="237"/>
      <c r="S7" s="237"/>
      <c r="T7" s="237"/>
      <c r="U7" s="231"/>
      <c r="V7" s="231"/>
      <c r="W7" s="231"/>
      <c r="X7" s="231"/>
      <c r="Y7" s="231"/>
      <c r="Z7" s="231"/>
      <c r="AA7" s="231"/>
      <c r="AB7" s="231"/>
    </row>
    <row r="8" spans="1:33" s="179" customFormat="1" ht="17.25" thickBot="1" x14ac:dyDescent="0.25">
      <c r="A8" s="178"/>
      <c r="B8" s="178"/>
      <c r="C8" s="1227" t="s">
        <v>30</v>
      </c>
      <c r="D8" s="1228"/>
      <c r="E8" s="1228"/>
      <c r="F8" s="1228"/>
      <c r="G8" s="1228"/>
      <c r="H8" s="1228"/>
      <c r="I8" s="1228"/>
      <c r="J8" s="1228"/>
      <c r="K8" s="1228"/>
      <c r="L8" s="1229"/>
      <c r="M8" s="178"/>
      <c r="N8" s="178"/>
      <c r="O8" s="231"/>
      <c r="P8" s="231"/>
      <c r="Q8" s="231"/>
      <c r="R8" s="231"/>
      <c r="S8" s="231"/>
      <c r="T8" s="231"/>
      <c r="U8" s="231"/>
      <c r="V8" s="231"/>
      <c r="W8" s="231"/>
      <c r="X8" s="231"/>
      <c r="Y8" s="231"/>
      <c r="Z8" s="231"/>
      <c r="AA8" s="231"/>
      <c r="AB8" s="231"/>
      <c r="AC8" s="178"/>
      <c r="AD8" s="178"/>
      <c r="AE8" s="178"/>
      <c r="AF8" s="178"/>
      <c r="AG8" s="178"/>
    </row>
    <row r="9" spans="1:33" s="179" customFormat="1" ht="13.5" thickBot="1" x14ac:dyDescent="0.25">
      <c r="A9" s="178"/>
      <c r="B9" s="178"/>
      <c r="C9" s="238">
        <v>2015</v>
      </c>
      <c r="D9" s="239">
        <v>2016</v>
      </c>
      <c r="E9" s="239">
        <v>2017</v>
      </c>
      <c r="F9" s="239">
        <v>2018</v>
      </c>
      <c r="G9" s="239">
        <v>2019</v>
      </c>
      <c r="H9" s="239">
        <v>2020</v>
      </c>
      <c r="I9" s="239">
        <v>2021</v>
      </c>
      <c r="J9" s="808">
        <v>2022</v>
      </c>
      <c r="K9" s="808">
        <v>2023</v>
      </c>
      <c r="L9" s="808">
        <v>2024</v>
      </c>
      <c r="M9" s="178"/>
      <c r="N9" s="178"/>
      <c r="O9" s="231"/>
      <c r="P9" s="231"/>
      <c r="Q9" s="231"/>
      <c r="R9" s="231"/>
      <c r="S9" s="231"/>
      <c r="T9" s="231"/>
      <c r="U9" s="231"/>
      <c r="V9" s="231"/>
      <c r="W9" s="231"/>
      <c r="X9" s="231"/>
      <c r="Y9" s="231"/>
      <c r="Z9" s="231"/>
      <c r="AA9" s="231"/>
      <c r="AB9" s="231"/>
      <c r="AC9" s="178"/>
      <c r="AD9" s="178"/>
      <c r="AE9" s="178"/>
      <c r="AF9" s="178"/>
      <c r="AG9" s="178"/>
    </row>
    <row r="10" spans="1:33" s="179" customFormat="1" x14ac:dyDescent="0.2">
      <c r="A10" s="178"/>
      <c r="B10" s="178"/>
      <c r="C10" s="986">
        <v>0</v>
      </c>
      <c r="D10" s="987">
        <v>0</v>
      </c>
      <c r="E10" s="987">
        <v>0</v>
      </c>
      <c r="F10" s="987">
        <v>0</v>
      </c>
      <c r="G10" s="987">
        <v>0</v>
      </c>
      <c r="H10" s="987">
        <v>0</v>
      </c>
      <c r="I10" s="987">
        <v>0</v>
      </c>
      <c r="J10" s="988">
        <v>0</v>
      </c>
      <c r="K10" s="988">
        <v>0</v>
      </c>
      <c r="L10" s="988">
        <v>0</v>
      </c>
      <c r="M10" s="178"/>
      <c r="N10" s="178"/>
      <c r="O10" s="231"/>
      <c r="P10" s="231"/>
      <c r="Q10" s="231"/>
      <c r="R10" s="231"/>
      <c r="S10" s="231"/>
      <c r="T10" s="231"/>
      <c r="U10" s="231"/>
      <c r="V10" s="231"/>
      <c r="W10" s="231"/>
      <c r="X10" s="231"/>
      <c r="Y10" s="231"/>
      <c r="Z10" s="231"/>
      <c r="AA10" s="231"/>
      <c r="AB10" s="231"/>
      <c r="AC10" s="178"/>
      <c r="AD10" s="178"/>
      <c r="AE10" s="178"/>
      <c r="AF10" s="178"/>
      <c r="AG10" s="178"/>
    </row>
    <row r="11" spans="1:33" s="240" customFormat="1" x14ac:dyDescent="0.2">
      <c r="C11" s="241" t="s">
        <v>41</v>
      </c>
      <c r="F11" s="242"/>
      <c r="G11" s="242"/>
      <c r="H11" s="242"/>
      <c r="I11" s="242"/>
      <c r="J11" s="242"/>
      <c r="K11" s="242"/>
      <c r="L11" s="242"/>
      <c r="O11" s="231"/>
      <c r="P11" s="231"/>
      <c r="Q11" s="231"/>
      <c r="R11" s="231"/>
      <c r="S11" s="231"/>
      <c r="T11" s="231"/>
      <c r="U11" s="231"/>
      <c r="V11" s="231"/>
      <c r="W11" s="231"/>
      <c r="X11" s="231"/>
      <c r="Y11" s="231"/>
      <c r="Z11" s="231"/>
      <c r="AA11" s="231"/>
      <c r="AB11" s="231"/>
    </row>
    <row r="12" spans="1:33" s="240" customFormat="1" x14ac:dyDescent="0.2">
      <c r="C12" s="243" t="s">
        <v>166</v>
      </c>
      <c r="O12" s="231"/>
      <c r="P12" s="231"/>
      <c r="Q12" s="231"/>
      <c r="R12" s="231"/>
      <c r="S12" s="231"/>
      <c r="T12" s="231"/>
      <c r="U12" s="231"/>
      <c r="V12" s="231"/>
      <c r="W12" s="231"/>
      <c r="X12" s="231"/>
      <c r="Y12" s="231"/>
      <c r="Z12" s="231"/>
      <c r="AA12" s="231"/>
      <c r="AB12" s="231"/>
    </row>
    <row r="13" spans="1:33" s="240" customFormat="1" x14ac:dyDescent="0.2">
      <c r="C13" s="243"/>
      <c r="O13" s="231"/>
      <c r="P13" s="231"/>
      <c r="Q13" s="231"/>
      <c r="R13" s="231"/>
      <c r="S13" s="231"/>
      <c r="T13" s="231"/>
      <c r="U13" s="231"/>
      <c r="V13" s="231"/>
      <c r="W13" s="231"/>
      <c r="X13" s="231"/>
      <c r="Y13" s="231"/>
      <c r="Z13" s="231"/>
      <c r="AA13" s="231"/>
      <c r="AB13" s="231"/>
    </row>
    <row r="14" spans="1:33" ht="13.5" thickBot="1" x14ac:dyDescent="0.25">
      <c r="C14" s="244"/>
      <c r="O14" s="231"/>
      <c r="P14" s="231"/>
      <c r="Q14" s="231"/>
      <c r="R14" s="231"/>
      <c r="S14" s="231"/>
      <c r="T14" s="231"/>
      <c r="U14" s="231"/>
      <c r="V14" s="231"/>
      <c r="W14" s="231"/>
      <c r="X14" s="231"/>
      <c r="Y14" s="231"/>
      <c r="Z14" s="231"/>
      <c r="AA14" s="231"/>
      <c r="AB14" s="231"/>
    </row>
    <row r="15" spans="1:33" ht="21.75" customHeight="1" thickBot="1" x14ac:dyDescent="0.25">
      <c r="A15" s="1224" t="s">
        <v>18</v>
      </c>
      <c r="B15" s="1225"/>
      <c r="C15" s="1225"/>
      <c r="D15" s="1225"/>
      <c r="E15" s="1225"/>
      <c r="F15" s="1225"/>
      <c r="G15" s="1225"/>
      <c r="H15" s="1225"/>
      <c r="I15" s="1225"/>
      <c r="J15" s="1225"/>
      <c r="K15" s="1225"/>
      <c r="L15" s="1225"/>
      <c r="M15" s="1225"/>
      <c r="N15" s="1226"/>
      <c r="O15" s="1230"/>
      <c r="P15" s="1231"/>
      <c r="Q15" s="231"/>
      <c r="R15" s="231"/>
      <c r="S15" s="231"/>
      <c r="T15" s="231"/>
      <c r="U15" s="231"/>
      <c r="V15" s="231"/>
      <c r="W15" s="231"/>
      <c r="X15" s="231"/>
      <c r="Y15" s="231"/>
      <c r="Z15" s="231"/>
      <c r="AA15" s="231"/>
      <c r="AB15" s="231"/>
    </row>
    <row r="16" spans="1:33" x14ac:dyDescent="0.2">
      <c r="O16" s="231"/>
      <c r="P16" s="231"/>
      <c r="Q16" s="231"/>
      <c r="R16" s="231"/>
      <c r="S16" s="231"/>
      <c r="T16" s="231"/>
      <c r="U16" s="231"/>
      <c r="V16" s="231"/>
      <c r="W16" s="231"/>
      <c r="X16" s="231"/>
      <c r="Y16" s="231"/>
      <c r="Z16" s="231"/>
      <c r="AA16" s="231"/>
      <c r="AB16" s="231"/>
    </row>
    <row r="17" spans="1:33" x14ac:dyDescent="0.2">
      <c r="C17" s="241" t="s">
        <v>41</v>
      </c>
      <c r="O17" s="231"/>
      <c r="P17" s="231"/>
      <c r="Q17" s="231"/>
      <c r="R17" s="231"/>
      <c r="S17" s="231"/>
      <c r="T17" s="231"/>
      <c r="U17" s="231"/>
      <c r="V17" s="231"/>
      <c r="W17" s="231"/>
      <c r="X17" s="231"/>
      <c r="Y17" s="231"/>
      <c r="Z17" s="231"/>
      <c r="AA17" s="231"/>
      <c r="AB17" s="231"/>
    </row>
    <row r="18" spans="1:33" x14ac:dyDescent="0.2">
      <c r="C18" s="243" t="s">
        <v>166</v>
      </c>
      <c r="O18" s="231"/>
      <c r="P18" s="231"/>
      <c r="Q18" s="231"/>
      <c r="R18" s="231"/>
      <c r="S18" s="231"/>
      <c r="T18" s="231"/>
      <c r="U18" s="231"/>
      <c r="V18" s="231"/>
      <c r="W18" s="231"/>
      <c r="X18" s="231"/>
      <c r="Y18" s="231"/>
      <c r="Z18" s="231"/>
      <c r="AA18" s="231"/>
      <c r="AB18" s="231"/>
    </row>
    <row r="19" spans="1:33" ht="16.5" x14ac:dyDescent="0.2">
      <c r="C19" s="1244" t="s">
        <v>19</v>
      </c>
      <c r="D19" s="1245"/>
      <c r="E19" s="1245"/>
      <c r="F19" s="1245"/>
      <c r="G19" s="1245"/>
      <c r="H19" s="1245"/>
      <c r="I19" s="1245"/>
      <c r="J19" s="1245"/>
      <c r="K19" s="1245"/>
      <c r="L19" s="1246"/>
      <c r="N19" s="245" t="s">
        <v>20</v>
      </c>
      <c r="O19" s="231"/>
      <c r="P19" s="231"/>
      <c r="Q19" s="231"/>
      <c r="R19" s="231"/>
      <c r="S19" s="231"/>
      <c r="T19" s="231"/>
      <c r="U19" s="231"/>
      <c r="V19" s="231"/>
      <c r="W19" s="231"/>
      <c r="X19" s="231"/>
      <c r="Y19" s="231"/>
      <c r="Z19" s="231"/>
      <c r="AA19" s="231"/>
      <c r="AB19" s="231"/>
    </row>
    <row r="20" spans="1:33" ht="13.5" thickBot="1" x14ac:dyDescent="0.25">
      <c r="A20" s="1247"/>
      <c r="B20" s="1247"/>
      <c r="C20" s="246">
        <f t="shared" ref="C20:L20" si="0">C9</f>
        <v>2015</v>
      </c>
      <c r="D20" s="247">
        <f t="shared" si="0"/>
        <v>2016</v>
      </c>
      <c r="E20" s="247">
        <f t="shared" si="0"/>
        <v>2017</v>
      </c>
      <c r="F20" s="247">
        <f t="shared" si="0"/>
        <v>2018</v>
      </c>
      <c r="G20" s="247">
        <f t="shared" si="0"/>
        <v>2019</v>
      </c>
      <c r="H20" s="247">
        <f t="shared" si="0"/>
        <v>2020</v>
      </c>
      <c r="I20" s="247">
        <f t="shared" si="0"/>
        <v>2021</v>
      </c>
      <c r="J20" s="809">
        <f t="shared" si="0"/>
        <v>2022</v>
      </c>
      <c r="K20" s="809">
        <v>2023</v>
      </c>
      <c r="L20" s="809">
        <f t="shared" si="0"/>
        <v>2024</v>
      </c>
      <c r="N20" s="248"/>
      <c r="O20" s="231"/>
      <c r="P20" s="231"/>
      <c r="Q20" s="231"/>
      <c r="R20" s="231"/>
      <c r="S20" s="231"/>
      <c r="T20" s="231"/>
      <c r="U20" s="231"/>
      <c r="V20" s="231"/>
      <c r="W20" s="231"/>
      <c r="X20" s="231"/>
      <c r="Y20" s="231"/>
      <c r="Z20" s="231"/>
      <c r="AA20" s="231"/>
      <c r="AB20" s="231"/>
    </row>
    <row r="21" spans="1:33" s="179" customFormat="1" ht="12.75" customHeight="1" thickBot="1" x14ac:dyDescent="0.25">
      <c r="A21" s="1248" t="s">
        <v>21</v>
      </c>
      <c r="B21" s="249">
        <f>C9</f>
        <v>2015</v>
      </c>
      <c r="C21" s="989">
        <v>0</v>
      </c>
      <c r="D21" s="250"/>
      <c r="E21" s="250"/>
      <c r="F21" s="250"/>
      <c r="G21" s="250"/>
      <c r="H21" s="250"/>
      <c r="I21" s="250"/>
      <c r="J21" s="810"/>
      <c r="K21" s="810"/>
      <c r="L21" s="811"/>
      <c r="M21" s="252"/>
      <c r="N21" s="253">
        <f t="shared" ref="N21:N30" si="1">SUM(C21:L21)</f>
        <v>0</v>
      </c>
      <c r="O21" s="178"/>
      <c r="P21" s="178"/>
      <c r="Q21" s="178"/>
      <c r="R21" s="178"/>
      <c r="S21" s="178"/>
      <c r="T21" s="178"/>
      <c r="U21" s="178"/>
      <c r="V21" s="178"/>
      <c r="W21" s="178"/>
      <c r="X21" s="178"/>
      <c r="Y21" s="178"/>
      <c r="Z21" s="178"/>
      <c r="AA21" s="178"/>
      <c r="AB21" s="178"/>
      <c r="AC21" s="178"/>
      <c r="AD21" s="178"/>
      <c r="AE21" s="178"/>
      <c r="AF21" s="178"/>
      <c r="AG21" s="178"/>
    </row>
    <row r="22" spans="1:33" s="179" customFormat="1" ht="13.5" customHeight="1" thickBot="1" x14ac:dyDescent="0.25">
      <c r="A22" s="1249"/>
      <c r="B22" s="290">
        <f>D9</f>
        <v>2016</v>
      </c>
      <c r="C22" s="255">
        <f>C10-C21</f>
        <v>0</v>
      </c>
      <c r="D22" s="989">
        <v>0</v>
      </c>
      <c r="E22" s="256"/>
      <c r="F22" s="256"/>
      <c r="G22" s="256"/>
      <c r="H22" s="256"/>
      <c r="I22" s="256"/>
      <c r="J22" s="812"/>
      <c r="K22" s="812"/>
      <c r="L22" s="813"/>
      <c r="M22" s="252"/>
      <c r="N22" s="253">
        <f t="shared" si="1"/>
        <v>0</v>
      </c>
      <c r="O22" s="178"/>
      <c r="P22" s="178"/>
      <c r="Q22" s="178"/>
      <c r="R22" s="178"/>
      <c r="S22" s="178"/>
      <c r="T22" s="178"/>
      <c r="U22" s="178"/>
      <c r="V22" s="178"/>
      <c r="W22" s="178"/>
      <c r="X22" s="178"/>
      <c r="Y22" s="178"/>
      <c r="Z22" s="178"/>
      <c r="AA22" s="178"/>
      <c r="AB22" s="178"/>
      <c r="AC22" s="178"/>
      <c r="AD22" s="178"/>
      <c r="AE22" s="178"/>
      <c r="AF22" s="178"/>
      <c r="AG22" s="178"/>
    </row>
    <row r="23" spans="1:33" s="179" customFormat="1" ht="13.5" customHeight="1" thickBot="1" x14ac:dyDescent="0.25">
      <c r="A23" s="1249"/>
      <c r="B23" s="290">
        <f>E9</f>
        <v>2017</v>
      </c>
      <c r="C23" s="256"/>
      <c r="D23" s="255">
        <f>D10-D22</f>
        <v>0</v>
      </c>
      <c r="E23" s="989">
        <v>0</v>
      </c>
      <c r="F23" s="256"/>
      <c r="G23" s="256"/>
      <c r="H23" s="256"/>
      <c r="I23" s="256"/>
      <c r="J23" s="812"/>
      <c r="K23" s="812"/>
      <c r="L23" s="813"/>
      <c r="M23" s="252"/>
      <c r="N23" s="253">
        <f t="shared" si="1"/>
        <v>0</v>
      </c>
      <c r="O23" s="178"/>
      <c r="P23" s="178"/>
      <c r="Q23" s="178"/>
      <c r="R23" s="178"/>
      <c r="S23" s="178"/>
      <c r="T23" s="178"/>
      <c r="U23" s="178"/>
      <c r="V23" s="178"/>
      <c r="W23" s="178"/>
      <c r="X23" s="178"/>
      <c r="Y23" s="178"/>
      <c r="Z23" s="178"/>
      <c r="AA23" s="178"/>
      <c r="AB23" s="178"/>
      <c r="AC23" s="178"/>
      <c r="AD23" s="178"/>
      <c r="AE23" s="178"/>
      <c r="AF23" s="178"/>
      <c r="AG23" s="178"/>
    </row>
    <row r="24" spans="1:33" s="179" customFormat="1" ht="13.5" customHeight="1" thickBot="1" x14ac:dyDescent="0.25">
      <c r="A24" s="1249"/>
      <c r="B24" s="290">
        <f>F9</f>
        <v>2018</v>
      </c>
      <c r="C24" s="256"/>
      <c r="D24" s="256"/>
      <c r="E24" s="255">
        <f>E10-E23</f>
        <v>0</v>
      </c>
      <c r="F24" s="989">
        <v>0</v>
      </c>
      <c r="G24" s="256"/>
      <c r="H24" s="256"/>
      <c r="I24" s="256"/>
      <c r="J24" s="812"/>
      <c r="K24" s="812"/>
      <c r="L24" s="813"/>
      <c r="M24" s="252"/>
      <c r="N24" s="253">
        <f t="shared" si="1"/>
        <v>0</v>
      </c>
      <c r="O24" s="178"/>
      <c r="P24" s="178"/>
      <c r="Q24" s="178"/>
      <c r="R24" s="178"/>
      <c r="S24" s="178"/>
      <c r="T24" s="178"/>
      <c r="U24" s="178"/>
      <c r="V24" s="178"/>
      <c r="W24" s="178"/>
      <c r="X24" s="178"/>
      <c r="Y24" s="178"/>
      <c r="Z24" s="178"/>
      <c r="AA24" s="178"/>
      <c r="AB24" s="178"/>
      <c r="AC24" s="178"/>
      <c r="AD24" s="178"/>
      <c r="AE24" s="178"/>
      <c r="AF24" s="178"/>
      <c r="AG24" s="178"/>
    </row>
    <row r="25" spans="1:33" s="179" customFormat="1" ht="13.5" customHeight="1" thickBot="1" x14ac:dyDescent="0.25">
      <c r="A25" s="1249"/>
      <c r="B25" s="290">
        <f>G9</f>
        <v>2019</v>
      </c>
      <c r="C25" s="256"/>
      <c r="D25" s="256"/>
      <c r="E25" s="256"/>
      <c r="F25" s="255">
        <f>F10-F24</f>
        <v>0</v>
      </c>
      <c r="G25" s="989">
        <v>0</v>
      </c>
      <c r="H25" s="256"/>
      <c r="I25" s="256"/>
      <c r="J25" s="812"/>
      <c r="K25" s="812"/>
      <c r="L25" s="813"/>
      <c r="M25" s="252"/>
      <c r="N25" s="253">
        <f t="shared" si="1"/>
        <v>0</v>
      </c>
      <c r="O25" s="178"/>
      <c r="P25" s="178"/>
      <c r="Q25" s="178"/>
      <c r="R25" s="178"/>
      <c r="S25" s="178"/>
      <c r="T25" s="178"/>
      <c r="U25" s="178"/>
      <c r="V25" s="178"/>
      <c r="W25" s="178"/>
      <c r="X25" s="178"/>
      <c r="Y25" s="178"/>
      <c r="Z25" s="178"/>
      <c r="AA25" s="178"/>
      <c r="AB25" s="178"/>
      <c r="AC25" s="178"/>
      <c r="AD25" s="178"/>
      <c r="AE25" s="178"/>
      <c r="AF25" s="178"/>
      <c r="AG25" s="178"/>
    </row>
    <row r="26" spans="1:33" s="179" customFormat="1" ht="13.5" customHeight="1" thickBot="1" x14ac:dyDescent="0.25">
      <c r="A26" s="1249"/>
      <c r="B26" s="290">
        <f>+H9</f>
        <v>2020</v>
      </c>
      <c r="C26" s="256"/>
      <c r="D26" s="256"/>
      <c r="E26" s="256"/>
      <c r="F26" s="259"/>
      <c r="G26" s="255">
        <f>G$10-G25</f>
        <v>0</v>
      </c>
      <c r="H26" s="989">
        <v>0</v>
      </c>
      <c r="I26" s="256"/>
      <c r="J26" s="812"/>
      <c r="K26" s="812"/>
      <c r="L26" s="813"/>
      <c r="M26" s="252"/>
      <c r="N26" s="253">
        <f t="shared" si="1"/>
        <v>0</v>
      </c>
      <c r="O26" s="178"/>
      <c r="P26" s="178"/>
      <c r="Q26" s="178"/>
      <c r="R26" s="178"/>
      <c r="S26" s="178"/>
      <c r="T26" s="178"/>
      <c r="U26" s="178"/>
      <c r="V26" s="178"/>
      <c r="W26" s="178"/>
      <c r="X26" s="178"/>
      <c r="Y26" s="178"/>
      <c r="Z26" s="178"/>
      <c r="AA26" s="178"/>
      <c r="AB26" s="178"/>
      <c r="AC26" s="178"/>
      <c r="AD26" s="178"/>
      <c r="AE26" s="178"/>
      <c r="AF26" s="178"/>
      <c r="AG26" s="178"/>
    </row>
    <row r="27" spans="1:33" s="179" customFormat="1" ht="13.5" customHeight="1" thickBot="1" x14ac:dyDescent="0.25">
      <c r="A27" s="1249"/>
      <c r="B27" s="290">
        <f>+I9</f>
        <v>2021</v>
      </c>
      <c r="C27" s="256"/>
      <c r="D27" s="256"/>
      <c r="E27" s="256"/>
      <c r="F27" s="259"/>
      <c r="G27" s="256"/>
      <c r="H27" s="255">
        <f>H$10-H26</f>
        <v>0</v>
      </c>
      <c r="I27" s="989">
        <v>0</v>
      </c>
      <c r="J27" s="812"/>
      <c r="K27" s="812"/>
      <c r="L27" s="813"/>
      <c r="M27" s="252"/>
      <c r="N27" s="253">
        <f t="shared" si="1"/>
        <v>0</v>
      </c>
      <c r="O27" s="178"/>
      <c r="P27" s="178"/>
      <c r="Q27" s="178"/>
      <c r="R27" s="178"/>
      <c r="S27" s="178"/>
      <c r="T27" s="178"/>
      <c r="U27" s="178"/>
      <c r="V27" s="178"/>
      <c r="W27" s="178"/>
      <c r="X27" s="178"/>
      <c r="Y27" s="178"/>
      <c r="Z27" s="178"/>
      <c r="AA27" s="178"/>
      <c r="AB27" s="178"/>
      <c r="AC27" s="178"/>
      <c r="AD27" s="178"/>
      <c r="AE27" s="178"/>
      <c r="AF27" s="178"/>
      <c r="AG27" s="178"/>
    </row>
    <row r="28" spans="1:33" s="179" customFormat="1" ht="13.5" customHeight="1" thickBot="1" x14ac:dyDescent="0.25">
      <c r="A28" s="1249"/>
      <c r="B28" s="825">
        <f>+J9</f>
        <v>2022</v>
      </c>
      <c r="C28" s="812"/>
      <c r="D28" s="812"/>
      <c r="E28" s="812"/>
      <c r="F28" s="815"/>
      <c r="G28" s="812"/>
      <c r="H28" s="812"/>
      <c r="I28" s="565">
        <f>I$10-I27</f>
        <v>0</v>
      </c>
      <c r="J28" s="990">
        <v>0</v>
      </c>
      <c r="K28" s="812"/>
      <c r="L28" s="813"/>
      <c r="M28" s="826"/>
      <c r="N28" s="827">
        <f t="shared" si="1"/>
        <v>0</v>
      </c>
      <c r="O28" s="178"/>
      <c r="P28" s="178"/>
      <c r="Q28" s="178"/>
      <c r="R28" s="178"/>
      <c r="S28" s="178"/>
      <c r="T28" s="178"/>
      <c r="U28" s="178"/>
      <c r="V28" s="178"/>
      <c r="W28" s="178"/>
      <c r="X28" s="178"/>
      <c r="Y28" s="178"/>
      <c r="Z28" s="178"/>
      <c r="AA28" s="178"/>
      <c r="AB28" s="178"/>
      <c r="AC28" s="178"/>
      <c r="AD28" s="178"/>
      <c r="AE28" s="178"/>
      <c r="AF28" s="178"/>
      <c r="AG28" s="178"/>
    </row>
    <row r="29" spans="1:33" s="179" customFormat="1" ht="13.5" customHeight="1" thickBot="1" x14ac:dyDescent="0.25">
      <c r="A29" s="1249"/>
      <c r="B29" s="825">
        <f>+K9</f>
        <v>2023</v>
      </c>
      <c r="C29" s="812"/>
      <c r="D29" s="812"/>
      <c r="E29" s="812"/>
      <c r="F29" s="815"/>
      <c r="G29" s="812"/>
      <c r="H29" s="812"/>
      <c r="I29" s="812"/>
      <c r="J29" s="565">
        <f>J$10-J28</f>
        <v>0</v>
      </c>
      <c r="K29" s="990">
        <v>0</v>
      </c>
      <c r="L29" s="813"/>
      <c r="M29" s="826"/>
      <c r="N29" s="827">
        <f t="shared" si="1"/>
        <v>0</v>
      </c>
      <c r="O29" s="178"/>
      <c r="P29" s="178"/>
      <c r="Q29" s="178"/>
      <c r="R29" s="178"/>
      <c r="S29" s="178"/>
      <c r="T29" s="178"/>
      <c r="U29" s="178"/>
      <c r="V29" s="178"/>
      <c r="W29" s="178"/>
      <c r="X29" s="178"/>
      <c r="Y29" s="178"/>
      <c r="Z29" s="178"/>
      <c r="AA29" s="178"/>
      <c r="AB29" s="178"/>
      <c r="AC29" s="178"/>
      <c r="AD29" s="178"/>
      <c r="AE29" s="178"/>
      <c r="AF29" s="178"/>
      <c r="AG29" s="178"/>
    </row>
    <row r="30" spans="1:33" s="179" customFormat="1" ht="13.5" customHeight="1" thickBot="1" x14ac:dyDescent="0.25">
      <c r="A30" s="1249"/>
      <c r="B30" s="825">
        <f>L9</f>
        <v>2024</v>
      </c>
      <c r="C30" s="812"/>
      <c r="D30" s="812"/>
      <c r="E30" s="812"/>
      <c r="F30" s="812"/>
      <c r="G30" s="812"/>
      <c r="H30" s="815"/>
      <c r="I30" s="815"/>
      <c r="J30" s="815"/>
      <c r="K30" s="565">
        <f>K$10-K29</f>
        <v>0</v>
      </c>
      <c r="L30" s="990">
        <v>0</v>
      </c>
      <c r="M30" s="826"/>
      <c r="N30" s="827">
        <f t="shared" si="1"/>
        <v>0</v>
      </c>
      <c r="O30" s="178"/>
      <c r="P30" s="178"/>
      <c r="Q30" s="178"/>
      <c r="R30" s="178"/>
      <c r="S30" s="178"/>
      <c r="T30" s="178"/>
      <c r="U30" s="178"/>
      <c r="V30" s="178"/>
      <c r="W30" s="178"/>
      <c r="X30" s="178"/>
      <c r="Y30" s="178"/>
      <c r="Z30" s="178"/>
      <c r="AA30" s="178"/>
      <c r="AB30" s="178"/>
      <c r="AC30" s="178"/>
      <c r="AD30" s="178"/>
      <c r="AE30" s="178"/>
      <c r="AF30" s="178"/>
      <c r="AG30" s="178"/>
    </row>
    <row r="31" spans="1:33" s="265" customFormat="1" ht="15.75" x14ac:dyDescent="0.2">
      <c r="A31" s="1250"/>
      <c r="B31" s="331" t="s">
        <v>22</v>
      </c>
      <c r="C31" s="261">
        <f t="shared" ref="C31" si="2">SUM(C21:C30)</f>
        <v>0</v>
      </c>
      <c r="D31" s="261">
        <f t="shared" ref="D31:L31" si="3">SUM(D21:D30)</f>
        <v>0</v>
      </c>
      <c r="E31" s="261">
        <f t="shared" si="3"/>
        <v>0</v>
      </c>
      <c r="F31" s="261">
        <f t="shared" si="3"/>
        <v>0</v>
      </c>
      <c r="G31" s="261">
        <f t="shared" si="3"/>
        <v>0</v>
      </c>
      <c r="H31" s="261">
        <f t="shared" si="3"/>
        <v>0</v>
      </c>
      <c r="I31" s="261">
        <f t="shared" si="3"/>
        <v>0</v>
      </c>
      <c r="J31" s="816">
        <f t="shared" si="3"/>
        <v>0</v>
      </c>
      <c r="K31" s="816">
        <f t="shared" si="3"/>
        <v>0</v>
      </c>
      <c r="L31" s="817">
        <f t="shared" si="3"/>
        <v>0</v>
      </c>
      <c r="M31" s="262"/>
      <c r="N31" s="263">
        <f>SUM(N21:N30)</f>
        <v>0</v>
      </c>
      <c r="O31" s="264"/>
      <c r="P31" s="264"/>
      <c r="Q31" s="264"/>
      <c r="R31" s="264"/>
      <c r="S31" s="264"/>
      <c r="T31" s="264"/>
      <c r="U31" s="264"/>
      <c r="V31" s="264"/>
      <c r="W31" s="264"/>
      <c r="X31" s="264"/>
      <c r="Y31" s="264"/>
      <c r="Z31" s="264"/>
      <c r="AA31" s="264"/>
      <c r="AB31" s="264"/>
      <c r="AC31" s="264"/>
      <c r="AD31" s="264"/>
      <c r="AE31" s="264"/>
      <c r="AF31" s="264"/>
      <c r="AG31" s="264"/>
    </row>
    <row r="32" spans="1:33" s="243" customFormat="1" ht="15.75" customHeight="1" x14ac:dyDescent="0.2">
      <c r="A32" s="266" t="s">
        <v>34</v>
      </c>
      <c r="C32" s="267">
        <f>+C31+C48</f>
        <v>0</v>
      </c>
      <c r="D32" s="267">
        <f t="shared" ref="D32:L32" si="4">+D31+D48</f>
        <v>0</v>
      </c>
      <c r="E32" s="267">
        <f t="shared" si="4"/>
        <v>0</v>
      </c>
      <c r="F32" s="267">
        <f t="shared" si="4"/>
        <v>0</v>
      </c>
      <c r="G32" s="267">
        <f t="shared" si="4"/>
        <v>0</v>
      </c>
      <c r="H32" s="267">
        <f t="shared" si="4"/>
        <v>0</v>
      </c>
      <c r="I32" s="267">
        <f t="shared" si="4"/>
        <v>0</v>
      </c>
      <c r="J32" s="818">
        <f t="shared" si="4"/>
        <v>0</v>
      </c>
      <c r="K32" s="818">
        <f t="shared" si="4"/>
        <v>0</v>
      </c>
      <c r="L32" s="818">
        <f t="shared" si="4"/>
        <v>0</v>
      </c>
      <c r="M32" s="267"/>
      <c r="N32" s="267">
        <f>+N31+N48</f>
        <v>0</v>
      </c>
      <c r="O32" s="267"/>
    </row>
    <row r="33" spans="1:33" s="268" customFormat="1" x14ac:dyDescent="0.2">
      <c r="A33" s="243"/>
      <c r="B33" s="243"/>
      <c r="C33" s="267"/>
      <c r="D33" s="267"/>
      <c r="E33" s="267"/>
      <c r="F33" s="267"/>
      <c r="G33" s="267"/>
      <c r="H33" s="267"/>
      <c r="I33" s="267"/>
      <c r="J33" s="267"/>
      <c r="K33" s="267"/>
      <c r="L33" s="267"/>
      <c r="M33" s="243"/>
      <c r="N33" s="243"/>
      <c r="O33" s="243"/>
      <c r="P33" s="243"/>
      <c r="Q33" s="243"/>
      <c r="R33" s="243"/>
      <c r="S33" s="243"/>
      <c r="T33" s="243"/>
      <c r="U33" s="243"/>
      <c r="V33" s="243"/>
      <c r="W33" s="243"/>
      <c r="X33" s="243"/>
      <c r="Y33" s="243"/>
      <c r="Z33" s="243"/>
      <c r="AA33" s="243"/>
      <c r="AB33" s="243"/>
      <c r="AC33" s="243"/>
      <c r="AD33" s="243"/>
      <c r="AE33" s="243"/>
      <c r="AF33" s="243"/>
      <c r="AG33" s="243"/>
    </row>
    <row r="34" spans="1:33" s="268" customFormat="1" x14ac:dyDescent="0.2">
      <c r="A34" s="243"/>
      <c r="B34" s="243"/>
      <c r="C34" s="241" t="s">
        <v>32</v>
      </c>
      <c r="D34" s="267"/>
      <c r="E34" s="267"/>
      <c r="F34" s="267"/>
      <c r="G34" s="267"/>
      <c r="H34" s="267"/>
      <c r="I34" s="267"/>
      <c r="J34" s="267"/>
      <c r="K34" s="267"/>
      <c r="L34" s="267"/>
      <c r="M34" s="243"/>
      <c r="N34" s="243"/>
      <c r="O34" s="243"/>
      <c r="P34" s="243"/>
      <c r="Q34" s="243"/>
      <c r="R34" s="243"/>
      <c r="S34" s="243"/>
      <c r="T34" s="243"/>
      <c r="U34" s="243"/>
      <c r="V34" s="243"/>
      <c r="W34" s="243"/>
      <c r="X34" s="243"/>
      <c r="Y34" s="243"/>
      <c r="Z34" s="243"/>
      <c r="AA34" s="243"/>
      <c r="AB34" s="243"/>
      <c r="AC34" s="243"/>
      <c r="AD34" s="243"/>
      <c r="AE34" s="243"/>
      <c r="AF34" s="243"/>
      <c r="AG34" s="243"/>
    </row>
    <row r="35" spans="1:33" s="268" customFormat="1" x14ac:dyDescent="0.2">
      <c r="A35" s="243"/>
      <c r="B35" s="243"/>
      <c r="C35" s="241" t="s">
        <v>33</v>
      </c>
      <c r="D35" s="267"/>
      <c r="E35" s="267"/>
      <c r="F35" s="267"/>
      <c r="G35" s="267"/>
      <c r="H35" s="267"/>
      <c r="I35" s="267"/>
      <c r="J35" s="267"/>
      <c r="K35" s="267"/>
      <c r="L35" s="267"/>
      <c r="M35" s="243"/>
      <c r="N35" s="243"/>
      <c r="O35" s="243"/>
      <c r="P35" s="243"/>
      <c r="Q35" s="243"/>
      <c r="R35" s="243"/>
      <c r="S35" s="243"/>
      <c r="T35" s="243"/>
      <c r="U35" s="243"/>
      <c r="V35" s="243"/>
      <c r="W35" s="243"/>
      <c r="X35" s="243"/>
      <c r="Y35" s="243"/>
      <c r="Z35" s="243"/>
      <c r="AA35" s="243"/>
      <c r="AB35" s="243"/>
      <c r="AC35" s="243"/>
      <c r="AD35" s="243"/>
      <c r="AE35" s="243"/>
      <c r="AF35" s="243"/>
      <c r="AG35" s="243"/>
    </row>
    <row r="36" spans="1:33" s="179" customFormat="1" ht="16.5" x14ac:dyDescent="0.2">
      <c r="A36" s="178"/>
      <c r="B36" s="178"/>
      <c r="C36" s="1235" t="s">
        <v>19</v>
      </c>
      <c r="D36" s="1236"/>
      <c r="E36" s="1236"/>
      <c r="F36" s="1236"/>
      <c r="G36" s="1236"/>
      <c r="H36" s="1236"/>
      <c r="I36" s="1236"/>
      <c r="J36" s="1236"/>
      <c r="K36" s="1236"/>
      <c r="L36" s="1237"/>
      <c r="M36" s="178"/>
      <c r="N36" s="245" t="s">
        <v>20</v>
      </c>
      <c r="O36" s="178"/>
      <c r="P36" s="245" t="s">
        <v>20</v>
      </c>
      <c r="Q36" s="178"/>
      <c r="R36" s="178"/>
      <c r="S36" s="178"/>
      <c r="T36" s="178"/>
      <c r="U36" s="178"/>
      <c r="V36" s="178"/>
      <c r="W36" s="178"/>
      <c r="X36" s="178"/>
      <c r="Y36" s="178"/>
      <c r="Z36" s="178"/>
      <c r="AA36" s="178"/>
      <c r="AB36" s="178"/>
      <c r="AC36" s="178"/>
      <c r="AD36" s="178"/>
      <c r="AE36" s="178"/>
      <c r="AF36" s="178"/>
      <c r="AG36" s="178"/>
    </row>
    <row r="37" spans="1:33" s="179" customFormat="1" x14ac:dyDescent="0.2">
      <c r="A37" s="178"/>
      <c r="B37" s="178"/>
      <c r="C37" s="247">
        <f t="shared" ref="C37:L37" si="5">C20</f>
        <v>2015</v>
      </c>
      <c r="D37" s="247">
        <f t="shared" si="5"/>
        <v>2016</v>
      </c>
      <c r="E37" s="247">
        <f t="shared" si="5"/>
        <v>2017</v>
      </c>
      <c r="F37" s="247">
        <f t="shared" si="5"/>
        <v>2018</v>
      </c>
      <c r="G37" s="247">
        <f t="shared" si="5"/>
        <v>2019</v>
      </c>
      <c r="H37" s="247">
        <f t="shared" si="5"/>
        <v>2020</v>
      </c>
      <c r="I37" s="247">
        <f t="shared" si="5"/>
        <v>2021</v>
      </c>
      <c r="J37" s="809">
        <f t="shared" si="5"/>
        <v>2022</v>
      </c>
      <c r="K37" s="809">
        <f t="shared" si="5"/>
        <v>2023</v>
      </c>
      <c r="L37" s="809">
        <f t="shared" si="5"/>
        <v>2024</v>
      </c>
      <c r="M37" s="178"/>
      <c r="N37" s="248" t="s">
        <v>23</v>
      </c>
      <c r="O37" s="178"/>
      <c r="P37" s="248" t="s">
        <v>24</v>
      </c>
      <c r="Q37" s="178"/>
      <c r="R37" s="178"/>
      <c r="S37" s="178"/>
      <c r="T37" s="178"/>
      <c r="U37" s="178"/>
      <c r="V37" s="178"/>
      <c r="W37" s="178"/>
      <c r="X37" s="178"/>
      <c r="Y37" s="178"/>
      <c r="Z37" s="178"/>
      <c r="AA37" s="178"/>
      <c r="AB37" s="178"/>
      <c r="AC37" s="178"/>
      <c r="AD37" s="178"/>
      <c r="AE37" s="178"/>
      <c r="AF37" s="178"/>
      <c r="AG37" s="178"/>
    </row>
    <row r="38" spans="1:33" s="179" customFormat="1" x14ac:dyDescent="0.2">
      <c r="A38" s="1241" t="s">
        <v>113</v>
      </c>
      <c r="B38" s="653">
        <f>B21</f>
        <v>2015</v>
      </c>
      <c r="C38" s="270"/>
      <c r="D38" s="270"/>
      <c r="E38" s="270"/>
      <c r="F38" s="270"/>
      <c r="G38" s="270"/>
      <c r="H38" s="270"/>
      <c r="I38" s="270"/>
      <c r="J38" s="819"/>
      <c r="K38" s="819"/>
      <c r="L38" s="820"/>
      <c r="M38" s="252"/>
      <c r="N38" s="253">
        <f t="shared" ref="N38:N47" si="6">SUM(C38:L38)</f>
        <v>0</v>
      </c>
      <c r="O38" s="252"/>
      <c r="P38" s="272">
        <f>SUM(N21,N38)</f>
        <v>0</v>
      </c>
      <c r="Q38" s="178"/>
      <c r="R38" s="178"/>
      <c r="S38" s="178"/>
      <c r="T38" s="178"/>
      <c r="U38" s="178"/>
      <c r="V38" s="178"/>
      <c r="W38" s="178"/>
      <c r="X38" s="178"/>
      <c r="Y38" s="178"/>
      <c r="Z38" s="178"/>
      <c r="AA38" s="178"/>
      <c r="AB38" s="178"/>
      <c r="AC38" s="178"/>
      <c r="AD38" s="178"/>
      <c r="AE38" s="178"/>
      <c r="AF38" s="178"/>
      <c r="AG38" s="178"/>
    </row>
    <row r="39" spans="1:33" s="179" customFormat="1" x14ac:dyDescent="0.2">
      <c r="A39" s="1242"/>
      <c r="B39" s="654">
        <f>B22</f>
        <v>2016</v>
      </c>
      <c r="C39" s="270"/>
      <c r="D39" s="270"/>
      <c r="E39" s="270"/>
      <c r="F39" s="270"/>
      <c r="G39" s="270"/>
      <c r="H39" s="270"/>
      <c r="I39" s="270"/>
      <c r="J39" s="819"/>
      <c r="K39" s="819"/>
      <c r="L39" s="821"/>
      <c r="M39" s="252"/>
      <c r="N39" s="253">
        <f t="shared" si="6"/>
        <v>0</v>
      </c>
      <c r="O39" s="252"/>
      <c r="P39" s="272">
        <f>SUM(N22,N39)</f>
        <v>0</v>
      </c>
      <c r="Q39" s="178"/>
      <c r="R39" s="178"/>
      <c r="S39" s="178"/>
      <c r="T39" s="178"/>
      <c r="U39" s="178"/>
      <c r="V39" s="178"/>
      <c r="W39" s="178"/>
      <c r="X39" s="178"/>
      <c r="Y39" s="178"/>
      <c r="Z39" s="178"/>
      <c r="AA39" s="178"/>
      <c r="AB39" s="178"/>
      <c r="AC39" s="178"/>
      <c r="AD39" s="178"/>
      <c r="AE39" s="178"/>
      <c r="AF39" s="178"/>
      <c r="AG39" s="178"/>
    </row>
    <row r="40" spans="1:33" s="179" customFormat="1" x14ac:dyDescent="0.2">
      <c r="A40" s="1242" t="s">
        <v>25</v>
      </c>
      <c r="B40" s="654">
        <f>B23</f>
        <v>2017</v>
      </c>
      <c r="C40" s="255">
        <f>+IF($S$4="ex-ante",IF(C$37&lt;=($R$4-2),IF($B40&lt;=($R$4),T4B!G113,0),0),IF($S$4="ex-post",IF(C$37&lt;=($R$4-1),IF($B40&lt;=($R$4+1),T4B!G113,0),0),0))</f>
        <v>0</v>
      </c>
      <c r="D40" s="270"/>
      <c r="E40" s="270"/>
      <c r="F40" s="270"/>
      <c r="G40" s="270"/>
      <c r="H40" s="270"/>
      <c r="I40" s="270"/>
      <c r="J40" s="819"/>
      <c r="K40" s="819"/>
      <c r="L40" s="821"/>
      <c r="M40" s="252"/>
      <c r="N40" s="253">
        <f t="shared" si="6"/>
        <v>0</v>
      </c>
      <c r="O40" s="252"/>
      <c r="P40" s="272">
        <f>SUM(N23,N40)</f>
        <v>0</v>
      </c>
      <c r="Q40" s="178"/>
      <c r="R40" s="178"/>
      <c r="S40" s="178"/>
      <c r="T40" s="178"/>
      <c r="U40" s="178"/>
      <c r="V40" s="178"/>
      <c r="W40" s="178"/>
      <c r="X40" s="178"/>
      <c r="Y40" s="178"/>
      <c r="Z40" s="178"/>
      <c r="AA40" s="178"/>
      <c r="AB40" s="178"/>
      <c r="AC40" s="178"/>
      <c r="AD40" s="178"/>
      <c r="AE40" s="178"/>
      <c r="AF40" s="178"/>
      <c r="AG40" s="178"/>
    </row>
    <row r="41" spans="1:33" s="179" customFormat="1" x14ac:dyDescent="0.2">
      <c r="A41" s="1242"/>
      <c r="B41" s="654">
        <f>B24</f>
        <v>2018</v>
      </c>
      <c r="C41" s="255">
        <f>+IF($S$4="ex-ante",IF(C$37&lt;=($R$4-2),IF($B41&lt;=($R$4),T4B!G114,0),0),IF($S$4="ex-post",IF(C$37&lt;=($R$4-1),IF($B41&lt;=($R$4+1),T4B!G114,0),0),0))</f>
        <v>0</v>
      </c>
      <c r="D41" s="255">
        <f>+IF($S$4="ex-ante",IF(D$37&lt;=($R$4-2),IF($B41&lt;=($R$4),T4B!H114,0),0),IF($S$4="ex-post",IF(D$37&lt;=($R$4-1),IF($B41&lt;=($R$4+1),T4B!H114,0),0),0))</f>
        <v>0</v>
      </c>
      <c r="E41" s="270"/>
      <c r="F41" s="270"/>
      <c r="G41" s="270"/>
      <c r="H41" s="270"/>
      <c r="I41" s="270"/>
      <c r="J41" s="819"/>
      <c r="K41" s="819"/>
      <c r="L41" s="821"/>
      <c r="M41" s="252"/>
      <c r="N41" s="253">
        <f t="shared" si="6"/>
        <v>0</v>
      </c>
      <c r="O41" s="252"/>
      <c r="P41" s="272">
        <f>SUM(N24,N41)</f>
        <v>0</v>
      </c>
      <c r="Q41" s="244" t="s">
        <v>27</v>
      </c>
      <c r="R41" s="178"/>
      <c r="S41" s="178"/>
      <c r="T41" s="178"/>
      <c r="U41" s="178"/>
      <c r="V41" s="178"/>
      <c r="W41" s="178"/>
      <c r="X41" s="178"/>
      <c r="Y41" s="178"/>
      <c r="Z41" s="178"/>
      <c r="AA41" s="178"/>
      <c r="AB41" s="178"/>
      <c r="AC41" s="178"/>
      <c r="AD41" s="178"/>
      <c r="AE41" s="178"/>
      <c r="AF41" s="178"/>
      <c r="AG41" s="178"/>
    </row>
    <row r="42" spans="1:33" s="179" customFormat="1" x14ac:dyDescent="0.2">
      <c r="A42" s="1242" t="s">
        <v>26</v>
      </c>
      <c r="B42" s="654">
        <f>B25</f>
        <v>2019</v>
      </c>
      <c r="C42" s="255">
        <f>+IF($S$4="ex-ante",IF(C$37&lt;=($R$4-2),IF($B42&lt;=($R$4),T4B!G115,0),0),IF($S$4="ex-post",IF(C$37&lt;=($R$4-1),IF($B42&lt;=($R$4+1),T4B!G115,0),0),0))</f>
        <v>0</v>
      </c>
      <c r="D42" s="255">
        <f>+IF($S$4="ex-ante",IF(D$37&lt;=($R$4-2),IF($B42&lt;=($R$4),T4B!H115,0),0),IF($S$4="ex-post",IF(D$37&lt;=($R$4-1),IF($B42&lt;=($R$4+1),T4B!H115,0),0),0))</f>
        <v>0</v>
      </c>
      <c r="E42" s="255">
        <f>+IF($S$4="ex-ante",IF(E$37&lt;=($R$4-2),IF($B42&lt;=($R$4),T4B!I115,0),0),IF($S$4="ex-post",IF(E$37&lt;=($R$4-1),IF($B42&lt;=($R$4+1),T4B!I115,0),0),0))</f>
        <v>0</v>
      </c>
      <c r="F42" s="270"/>
      <c r="G42" s="270"/>
      <c r="H42" s="270"/>
      <c r="I42" s="270"/>
      <c r="J42" s="819"/>
      <c r="K42" s="819"/>
      <c r="L42" s="821"/>
      <c r="M42" s="252"/>
      <c r="N42" s="253">
        <f t="shared" si="6"/>
        <v>0</v>
      </c>
      <c r="O42" s="252"/>
      <c r="P42" s="272">
        <f>SUM(N25,N42)</f>
        <v>0</v>
      </c>
      <c r="Q42" s="244" t="s">
        <v>28</v>
      </c>
      <c r="R42" s="178"/>
      <c r="S42" s="178"/>
      <c r="T42" s="178"/>
      <c r="U42" s="178"/>
      <c r="V42" s="178"/>
      <c r="W42" s="178"/>
      <c r="X42" s="178"/>
      <c r="Y42" s="178"/>
      <c r="Z42" s="178"/>
      <c r="AA42" s="178"/>
      <c r="AB42" s="178"/>
      <c r="AC42" s="178"/>
      <c r="AD42" s="178"/>
      <c r="AE42" s="178"/>
      <c r="AF42" s="178"/>
      <c r="AG42" s="178"/>
    </row>
    <row r="43" spans="1:33" s="179" customFormat="1" x14ac:dyDescent="0.2">
      <c r="A43" s="1242"/>
      <c r="B43" s="654">
        <f t="shared" ref="B43:B46" si="7">B26</f>
        <v>2020</v>
      </c>
      <c r="C43" s="255">
        <f>+IF($S$4="ex-ante",IF(C$37&lt;=($R$4-2),IF($B43&lt;=($R$4),T4B!G116,0),0),IF($S$4="ex-post",IF(C$37&lt;=($R$4-1),IF($B43&lt;=($R$4+1),T4B!G116,0),0),0))</f>
        <v>0</v>
      </c>
      <c r="D43" s="255">
        <f>+IF($S$4="ex-ante",IF(D$37&lt;=($R$4-2),IF($B43&lt;=($R$4),T4B!H116,0),0),IF($S$4="ex-post",IF(D$37&lt;=($R$4-1),IF($B43&lt;=($R$4+1),T4B!H116,0),0),0))</f>
        <v>0</v>
      </c>
      <c r="E43" s="255">
        <f>+IF($S$4="ex-ante",IF(E$37&lt;=($R$4-2),IF($B43&lt;=($R$4),T4B!I116,0),0),IF($S$4="ex-post",IF(E$37&lt;=($R$4-1),IF($B43&lt;=($R$4+1),T4B!I116,0),0),0))</f>
        <v>0</v>
      </c>
      <c r="F43" s="255">
        <f>+IF($S$4="ex-ante",IF(F$37&lt;=($R$4-2),IF($B43&lt;=($R$4),T4B!J116,0),0),IF($S$4="ex-post",IF(F$37&lt;=($R$4-1),IF($B43&lt;=($R$4+1),T4B!J116,0),0),0))</f>
        <v>0</v>
      </c>
      <c r="G43" s="270"/>
      <c r="H43" s="270"/>
      <c r="I43" s="270"/>
      <c r="J43" s="819"/>
      <c r="K43" s="819"/>
      <c r="L43" s="821"/>
      <c r="M43" s="252"/>
      <c r="N43" s="253">
        <f t="shared" si="6"/>
        <v>0</v>
      </c>
      <c r="O43" s="252"/>
      <c r="P43" s="272">
        <f t="shared" ref="P43:P46" si="8">SUM(N26,N43)</f>
        <v>0</v>
      </c>
      <c r="Q43" s="244"/>
      <c r="R43" s="178"/>
      <c r="S43" s="178"/>
      <c r="T43" s="178"/>
      <c r="U43" s="178"/>
      <c r="V43" s="178"/>
      <c r="W43" s="178"/>
      <c r="X43" s="178"/>
      <c r="Y43" s="178"/>
      <c r="Z43" s="178"/>
      <c r="AA43" s="178"/>
      <c r="AB43" s="178"/>
      <c r="AC43" s="178"/>
      <c r="AD43" s="178"/>
      <c r="AE43" s="178"/>
      <c r="AF43" s="178"/>
      <c r="AG43" s="178"/>
    </row>
    <row r="44" spans="1:33" s="179" customFormat="1" x14ac:dyDescent="0.2">
      <c r="A44" s="1242"/>
      <c r="B44" s="654">
        <f t="shared" si="7"/>
        <v>2021</v>
      </c>
      <c r="C44" s="255">
        <f>+IF($S$4="ex-ante",IF(C$37&lt;=($R$4-2),IF($B44&lt;=($R$4),T4B!G117,0),0),IF($S$4="ex-post",IF(C$37&lt;=($R$4-1),IF($B44&lt;=($R$4+1),T4B!G117,0),0),0))</f>
        <v>0</v>
      </c>
      <c r="D44" s="255">
        <f>+IF($S$4="ex-ante",IF(D$37&lt;=($R$4-2),IF($B44&lt;=($R$4),T4B!H117,0),0),IF($S$4="ex-post",IF(D$37&lt;=($R$4-1),IF($B44&lt;=($R$4+1),T4B!H117,0),0),0))</f>
        <v>0</v>
      </c>
      <c r="E44" s="255">
        <f>+IF($S$4="ex-ante",IF(E$37&lt;=($R$4-2),IF($B44&lt;=($R$4),T4B!I117,0),0),IF($S$4="ex-post",IF(E$37&lt;=($R$4-1),IF($B44&lt;=($R$4+1),T4B!I117,0),0),0))</f>
        <v>0</v>
      </c>
      <c r="F44" s="255">
        <f>+IF($S$4="ex-ante",IF(F$37&lt;=($R$4-2),IF($B44&lt;=($R$4),T4B!J117,0),0),IF($S$4="ex-post",IF(F$37&lt;=($R$4-1),IF($B44&lt;=($R$4+1),T4B!J117,0),0),0))</f>
        <v>0</v>
      </c>
      <c r="G44" s="255">
        <f>+IF($S$4="ex-ante",IF(G$37&lt;=($R$4-2),IF($B44&lt;=($R$4),T4B!K117,0),0),IF($S$4="ex-post",IF(G$37&lt;=($R$4-1),IF($B44&lt;=($R$4+1),T4B!K117,0),0),0))</f>
        <v>0</v>
      </c>
      <c r="H44" s="270"/>
      <c r="I44" s="270"/>
      <c r="J44" s="819"/>
      <c r="K44" s="819"/>
      <c r="L44" s="821"/>
      <c r="M44" s="252"/>
      <c r="N44" s="253">
        <f t="shared" si="6"/>
        <v>0</v>
      </c>
      <c r="O44" s="252"/>
      <c r="P44" s="272">
        <f t="shared" si="8"/>
        <v>0</v>
      </c>
      <c r="Q44" s="244"/>
      <c r="R44" s="178"/>
      <c r="S44" s="178"/>
      <c r="T44" s="178"/>
      <c r="U44" s="178"/>
      <c r="V44" s="178"/>
      <c r="W44" s="178"/>
      <c r="X44" s="178"/>
      <c r="Y44" s="178"/>
      <c r="Z44" s="178"/>
      <c r="AA44" s="178"/>
      <c r="AB44" s="178"/>
      <c r="AC44" s="178"/>
      <c r="AD44" s="178"/>
      <c r="AE44" s="178"/>
      <c r="AF44" s="178"/>
      <c r="AG44" s="178"/>
    </row>
    <row r="45" spans="1:33" s="179" customFormat="1" x14ac:dyDescent="0.2">
      <c r="A45" s="1242"/>
      <c r="B45" s="828">
        <f t="shared" si="7"/>
        <v>2022</v>
      </c>
      <c r="C45" s="565">
        <f>+IF($S$4="ex-ante",IF(C$37&lt;=($R$4-2),IF($B45&lt;=($R$4),T4B!G118,0),0),IF($S$4="ex-post",IF(C$37&lt;=($R$4-1),IF($B45&lt;=($R$4+1),T4B!G118,0),0),0))</f>
        <v>0</v>
      </c>
      <c r="D45" s="565">
        <f>+IF($S$4="ex-ante",IF(D$37&lt;=($R$4-2),IF($B45&lt;=($R$4),T4B!H118,0),0),IF($S$4="ex-post",IF(D$37&lt;=($R$4-1),IF($B45&lt;=($R$4+1),T4B!H118,0),0),0))</f>
        <v>0</v>
      </c>
      <c r="E45" s="565">
        <f>+IF($S$4="ex-ante",IF(E$37&lt;=($R$4-2),IF($B45&lt;=($R$4),T4B!I118,0),0),IF($S$4="ex-post",IF(E$37&lt;=($R$4-1),IF($B45&lt;=($R$4+1),T4B!I118,0),0),0))</f>
        <v>0</v>
      </c>
      <c r="F45" s="565">
        <f>+IF($S$4="ex-ante",IF(F$37&lt;=($R$4-2),IF($B45&lt;=($R$4),T4B!J118,0),0),IF($S$4="ex-post",IF(F$37&lt;=($R$4-1),IF($B45&lt;=($R$4+1),T4B!J118,0),0),0))</f>
        <v>0</v>
      </c>
      <c r="G45" s="565">
        <f>+IF($S$4="ex-ante",IF(G$37&lt;=($R$4-2),IF($B45&lt;=($R$4),T4B!K118,0),0),IF($S$4="ex-post",IF(G$37&lt;=($R$4-1),IF($B45&lt;=($R$4+1),T4B!K118,0),0),0))</f>
        <v>0</v>
      </c>
      <c r="H45" s="565">
        <f>+IF($S$4="ex-ante",IF(H$37&lt;=($R$4-2),IF($B45&lt;=($R$4),T4B!L118,0),0),IF($S$4="ex-post",IF(H$37&lt;=($R$4-1),IF($B45&lt;=($R$4+1),T4B!L118,0),0),0))</f>
        <v>0</v>
      </c>
      <c r="I45" s="819"/>
      <c r="J45" s="819"/>
      <c r="K45" s="819"/>
      <c r="L45" s="821"/>
      <c r="M45" s="826"/>
      <c r="N45" s="827">
        <f t="shared" si="6"/>
        <v>0</v>
      </c>
      <c r="O45" s="252"/>
      <c r="P45" s="272">
        <f t="shared" si="8"/>
        <v>0</v>
      </c>
      <c r="Q45" s="244"/>
      <c r="R45" s="178"/>
      <c r="S45" s="178"/>
      <c r="T45" s="178"/>
      <c r="U45" s="178"/>
      <c r="V45" s="178"/>
      <c r="W45" s="178"/>
      <c r="X45" s="178"/>
      <c r="Y45" s="178"/>
      <c r="Z45" s="178"/>
      <c r="AA45" s="178"/>
      <c r="AB45" s="178"/>
      <c r="AC45" s="178"/>
      <c r="AD45" s="178"/>
      <c r="AE45" s="178"/>
      <c r="AF45" s="178"/>
      <c r="AG45" s="178"/>
    </row>
    <row r="46" spans="1:33" s="179" customFormat="1" x14ac:dyDescent="0.2">
      <c r="A46" s="1242"/>
      <c r="B46" s="828">
        <f t="shared" si="7"/>
        <v>2023</v>
      </c>
      <c r="C46" s="819"/>
      <c r="D46" s="819"/>
      <c r="E46" s="819"/>
      <c r="F46" s="819"/>
      <c r="G46" s="819"/>
      <c r="H46" s="565">
        <f>+IF($S$4="ex-ante",IF(H$37&lt;=($R$4-2),IF($B46&lt;=($R$4),T4B!L119,0),0),IF($S$4="ex-post",IF(H$37&lt;=($R$4-1),IF($B46&lt;=($R$4+1),T4B!L119,0),0),0))</f>
        <v>0</v>
      </c>
      <c r="I46" s="565">
        <f>+IF($S$4="ex-ante",IF(I$37&lt;=($R$4-2),IF($B46&lt;=($R$4),T4B!M119,0),0),IF($S$4="ex-post",IF(I$37&lt;=($R$4-1),IF($B46&lt;=($R$4+1),T4B!M119,0),0),0))</f>
        <v>0</v>
      </c>
      <c r="J46" s="819"/>
      <c r="K46" s="819"/>
      <c r="L46" s="821"/>
      <c r="M46" s="826"/>
      <c r="N46" s="827">
        <f t="shared" si="6"/>
        <v>0</v>
      </c>
      <c r="O46" s="252"/>
      <c r="P46" s="272">
        <f t="shared" si="8"/>
        <v>0</v>
      </c>
      <c r="Q46" s="244"/>
      <c r="R46" s="178"/>
      <c r="S46" s="178"/>
      <c r="T46" s="178"/>
      <c r="U46" s="178"/>
      <c r="V46" s="178"/>
      <c r="W46" s="178"/>
      <c r="X46" s="178"/>
      <c r="Y46" s="178"/>
      <c r="Z46" s="178"/>
      <c r="AA46" s="178"/>
      <c r="AB46" s="178"/>
      <c r="AC46" s="178"/>
      <c r="AD46" s="178"/>
      <c r="AE46" s="178"/>
      <c r="AF46" s="178"/>
      <c r="AG46" s="178"/>
    </row>
    <row r="47" spans="1:33" s="179" customFormat="1" x14ac:dyDescent="0.2">
      <c r="A47" s="1242"/>
      <c r="B47" s="828">
        <f t="shared" ref="B47" si="9">B30</f>
        <v>2024</v>
      </c>
      <c r="C47" s="819"/>
      <c r="D47" s="819"/>
      <c r="E47" s="819"/>
      <c r="F47" s="819"/>
      <c r="G47" s="819"/>
      <c r="H47" s="819"/>
      <c r="I47" s="565">
        <f>+IF($S$4="ex-ante",IF(I$37&lt;=($R$4-2),IF($B47&lt;=($R$4),T4B!M120,0),0),IF($S$4="ex-post",IF(I$37&lt;=($R$4-1),IF($B47&lt;=($R$4+1),T4B!M120,0),0),0))</f>
        <v>0</v>
      </c>
      <c r="J47" s="565">
        <f>+IF($S$4="ex-ante",IF(J$37&lt;=($R$4-2),IF($B47&lt;=($R$4),T4B!N120,0),0),IF($S$4="ex-post",IF(J$37&lt;=($R$4-1),IF($B47&lt;=($R$4+1),T4B!N120,0),0),0))</f>
        <v>0</v>
      </c>
      <c r="K47" s="819"/>
      <c r="L47" s="821"/>
      <c r="M47" s="826"/>
      <c r="N47" s="827">
        <f t="shared" si="6"/>
        <v>0</v>
      </c>
      <c r="O47" s="252"/>
      <c r="P47" s="272">
        <f t="shared" ref="P47" si="10">SUM(N30,N47)</f>
        <v>0</v>
      </c>
      <c r="Q47" s="244"/>
      <c r="R47" s="178"/>
      <c r="S47" s="178"/>
      <c r="T47" s="178"/>
      <c r="U47" s="178"/>
      <c r="V47" s="178"/>
      <c r="W47" s="178"/>
      <c r="X47" s="178"/>
      <c r="Y47" s="178"/>
      <c r="Z47" s="178"/>
      <c r="AA47" s="178"/>
      <c r="AB47" s="178"/>
      <c r="AC47" s="178"/>
      <c r="AD47" s="178"/>
      <c r="AE47" s="178"/>
      <c r="AF47" s="178"/>
      <c r="AG47" s="178"/>
    </row>
    <row r="48" spans="1:33" s="265" customFormat="1" ht="15.75" x14ac:dyDescent="0.2">
      <c r="A48" s="1243"/>
      <c r="B48" s="655" t="s">
        <v>22</v>
      </c>
      <c r="C48" s="332">
        <f t="shared" ref="C48:L48" si="11">SUM(C38:C47)</f>
        <v>0</v>
      </c>
      <c r="D48" s="332">
        <f t="shared" si="11"/>
        <v>0</v>
      </c>
      <c r="E48" s="332">
        <f t="shared" si="11"/>
        <v>0</v>
      </c>
      <c r="F48" s="332">
        <f>SUM(F38:F47)</f>
        <v>0</v>
      </c>
      <c r="G48" s="332">
        <f t="shared" si="11"/>
        <v>0</v>
      </c>
      <c r="H48" s="332">
        <f t="shared" si="11"/>
        <v>0</v>
      </c>
      <c r="I48" s="332">
        <f t="shared" si="11"/>
        <v>0</v>
      </c>
      <c r="J48" s="822">
        <f t="shared" si="11"/>
        <v>0</v>
      </c>
      <c r="K48" s="822">
        <f t="shared" si="11"/>
        <v>0</v>
      </c>
      <c r="L48" s="822">
        <f t="shared" si="11"/>
        <v>0</v>
      </c>
      <c r="M48" s="252"/>
      <c r="N48" s="263">
        <f>SUM(N38:N47)</f>
        <v>0</v>
      </c>
      <c r="O48" s="262"/>
      <c r="P48" s="263">
        <f>SUM(P38:P47)</f>
        <v>0</v>
      </c>
      <c r="Q48" s="264"/>
      <c r="R48" s="264"/>
      <c r="S48" s="264"/>
      <c r="T48" s="264"/>
      <c r="U48" s="264"/>
      <c r="V48" s="264"/>
      <c r="W48" s="264"/>
      <c r="X48" s="264"/>
      <c r="Y48" s="264"/>
      <c r="Z48" s="264"/>
      <c r="AA48" s="264"/>
      <c r="AB48" s="264"/>
      <c r="AC48" s="264"/>
      <c r="AD48" s="264"/>
      <c r="AE48" s="264"/>
      <c r="AF48" s="264"/>
      <c r="AG48" s="264"/>
    </row>
    <row r="49" spans="1:33" x14ac:dyDescent="0.2">
      <c r="A49" s="656"/>
      <c r="B49" s="656"/>
      <c r="M49" s="252"/>
    </row>
    <row r="51" spans="1:33" ht="13.5" thickBot="1" x14ac:dyDescent="0.25"/>
    <row r="52" spans="1:33" s="179" customFormat="1" ht="22.5" customHeight="1" thickBot="1" x14ac:dyDescent="0.25">
      <c r="A52" s="1224" t="s">
        <v>175</v>
      </c>
      <c r="B52" s="1225"/>
      <c r="C52" s="1225"/>
      <c r="D52" s="1225"/>
      <c r="E52" s="1225"/>
      <c r="F52" s="1225"/>
      <c r="G52" s="1225"/>
      <c r="H52" s="1225"/>
      <c r="I52" s="1225"/>
      <c r="J52" s="1225"/>
      <c r="K52" s="1225"/>
      <c r="L52" s="1225"/>
      <c r="M52" s="1225"/>
      <c r="N52" s="1226"/>
      <c r="P52" s="178"/>
      <c r="Q52" s="178"/>
      <c r="R52" s="178"/>
      <c r="S52" s="178"/>
      <c r="T52" s="178"/>
      <c r="U52" s="178"/>
      <c r="V52" s="178"/>
      <c r="W52" s="178"/>
      <c r="X52" s="178"/>
      <c r="Y52" s="178"/>
      <c r="Z52" s="178"/>
      <c r="AA52" s="178"/>
      <c r="AB52" s="178"/>
      <c r="AC52" s="178"/>
      <c r="AD52" s="178"/>
      <c r="AE52" s="178"/>
      <c r="AF52" s="178"/>
      <c r="AG52" s="178"/>
    </row>
    <row r="54" spans="1:33" x14ac:dyDescent="0.2">
      <c r="C54" s="241" t="s">
        <v>164</v>
      </c>
    </row>
    <row r="55" spans="1:33" x14ac:dyDescent="0.2">
      <c r="C55" s="241" t="s">
        <v>29</v>
      </c>
    </row>
    <row r="56" spans="1:33" ht="16.5" x14ac:dyDescent="0.2">
      <c r="C56" s="1235" t="s">
        <v>19</v>
      </c>
      <c r="D56" s="1236"/>
      <c r="E56" s="1236"/>
      <c r="F56" s="1236"/>
      <c r="G56" s="1236"/>
      <c r="H56" s="1236"/>
      <c r="I56" s="1236"/>
      <c r="J56" s="1236"/>
      <c r="K56" s="1236"/>
      <c r="L56" s="1237"/>
    </row>
    <row r="57" spans="1:33" x14ac:dyDescent="0.2">
      <c r="C57" s="247">
        <f t="shared" ref="C57:L57" si="12">C37</f>
        <v>2015</v>
      </c>
      <c r="D57" s="247">
        <f t="shared" si="12"/>
        <v>2016</v>
      </c>
      <c r="E57" s="247">
        <f t="shared" si="12"/>
        <v>2017</v>
      </c>
      <c r="F57" s="247">
        <f t="shared" si="12"/>
        <v>2018</v>
      </c>
      <c r="G57" s="247">
        <f t="shared" si="12"/>
        <v>2019</v>
      </c>
      <c r="H57" s="247">
        <f t="shared" si="12"/>
        <v>2020</v>
      </c>
      <c r="I57" s="247">
        <f t="shared" si="12"/>
        <v>2021</v>
      </c>
      <c r="J57" s="809">
        <f t="shared" si="12"/>
        <v>2022</v>
      </c>
      <c r="K57" s="809">
        <f t="shared" si="12"/>
        <v>2023</v>
      </c>
      <c r="L57" s="809">
        <f t="shared" si="12"/>
        <v>2024</v>
      </c>
      <c r="N57" s="93" t="s">
        <v>20</v>
      </c>
    </row>
    <row r="58" spans="1:33" x14ac:dyDescent="0.2">
      <c r="A58" s="1238" t="s">
        <v>101</v>
      </c>
      <c r="B58" s="276">
        <f>B38</f>
        <v>2015</v>
      </c>
      <c r="C58" s="255">
        <f>+C21</f>
        <v>0</v>
      </c>
      <c r="D58" s="277"/>
      <c r="E58" s="270"/>
      <c r="F58" s="270"/>
      <c r="G58" s="270"/>
      <c r="H58" s="270"/>
      <c r="I58" s="270"/>
      <c r="J58" s="819"/>
      <c r="K58" s="819"/>
      <c r="L58" s="820"/>
      <c r="N58" s="278">
        <f t="shared" ref="N58:N67" si="13">SUM(C58:L58)</f>
        <v>0</v>
      </c>
    </row>
    <row r="59" spans="1:33" x14ac:dyDescent="0.2">
      <c r="A59" s="1239"/>
      <c r="B59" s="247">
        <f>B39</f>
        <v>2016</v>
      </c>
      <c r="C59" s="255">
        <f>+C58+C39+C22</f>
        <v>0</v>
      </c>
      <c r="D59" s="255">
        <f>+D22</f>
        <v>0</v>
      </c>
      <c r="E59" s="279"/>
      <c r="F59" s="279"/>
      <c r="G59" s="279"/>
      <c r="H59" s="279"/>
      <c r="I59" s="279"/>
      <c r="J59" s="823"/>
      <c r="K59" s="823"/>
      <c r="L59" s="824"/>
      <c r="N59" s="278">
        <f t="shared" si="13"/>
        <v>0</v>
      </c>
    </row>
    <row r="60" spans="1:33" x14ac:dyDescent="0.2">
      <c r="A60" s="1239"/>
      <c r="B60" s="247">
        <f>B40</f>
        <v>2017</v>
      </c>
      <c r="C60" s="255">
        <f>+C59+C40+C23</f>
        <v>0</v>
      </c>
      <c r="D60" s="255">
        <f>+D59+D40+D23</f>
        <v>0</v>
      </c>
      <c r="E60" s="255">
        <f>+E23</f>
        <v>0</v>
      </c>
      <c r="F60" s="279"/>
      <c r="G60" s="279"/>
      <c r="H60" s="279"/>
      <c r="I60" s="279"/>
      <c r="J60" s="823"/>
      <c r="K60" s="823"/>
      <c r="L60" s="824"/>
      <c r="N60" s="278">
        <f t="shared" si="13"/>
        <v>0</v>
      </c>
    </row>
    <row r="61" spans="1:33" x14ac:dyDescent="0.2">
      <c r="A61" s="1239"/>
      <c r="B61" s="247">
        <f>B41</f>
        <v>2018</v>
      </c>
      <c r="C61" s="255">
        <f>+C60+C41+C24</f>
        <v>0</v>
      </c>
      <c r="D61" s="255">
        <f>+D60+D41+D24</f>
        <v>0</v>
      </c>
      <c r="E61" s="255">
        <f>+E60+E41+E24</f>
        <v>0</v>
      </c>
      <c r="F61" s="255">
        <f>+F24</f>
        <v>0</v>
      </c>
      <c r="G61" s="279"/>
      <c r="H61" s="279"/>
      <c r="I61" s="279"/>
      <c r="J61" s="823"/>
      <c r="K61" s="823"/>
      <c r="L61" s="824"/>
      <c r="N61" s="278">
        <f t="shared" si="13"/>
        <v>0</v>
      </c>
    </row>
    <row r="62" spans="1:33" x14ac:dyDescent="0.2">
      <c r="A62" s="1239"/>
      <c r="B62" s="247">
        <f>B42</f>
        <v>2019</v>
      </c>
      <c r="C62" s="255">
        <f>+C61+C42+C25</f>
        <v>0</v>
      </c>
      <c r="D62" s="255">
        <f>+D61+D42+D25</f>
        <v>0</v>
      </c>
      <c r="E62" s="255">
        <f>+E61+E42+E25</f>
        <v>0</v>
      </c>
      <c r="F62" s="255">
        <f>+F61+F42+F25</f>
        <v>0</v>
      </c>
      <c r="G62" s="255">
        <f>+G25</f>
        <v>0</v>
      </c>
      <c r="H62" s="279"/>
      <c r="I62" s="279"/>
      <c r="J62" s="823"/>
      <c r="K62" s="823"/>
      <c r="L62" s="824"/>
      <c r="N62" s="278">
        <f t="shared" si="13"/>
        <v>0</v>
      </c>
    </row>
    <row r="63" spans="1:33" x14ac:dyDescent="0.2">
      <c r="A63" s="1239"/>
      <c r="B63" s="276">
        <f t="shared" ref="B63:B66" si="14">B43</f>
        <v>2020</v>
      </c>
      <c r="C63" s="255">
        <f t="shared" ref="C63:G63" si="15">+C62+C43+C26</f>
        <v>0</v>
      </c>
      <c r="D63" s="255">
        <f t="shared" si="15"/>
        <v>0</v>
      </c>
      <c r="E63" s="255">
        <f t="shared" si="15"/>
        <v>0</v>
      </c>
      <c r="F63" s="255">
        <f t="shared" si="15"/>
        <v>0</v>
      </c>
      <c r="G63" s="255">
        <f t="shared" si="15"/>
        <v>0</v>
      </c>
      <c r="H63" s="255">
        <f t="shared" ref="H63:J65" si="16">+H26</f>
        <v>0</v>
      </c>
      <c r="I63" s="279"/>
      <c r="J63" s="823"/>
      <c r="K63" s="823"/>
      <c r="L63" s="824"/>
      <c r="N63" s="278">
        <f t="shared" si="13"/>
        <v>0</v>
      </c>
    </row>
    <row r="64" spans="1:33" x14ac:dyDescent="0.2">
      <c r="A64" s="1239"/>
      <c r="B64" s="276">
        <f t="shared" si="14"/>
        <v>2021</v>
      </c>
      <c r="C64" s="255">
        <f t="shared" ref="C64:H64" si="17">+C63+C44+C27</f>
        <v>0</v>
      </c>
      <c r="D64" s="255">
        <f t="shared" si="17"/>
        <v>0</v>
      </c>
      <c r="E64" s="255">
        <f t="shared" si="17"/>
        <v>0</v>
      </c>
      <c r="F64" s="255">
        <f t="shared" si="17"/>
        <v>0</v>
      </c>
      <c r="G64" s="255">
        <f t="shared" si="17"/>
        <v>0</v>
      </c>
      <c r="H64" s="255">
        <f t="shared" si="17"/>
        <v>0</v>
      </c>
      <c r="I64" s="255">
        <f t="shared" si="16"/>
        <v>0</v>
      </c>
      <c r="J64" s="834"/>
      <c r="K64" s="834"/>
      <c r="L64" s="836"/>
      <c r="N64" s="278">
        <f t="shared" si="13"/>
        <v>0</v>
      </c>
    </row>
    <row r="65" spans="1:14" x14ac:dyDescent="0.2">
      <c r="A65" s="1239"/>
      <c r="B65" s="829">
        <f t="shared" si="14"/>
        <v>2022</v>
      </c>
      <c r="C65" s="835">
        <f t="shared" ref="C65:K67" si="18">+C64+C45+C28</f>
        <v>0</v>
      </c>
      <c r="D65" s="835">
        <f t="shared" si="18"/>
        <v>0</v>
      </c>
      <c r="E65" s="835">
        <f t="shared" si="18"/>
        <v>0</v>
      </c>
      <c r="F65" s="835">
        <f t="shared" si="18"/>
        <v>0</v>
      </c>
      <c r="G65" s="835">
        <f t="shared" si="18"/>
        <v>0</v>
      </c>
      <c r="H65" s="835">
        <f t="shared" si="18"/>
        <v>0</v>
      </c>
      <c r="I65" s="835">
        <f t="shared" si="18"/>
        <v>0</v>
      </c>
      <c r="J65" s="835">
        <f t="shared" si="16"/>
        <v>0</v>
      </c>
      <c r="K65" s="823"/>
      <c r="L65" s="824"/>
      <c r="M65" s="830"/>
      <c r="N65" s="831">
        <f t="shared" si="13"/>
        <v>0</v>
      </c>
    </row>
    <row r="66" spans="1:14" x14ac:dyDescent="0.2">
      <c r="A66" s="1239"/>
      <c r="B66" s="829">
        <f t="shared" si="14"/>
        <v>2023</v>
      </c>
      <c r="C66" s="832"/>
      <c r="D66" s="823"/>
      <c r="E66" s="823"/>
      <c r="F66" s="823"/>
      <c r="G66" s="823"/>
      <c r="H66" s="565">
        <f t="shared" si="18"/>
        <v>0</v>
      </c>
      <c r="I66" s="565">
        <f t="shared" si="18"/>
        <v>0</v>
      </c>
      <c r="J66" s="565">
        <f t="shared" si="18"/>
        <v>0</v>
      </c>
      <c r="K66" s="565">
        <f>+K29</f>
        <v>0</v>
      </c>
      <c r="L66" s="824"/>
      <c r="M66" s="830"/>
      <c r="N66" s="831">
        <f t="shared" si="13"/>
        <v>0</v>
      </c>
    </row>
    <row r="67" spans="1:14" x14ac:dyDescent="0.2">
      <c r="A67" s="1240"/>
      <c r="B67" s="809">
        <f t="shared" ref="B67" si="19">B47</f>
        <v>2024</v>
      </c>
      <c r="C67" s="833"/>
      <c r="D67" s="834"/>
      <c r="E67" s="834"/>
      <c r="F67" s="834"/>
      <c r="G67" s="834"/>
      <c r="H67" s="834"/>
      <c r="I67" s="565">
        <f t="shared" si="18"/>
        <v>0</v>
      </c>
      <c r="J67" s="565">
        <f t="shared" si="18"/>
        <v>0</v>
      </c>
      <c r="K67" s="565">
        <f t="shared" si="18"/>
        <v>0</v>
      </c>
      <c r="L67" s="565">
        <f>+L30</f>
        <v>0</v>
      </c>
      <c r="M67" s="830"/>
      <c r="N67" s="831">
        <f t="shared" si="13"/>
        <v>0</v>
      </c>
    </row>
    <row r="68" spans="1:14" x14ac:dyDescent="0.2">
      <c r="C68" s="241"/>
    </row>
    <row r="69" spans="1:14" x14ac:dyDescent="0.2">
      <c r="C69" s="241"/>
    </row>
  </sheetData>
  <sheetProtection algorithmName="SHA-512" hashValue="knfjp+I+zli+CGhP/oDcwm12KGQETVt+QhtyNv8/Xvi4X77z2sAg4UQv8mA8teTglJX8G8kGu2dWTnD0puow7g==" saltValue="FxVur+YGGbjjjQECy0gzag==" spinCount="100000" sheet="1" objects="1" scenarios="1"/>
  <customSheetViews>
    <customSheetView guid="{C8C7977F-B6BF-432B-A1A7-559450D521AF}" scale="80">
      <selection activeCell="C25" sqref="C25"/>
      <pageMargins left="0.78740157480314965" right="0.78740157480314965" top="0.98425196850393704" bottom="0.98425196850393704" header="0.51181102362204722" footer="0.51181102362204722"/>
      <pageSetup paperSize="8" scale="70" orientation="landscape" r:id="rId1"/>
      <headerFooter alignWithMargins="0">
        <oddFooter>&amp;CPage &amp;P</oddFooter>
      </headerFooter>
    </customSheetView>
  </customSheetViews>
  <mergeCells count="15">
    <mergeCell ref="C56:L56"/>
    <mergeCell ref="A58:A67"/>
    <mergeCell ref="C36:L36"/>
    <mergeCell ref="A38:A48"/>
    <mergeCell ref="C19:L19"/>
    <mergeCell ref="A20:B20"/>
    <mergeCell ref="A21:A31"/>
    <mergeCell ref="A52:N52"/>
    <mergeCell ref="A4:N4"/>
    <mergeCell ref="C8:L8"/>
    <mergeCell ref="A15:N15"/>
    <mergeCell ref="O15:P15"/>
    <mergeCell ref="A1:N1"/>
    <mergeCell ref="C6:L6"/>
    <mergeCell ref="C7:L7"/>
  </mergeCells>
  <pageMargins left="0.78740157480314965" right="0.78740157480314965" top="0.98425196850393704" bottom="0.98425196850393704" header="0.51181102362204722" footer="0.51181102362204722"/>
  <pageSetup paperSize="8" scale="88" orientation="landscape" r:id="rId2"/>
  <headerFooter alignWithMargins="0">
    <oddFooter>&amp;CPage &amp;P</oddFooter>
  </headerFooter>
  <ignoredErrors>
    <ignoredError sqref="N37 P37" numberStoredAsText="1"/>
    <ignoredError sqref="L48 C48:G48 N38:N42" formulaRange="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Blad16"/>
  <dimension ref="A1:V739"/>
  <sheetViews>
    <sheetView topLeftCell="A79" zoomScale="80" zoomScaleNormal="80" workbookViewId="0">
      <selection activeCell="G16" sqref="G16"/>
    </sheetView>
  </sheetViews>
  <sheetFormatPr defaultColWidth="9.140625" defaultRowHeight="12.75" x14ac:dyDescent="0.2"/>
  <cols>
    <col min="1" max="1" width="2.42578125" style="167" customWidth="1"/>
    <col min="2" max="2" width="9.140625" style="167"/>
    <col min="3" max="3" width="19" style="167" customWidth="1"/>
    <col min="4" max="4" width="12.85546875" style="167" customWidth="1"/>
    <col min="5" max="5" width="24.28515625" style="167" customWidth="1"/>
    <col min="6" max="6" width="9.42578125" style="167" customWidth="1"/>
    <col min="7" max="16" width="25.7109375" style="167" customWidth="1"/>
    <col min="17" max="17" width="2.140625" style="209" customWidth="1"/>
    <col min="18" max="18" width="25.7109375" style="167" customWidth="1"/>
    <col min="19" max="16384" width="9.140625" style="167"/>
  </cols>
  <sheetData>
    <row r="1" spans="1:22" ht="25.5" customHeight="1" thickBot="1" x14ac:dyDescent="0.25">
      <c r="A1" s="1178" t="s">
        <v>238</v>
      </c>
      <c r="B1" s="1179"/>
      <c r="C1" s="1179"/>
      <c r="D1" s="1179"/>
      <c r="E1" s="1179"/>
      <c r="F1" s="1179"/>
      <c r="G1" s="1179"/>
      <c r="H1" s="1179"/>
      <c r="I1" s="1179"/>
      <c r="J1" s="1180"/>
      <c r="K1" s="292"/>
      <c r="L1" s="293"/>
      <c r="M1" s="293"/>
      <c r="N1" s="293"/>
      <c r="O1" s="293"/>
      <c r="P1" s="293"/>
      <c r="Q1" s="293"/>
      <c r="S1" s="294"/>
      <c r="T1" s="294"/>
      <c r="U1" s="294"/>
      <c r="V1" s="294"/>
    </row>
    <row r="2" spans="1:22" x14ac:dyDescent="0.2">
      <c r="B2" s="209" t="str">
        <f>+TITELBLAD!B16</f>
        <v>Rapportering over boekjaar:</v>
      </c>
      <c r="C2" s="209"/>
      <c r="D2" s="209">
        <f>+TITELBLAD!E16</f>
        <v>2021</v>
      </c>
      <c r="E2" s="209" t="str">
        <f>+TITELBLAD!F16</f>
        <v>ex-ante</v>
      </c>
      <c r="F2" s="209"/>
      <c r="G2" s="209"/>
      <c r="H2" s="295"/>
      <c r="I2" s="234"/>
      <c r="J2" s="233"/>
      <c r="K2" s="234"/>
      <c r="L2" s="234"/>
      <c r="M2" s="234"/>
      <c r="N2" s="234"/>
      <c r="O2" s="234"/>
      <c r="P2" s="234"/>
      <c r="Q2" s="296"/>
      <c r="R2" s="234"/>
    </row>
    <row r="3" spans="1:22" ht="13.5" thickBot="1" x14ac:dyDescent="0.25">
      <c r="B3" s="297" t="s">
        <v>15</v>
      </c>
      <c r="H3" s="241"/>
      <c r="I3" s="233"/>
      <c r="J3" s="233"/>
      <c r="K3" s="234"/>
      <c r="L3" s="234"/>
      <c r="M3" s="234"/>
      <c r="N3" s="234"/>
      <c r="O3" s="234"/>
      <c r="P3" s="234"/>
      <c r="Q3" s="296"/>
      <c r="R3" s="234"/>
    </row>
    <row r="4" spans="1:22" ht="13.5" thickBot="1" x14ac:dyDescent="0.25">
      <c r="B4" s="1199" t="str">
        <f>+TITELBLAD!C7</f>
        <v>NAAM DNB</v>
      </c>
      <c r="C4" s="1200"/>
      <c r="D4" s="1200"/>
      <c r="E4" s="1201"/>
      <c r="H4" s="241"/>
      <c r="I4" s="233"/>
      <c r="J4" s="233"/>
      <c r="K4" s="234"/>
      <c r="L4" s="234"/>
      <c r="M4" s="234"/>
      <c r="N4" s="234"/>
      <c r="O4" s="234"/>
      <c r="P4" s="234"/>
      <c r="Q4" s="296"/>
      <c r="R4" s="234"/>
    </row>
    <row r="5" spans="1:22" x14ac:dyDescent="0.2">
      <c r="H5" s="241"/>
      <c r="I5" s="233"/>
      <c r="J5" s="233"/>
      <c r="K5" s="234"/>
      <c r="L5" s="234"/>
      <c r="M5" s="234"/>
      <c r="N5" s="234"/>
      <c r="O5" s="234"/>
      <c r="P5" s="234"/>
      <c r="Q5" s="296"/>
      <c r="R5" s="234"/>
    </row>
    <row r="6" spans="1:22" ht="13.5" thickBot="1" x14ac:dyDescent="0.25">
      <c r="B6" s="297" t="s">
        <v>16</v>
      </c>
      <c r="H6" s="241"/>
      <c r="I6" s="233"/>
      <c r="J6" s="233"/>
      <c r="K6" s="234"/>
      <c r="L6" s="234"/>
      <c r="M6" s="234"/>
      <c r="N6" s="234"/>
      <c r="O6" s="234"/>
      <c r="P6" s="234"/>
      <c r="Q6" s="296"/>
      <c r="R6" s="234"/>
    </row>
    <row r="7" spans="1:22" ht="13.5" thickBot="1" x14ac:dyDescent="0.25">
      <c r="B7" s="1202" t="str">
        <f>+TITELBLAD!C10</f>
        <v>gas</v>
      </c>
      <c r="C7" s="1203"/>
      <c r="D7" s="1203"/>
      <c r="E7" s="1204"/>
      <c r="H7" s="241"/>
      <c r="I7" s="233"/>
      <c r="J7" s="233"/>
      <c r="K7" s="234"/>
      <c r="L7" s="234"/>
      <c r="M7" s="234"/>
      <c r="N7" s="234"/>
      <c r="O7" s="234"/>
      <c r="P7" s="234"/>
      <c r="Q7" s="296"/>
      <c r="R7" s="234"/>
    </row>
    <row r="8" spans="1:22" x14ac:dyDescent="0.2">
      <c r="H8" s="241"/>
      <c r="I8" s="233"/>
      <c r="J8" s="233"/>
      <c r="K8" s="234"/>
      <c r="L8" s="234"/>
      <c r="M8" s="234"/>
      <c r="N8" s="234"/>
      <c r="O8" s="234"/>
      <c r="P8" s="234"/>
      <c r="Q8" s="296"/>
      <c r="R8" s="234"/>
    </row>
    <row r="9" spans="1:22" x14ac:dyDescent="0.2">
      <c r="K9" s="296"/>
      <c r="L9" s="296"/>
      <c r="M9" s="296"/>
      <c r="N9" s="296"/>
      <c r="O9" s="296"/>
      <c r="P9" s="296"/>
      <c r="Q9" s="296"/>
      <c r="R9" s="296"/>
    </row>
    <row r="10" spans="1:22" x14ac:dyDescent="0.2">
      <c r="K10" s="296"/>
      <c r="L10" s="296"/>
      <c r="M10" s="296"/>
      <c r="N10" s="296"/>
      <c r="O10" s="296"/>
      <c r="P10" s="296"/>
      <c r="Q10" s="296"/>
      <c r="R10" s="296"/>
    </row>
    <row r="11" spans="1:22" x14ac:dyDescent="0.2">
      <c r="G11" s="298" t="s">
        <v>41</v>
      </c>
      <c r="H11" s="299"/>
      <c r="I11" s="300"/>
      <c r="K11" s="296"/>
      <c r="L11" s="296"/>
      <c r="M11" s="296"/>
      <c r="N11" s="296"/>
      <c r="O11" s="296"/>
      <c r="P11" s="296"/>
      <c r="Q11" s="296"/>
      <c r="R11" s="296"/>
    </row>
    <row r="12" spans="1:22" x14ac:dyDescent="0.2">
      <c r="G12" s="244" t="s">
        <v>166</v>
      </c>
      <c r="H12" s="299"/>
      <c r="I12" s="300"/>
    </row>
    <row r="13" spans="1:22" ht="60" customHeight="1" x14ac:dyDescent="0.2">
      <c r="B13" s="1257" t="s">
        <v>239</v>
      </c>
      <c r="C13" s="1258"/>
      <c r="D13" s="1258"/>
      <c r="E13" s="1259"/>
      <c r="F13" s="168"/>
      <c r="G13" s="166">
        <v>2015</v>
      </c>
      <c r="H13" s="166">
        <f>+G13+1</f>
        <v>2016</v>
      </c>
      <c r="I13" s="166">
        <f>+H13+1</f>
        <v>2017</v>
      </c>
      <c r="J13" s="166">
        <f>+I13+1</f>
        <v>2018</v>
      </c>
      <c r="K13" s="166">
        <f>+J13+1</f>
        <v>2019</v>
      </c>
      <c r="L13" s="166">
        <f t="shared" ref="L13:P13" si="0">+K13+1</f>
        <v>2020</v>
      </c>
      <c r="M13" s="166">
        <f t="shared" si="0"/>
        <v>2021</v>
      </c>
      <c r="N13" s="837">
        <f t="shared" si="0"/>
        <v>2022</v>
      </c>
      <c r="O13" s="837">
        <f t="shared" si="0"/>
        <v>2023</v>
      </c>
      <c r="P13" s="837">
        <f t="shared" si="0"/>
        <v>2024</v>
      </c>
      <c r="R13" s="166" t="s">
        <v>20</v>
      </c>
    </row>
    <row r="14" spans="1:22" s="301" customFormat="1" ht="12" customHeight="1" x14ac:dyDescent="0.2">
      <c r="B14" s="302"/>
      <c r="C14" s="302"/>
      <c r="D14" s="302"/>
      <c r="E14" s="302"/>
      <c r="F14" s="303"/>
      <c r="G14" s="304"/>
      <c r="H14" s="228"/>
      <c r="I14" s="228"/>
      <c r="N14" s="838"/>
      <c r="O14" s="838"/>
      <c r="P14" s="838"/>
      <c r="Q14" s="305"/>
    </row>
    <row r="15" spans="1:22" ht="28.5" customHeight="1" x14ac:dyDescent="0.2">
      <c r="B15" s="1263" t="s">
        <v>240</v>
      </c>
      <c r="C15" s="1263"/>
      <c r="D15" s="1263"/>
      <c r="E15" s="1263"/>
      <c r="F15" s="168"/>
      <c r="G15" s="213">
        <v>0</v>
      </c>
      <c r="H15" s="213">
        <v>0</v>
      </c>
      <c r="I15" s="213">
        <v>0</v>
      </c>
      <c r="J15" s="213">
        <v>0</v>
      </c>
      <c r="K15" s="213">
        <v>0</v>
      </c>
      <c r="L15" s="213">
        <v>0</v>
      </c>
      <c r="M15" s="213">
        <v>0</v>
      </c>
      <c r="N15" s="340">
        <v>0</v>
      </c>
      <c r="O15" s="340">
        <v>0</v>
      </c>
      <c r="P15" s="340">
        <v>0</v>
      </c>
      <c r="R15" s="991">
        <f>SUM(G15:P15)</f>
        <v>0</v>
      </c>
    </row>
    <row r="16" spans="1:22" ht="26.25" customHeight="1" x14ac:dyDescent="0.2">
      <c r="B16" s="1263" t="s">
        <v>66</v>
      </c>
      <c r="C16" s="1263"/>
      <c r="D16" s="1263"/>
      <c r="E16" s="1263"/>
      <c r="F16" s="168"/>
      <c r="G16" s="213">
        <v>0</v>
      </c>
      <c r="H16" s="213">
        <v>0</v>
      </c>
      <c r="I16" s="213">
        <v>0</v>
      </c>
      <c r="J16" s="213">
        <v>0</v>
      </c>
      <c r="K16" s="213">
        <v>0</v>
      </c>
      <c r="L16" s="213">
        <v>0</v>
      </c>
      <c r="M16" s="213">
        <v>0</v>
      </c>
      <c r="N16" s="340">
        <v>0</v>
      </c>
      <c r="O16" s="340">
        <v>0</v>
      </c>
      <c r="P16" s="340">
        <v>0</v>
      </c>
      <c r="R16" s="991">
        <f>SUM(G16:P16)</f>
        <v>0</v>
      </c>
    </row>
    <row r="17" spans="2:18" ht="27.75" customHeight="1" x14ac:dyDescent="0.2">
      <c r="B17" s="1263" t="s">
        <v>205</v>
      </c>
      <c r="C17" s="1263"/>
      <c r="D17" s="1263"/>
      <c r="E17" s="1263"/>
      <c r="F17" s="168"/>
      <c r="G17" s="213">
        <v>0</v>
      </c>
      <c r="H17" s="213">
        <v>0</v>
      </c>
      <c r="I17" s="213">
        <v>0</v>
      </c>
      <c r="J17" s="213">
        <v>0</v>
      </c>
      <c r="K17" s="213">
        <v>0</v>
      </c>
      <c r="L17" s="213">
        <v>0</v>
      </c>
      <c r="M17" s="340"/>
      <c r="N17" s="340">
        <v>0</v>
      </c>
      <c r="O17" s="340">
        <v>0</v>
      </c>
      <c r="P17" s="340">
        <v>0</v>
      </c>
      <c r="R17" s="991">
        <f>SUM(G17:L17)</f>
        <v>0</v>
      </c>
    </row>
    <row r="18" spans="2:18" ht="24.75" customHeight="1" x14ac:dyDescent="0.2">
      <c r="B18" s="1263" t="s">
        <v>67</v>
      </c>
      <c r="C18" s="1263"/>
      <c r="D18" s="1263"/>
      <c r="E18" s="1263"/>
      <c r="F18" s="168"/>
      <c r="G18" s="213">
        <v>0</v>
      </c>
      <c r="H18" s="213">
        <v>0</v>
      </c>
      <c r="I18" s="213">
        <v>0</v>
      </c>
      <c r="J18" s="213">
        <v>0</v>
      </c>
      <c r="K18" s="213">
        <v>0</v>
      </c>
      <c r="L18" s="213">
        <v>0</v>
      </c>
      <c r="M18" s="213">
        <v>0</v>
      </c>
      <c r="N18" s="340">
        <v>0</v>
      </c>
      <c r="O18" s="340">
        <v>0</v>
      </c>
      <c r="P18" s="340">
        <v>0</v>
      </c>
      <c r="R18" s="991">
        <f>SUM(G18:P18)</f>
        <v>0</v>
      </c>
    </row>
    <row r="19" spans="2:18" ht="27" customHeight="1" x14ac:dyDescent="0.2">
      <c r="B19" s="1263" t="s">
        <v>119</v>
      </c>
      <c r="C19" s="1263"/>
      <c r="D19" s="1263"/>
      <c r="E19" s="1263"/>
      <c r="F19" s="168"/>
      <c r="G19" s="213">
        <v>0</v>
      </c>
      <c r="H19" s="213">
        <v>0</v>
      </c>
      <c r="I19" s="213">
        <v>0</v>
      </c>
      <c r="J19" s="213">
        <v>0</v>
      </c>
      <c r="K19" s="213">
        <v>0</v>
      </c>
      <c r="L19" s="213">
        <v>0</v>
      </c>
      <c r="M19" s="340"/>
      <c r="N19" s="340"/>
      <c r="O19" s="340"/>
      <c r="P19" s="340"/>
      <c r="R19" s="991">
        <f>+SUM(G19:L19)</f>
        <v>0</v>
      </c>
    </row>
    <row r="20" spans="2:18" ht="18.75" customHeight="1" x14ac:dyDescent="0.2">
      <c r="B20" s="1263" t="s">
        <v>118</v>
      </c>
      <c r="C20" s="1263"/>
      <c r="D20" s="1263"/>
      <c r="E20" s="1263"/>
      <c r="F20" s="168"/>
      <c r="G20" s="213">
        <v>0</v>
      </c>
      <c r="H20" s="213">
        <v>0</v>
      </c>
      <c r="I20" s="213">
        <v>0</v>
      </c>
      <c r="J20" s="213">
        <v>0</v>
      </c>
      <c r="K20" s="213">
        <v>0</v>
      </c>
      <c r="L20" s="213">
        <v>0</v>
      </c>
      <c r="M20" s="213">
        <v>0</v>
      </c>
      <c r="N20" s="340">
        <v>0</v>
      </c>
      <c r="O20" s="340">
        <v>0</v>
      </c>
      <c r="P20" s="340">
        <v>0</v>
      </c>
      <c r="R20" s="991">
        <f>SUM(G20:P20)</f>
        <v>0</v>
      </c>
    </row>
    <row r="21" spans="2:18" ht="28.5" customHeight="1" x14ac:dyDescent="0.2">
      <c r="B21" s="1289" t="s">
        <v>68</v>
      </c>
      <c r="C21" s="1290"/>
      <c r="D21" s="1290"/>
      <c r="E21" s="1291"/>
      <c r="F21" s="168"/>
      <c r="G21" s="213">
        <v>0</v>
      </c>
      <c r="H21" s="213">
        <v>0</v>
      </c>
      <c r="I21" s="213">
        <v>0</v>
      </c>
      <c r="J21" s="213">
        <v>0</v>
      </c>
      <c r="K21" s="213">
        <v>0</v>
      </c>
      <c r="L21" s="213">
        <v>0</v>
      </c>
      <c r="M21" s="213">
        <v>0</v>
      </c>
      <c r="N21" s="340">
        <v>0</v>
      </c>
      <c r="O21" s="340">
        <v>0</v>
      </c>
      <c r="P21" s="340">
        <v>0</v>
      </c>
      <c r="R21" s="991">
        <f>SUM(G21:P21)</f>
        <v>0</v>
      </c>
    </row>
    <row r="22" spans="2:18" x14ac:dyDescent="0.2">
      <c r="G22" s="306"/>
      <c r="H22" s="306"/>
      <c r="I22" s="306"/>
      <c r="J22" s="306"/>
      <c r="K22" s="306"/>
      <c r="L22" s="306"/>
      <c r="M22" s="306"/>
      <c r="N22" s="839"/>
      <c r="O22" s="839"/>
      <c r="P22" s="839"/>
      <c r="R22" s="307"/>
    </row>
    <row r="23" spans="2:18" ht="23.25" customHeight="1" x14ac:dyDescent="0.2">
      <c r="B23" s="1286" t="s">
        <v>22</v>
      </c>
      <c r="C23" s="1287"/>
      <c r="D23" s="1287"/>
      <c r="E23" s="1288"/>
      <c r="F23" s="173"/>
      <c r="G23" s="174">
        <f t="shared" ref="G23:P23" si="1">SUM(G15:G21)</f>
        <v>0</v>
      </c>
      <c r="H23" s="174">
        <f t="shared" si="1"/>
        <v>0</v>
      </c>
      <c r="I23" s="174">
        <f t="shared" si="1"/>
        <v>0</v>
      </c>
      <c r="J23" s="174">
        <f t="shared" si="1"/>
        <v>0</v>
      </c>
      <c r="K23" s="174">
        <f t="shared" si="1"/>
        <v>0</v>
      </c>
      <c r="L23" s="174">
        <f t="shared" si="1"/>
        <v>0</v>
      </c>
      <c r="M23" s="174">
        <f t="shared" si="1"/>
        <v>0</v>
      </c>
      <c r="N23" s="840">
        <f t="shared" si="1"/>
        <v>0</v>
      </c>
      <c r="O23" s="840">
        <f t="shared" si="1"/>
        <v>0</v>
      </c>
      <c r="P23" s="840">
        <f t="shared" si="1"/>
        <v>0</v>
      </c>
      <c r="R23" s="174">
        <f>SUM(G23:P23)</f>
        <v>0</v>
      </c>
    </row>
    <row r="24" spans="2:18" x14ac:dyDescent="0.2">
      <c r="B24" s="1292" t="s">
        <v>120</v>
      </c>
      <c r="C24" s="1292"/>
      <c r="D24" s="1292"/>
      <c r="E24" s="1292"/>
      <c r="F24" s="226"/>
      <c r="G24" s="308">
        <f>+G23-T4A!C31</f>
        <v>0</v>
      </c>
      <c r="H24" s="308">
        <f>+H23-T4A!D31</f>
        <v>0</v>
      </c>
      <c r="I24" s="308">
        <f>+I23-T4A!E31</f>
        <v>0</v>
      </c>
      <c r="J24" s="308">
        <f>+J23-T4A!F31</f>
        <v>0</v>
      </c>
      <c r="K24" s="309">
        <f>+K23-T4A!G31</f>
        <v>0</v>
      </c>
      <c r="L24" s="309">
        <f>+L23-T4A!H31</f>
        <v>0</v>
      </c>
      <c r="M24" s="309">
        <f>+M23-T4A!I31</f>
        <v>0</v>
      </c>
      <c r="N24" s="841">
        <f>+N23-T4A!J31</f>
        <v>0</v>
      </c>
      <c r="O24" s="841">
        <f>+O23-T4A!K31</f>
        <v>0</v>
      </c>
      <c r="P24" s="841">
        <f>+P23-T4A!L31</f>
        <v>0</v>
      </c>
      <c r="R24" s="309">
        <f>+R23-T4A!N31</f>
        <v>0</v>
      </c>
    </row>
    <row r="25" spans="2:18" x14ac:dyDescent="0.2">
      <c r="B25" s="310"/>
      <c r="C25" s="310"/>
      <c r="D25" s="310"/>
      <c r="E25" s="310"/>
      <c r="F25" s="311"/>
      <c r="G25" s="312"/>
      <c r="H25" s="312"/>
      <c r="I25" s="312"/>
      <c r="J25" s="312"/>
      <c r="N25" s="842"/>
      <c r="O25" s="842"/>
      <c r="P25" s="842"/>
    </row>
    <row r="26" spans="2:18" x14ac:dyDescent="0.2">
      <c r="G26" s="313" t="s">
        <v>32</v>
      </c>
      <c r="H26" s="306"/>
      <c r="N26" s="842"/>
      <c r="O26" s="842"/>
      <c r="P26" s="842"/>
    </row>
    <row r="27" spans="2:18" x14ac:dyDescent="0.2">
      <c r="G27" s="313" t="s">
        <v>33</v>
      </c>
      <c r="H27" s="306"/>
      <c r="N27" s="842"/>
      <c r="O27" s="842"/>
      <c r="P27" s="842"/>
    </row>
    <row r="28" spans="2:18" ht="60" customHeight="1" x14ac:dyDescent="0.2">
      <c r="B28" s="1257" t="s">
        <v>242</v>
      </c>
      <c r="C28" s="1258"/>
      <c r="D28" s="1258"/>
      <c r="E28" s="1259"/>
      <c r="F28" s="168"/>
      <c r="G28" s="166">
        <v>2015</v>
      </c>
      <c r="H28" s="166">
        <f>+G28+1</f>
        <v>2016</v>
      </c>
      <c r="I28" s="166">
        <f>+H28+1</f>
        <v>2017</v>
      </c>
      <c r="J28" s="166">
        <f>+I28+1</f>
        <v>2018</v>
      </c>
      <c r="K28" s="166">
        <f>+J28+1</f>
        <v>2019</v>
      </c>
      <c r="L28" s="166">
        <f t="shared" ref="L28:P28" si="2">+K28+1</f>
        <v>2020</v>
      </c>
      <c r="M28" s="166">
        <f t="shared" si="2"/>
        <v>2021</v>
      </c>
      <c r="N28" s="837">
        <f t="shared" si="2"/>
        <v>2022</v>
      </c>
      <c r="O28" s="837">
        <f t="shared" si="2"/>
        <v>2023</v>
      </c>
      <c r="P28" s="837">
        <f t="shared" si="2"/>
        <v>2024</v>
      </c>
      <c r="R28" s="166" t="s">
        <v>20</v>
      </c>
    </row>
    <row r="29" spans="2:18" s="301" customFormat="1" ht="12" customHeight="1" x14ac:dyDescent="0.2">
      <c r="B29" s="302"/>
      <c r="C29" s="302"/>
      <c r="D29" s="302"/>
      <c r="E29" s="302"/>
      <c r="F29" s="303"/>
      <c r="G29" s="304"/>
      <c r="H29" s="228"/>
      <c r="I29" s="228"/>
      <c r="N29" s="838"/>
      <c r="O29" s="838"/>
      <c r="P29" s="838"/>
      <c r="Q29" s="305"/>
    </row>
    <row r="30" spans="2:18" ht="36" customHeight="1" x14ac:dyDescent="0.2">
      <c r="B30" s="1282" t="s">
        <v>240</v>
      </c>
      <c r="C30" s="1283"/>
      <c r="D30" s="1283"/>
      <c r="E30" s="1284"/>
      <c r="F30" s="168"/>
      <c r="G30" s="992"/>
      <c r="H30" s="992"/>
      <c r="I30" s="992"/>
      <c r="J30" s="992"/>
      <c r="K30" s="992"/>
      <c r="L30" s="992"/>
      <c r="M30" s="992"/>
      <c r="N30" s="993"/>
      <c r="O30" s="993"/>
      <c r="P30" s="993"/>
      <c r="R30" s="992"/>
    </row>
    <row r="31" spans="2:18" ht="28.5" customHeight="1" x14ac:dyDescent="0.2">
      <c r="B31" s="1267" t="str">
        <f>"per 31/12/"&amp;$G$13</f>
        <v>per 31/12/2015</v>
      </c>
      <c r="C31" s="1268"/>
      <c r="D31" s="1268"/>
      <c r="E31" s="1269"/>
      <c r="F31" s="168"/>
      <c r="G31" s="255"/>
      <c r="H31" s="255"/>
      <c r="I31" s="255"/>
      <c r="J31" s="255"/>
      <c r="K31" s="255"/>
      <c r="L31" s="255"/>
      <c r="M31" s="255"/>
      <c r="N31" s="565"/>
      <c r="O31" s="565"/>
      <c r="P31" s="565"/>
      <c r="R31" s="991">
        <f t="shared" ref="R31:R40" si="3">SUM(G31:P31)</f>
        <v>0</v>
      </c>
    </row>
    <row r="32" spans="2:18" ht="28.5" customHeight="1" x14ac:dyDescent="0.2">
      <c r="B32" s="1267" t="str">
        <f>"per 31/12/"&amp;$H$13</f>
        <v>per 31/12/2016</v>
      </c>
      <c r="C32" s="1268"/>
      <c r="D32" s="1268"/>
      <c r="E32" s="1269"/>
      <c r="F32" s="168"/>
      <c r="G32" s="255"/>
      <c r="H32" s="255"/>
      <c r="I32" s="255"/>
      <c r="J32" s="255"/>
      <c r="K32" s="255"/>
      <c r="L32" s="255"/>
      <c r="M32" s="255"/>
      <c r="N32" s="565"/>
      <c r="O32" s="565"/>
      <c r="P32" s="565"/>
      <c r="R32" s="991">
        <f t="shared" si="3"/>
        <v>0</v>
      </c>
    </row>
    <row r="33" spans="2:18" ht="28.5" customHeight="1" x14ac:dyDescent="0.2">
      <c r="B33" s="1267" t="str">
        <f>"per 31/12/"&amp;$I$13</f>
        <v>per 31/12/2017</v>
      </c>
      <c r="C33" s="1268"/>
      <c r="D33" s="1268"/>
      <c r="E33" s="1269"/>
      <c r="F33" s="168"/>
      <c r="G33" s="255">
        <f>J238</f>
        <v>0</v>
      </c>
      <c r="H33" s="255"/>
      <c r="I33" s="255"/>
      <c r="J33" s="255"/>
      <c r="K33" s="255"/>
      <c r="L33" s="255"/>
      <c r="M33" s="255"/>
      <c r="N33" s="565"/>
      <c r="O33" s="565"/>
      <c r="P33" s="565"/>
      <c r="R33" s="991">
        <f t="shared" si="3"/>
        <v>0</v>
      </c>
    </row>
    <row r="34" spans="2:18" ht="28.5" customHeight="1" x14ac:dyDescent="0.2">
      <c r="B34" s="1267" t="str">
        <f>"per 31/12/"&amp;$J$13</f>
        <v>per 31/12/2018</v>
      </c>
      <c r="C34" s="1268"/>
      <c r="D34" s="1268"/>
      <c r="E34" s="1269"/>
      <c r="F34" s="168"/>
      <c r="G34" s="255">
        <f>L243</f>
        <v>0</v>
      </c>
      <c r="H34" s="255">
        <f>L244</f>
        <v>0</v>
      </c>
      <c r="I34" s="255"/>
      <c r="J34" s="255"/>
      <c r="K34" s="255"/>
      <c r="L34" s="255"/>
      <c r="M34" s="255"/>
      <c r="N34" s="565"/>
      <c r="O34" s="565"/>
      <c r="P34" s="565"/>
      <c r="R34" s="991">
        <f t="shared" si="3"/>
        <v>0</v>
      </c>
    </row>
    <row r="35" spans="2:18" ht="28.5" customHeight="1" x14ac:dyDescent="0.2">
      <c r="B35" s="1267" t="str">
        <f>"per 31/12/"&amp;$K$13</f>
        <v>per 31/12/2019</v>
      </c>
      <c r="C35" s="1268"/>
      <c r="D35" s="1268"/>
      <c r="E35" s="1269"/>
      <c r="F35" s="168"/>
      <c r="G35" s="255">
        <f>L250</f>
        <v>0</v>
      </c>
      <c r="H35" s="255">
        <f>L251</f>
        <v>0</v>
      </c>
      <c r="I35" s="255">
        <f>L252</f>
        <v>0</v>
      </c>
      <c r="J35" s="255"/>
      <c r="K35" s="255"/>
      <c r="L35" s="255"/>
      <c r="M35" s="255"/>
      <c r="N35" s="565"/>
      <c r="O35" s="565"/>
      <c r="P35" s="565"/>
      <c r="R35" s="991">
        <f t="shared" si="3"/>
        <v>0</v>
      </c>
    </row>
    <row r="36" spans="2:18" ht="28.5" customHeight="1" x14ac:dyDescent="0.2">
      <c r="B36" s="1267" t="str">
        <f>"per 31/12/"&amp;$L$13</f>
        <v>per 31/12/2020</v>
      </c>
      <c r="C36" s="1268"/>
      <c r="D36" s="1268"/>
      <c r="E36" s="1269"/>
      <c r="F36" s="168"/>
      <c r="G36" s="255">
        <f>L258</f>
        <v>0</v>
      </c>
      <c r="H36" s="255">
        <f>L259</f>
        <v>0</v>
      </c>
      <c r="I36" s="255">
        <f>L260</f>
        <v>0</v>
      </c>
      <c r="J36" s="255">
        <f>L261</f>
        <v>0</v>
      </c>
      <c r="K36" s="255"/>
      <c r="L36" s="255"/>
      <c r="M36" s="255"/>
      <c r="N36" s="565"/>
      <c r="O36" s="565"/>
      <c r="P36" s="565"/>
      <c r="R36" s="991">
        <f t="shared" si="3"/>
        <v>0</v>
      </c>
    </row>
    <row r="37" spans="2:18" ht="28.5" customHeight="1" x14ac:dyDescent="0.2">
      <c r="B37" s="1267" t="str">
        <f>"per 31/12/"&amp;$M$13</f>
        <v>per 31/12/2021</v>
      </c>
      <c r="C37" s="1268"/>
      <c r="D37" s="1268"/>
      <c r="E37" s="1269"/>
      <c r="F37" s="168"/>
      <c r="G37" s="255">
        <f>+H267</f>
        <v>0</v>
      </c>
      <c r="H37" s="255">
        <f>H268</f>
        <v>0</v>
      </c>
      <c r="I37" s="255">
        <f>H269</f>
        <v>0</v>
      </c>
      <c r="J37" s="255">
        <f>H270</f>
        <v>0</v>
      </c>
      <c r="K37" s="255">
        <f>H271</f>
        <v>0</v>
      </c>
      <c r="L37" s="255"/>
      <c r="M37" s="255"/>
      <c r="N37" s="565"/>
      <c r="O37" s="565"/>
      <c r="P37" s="565"/>
      <c r="R37" s="991">
        <f t="shared" si="3"/>
        <v>0</v>
      </c>
    </row>
    <row r="38" spans="2:18" ht="28.5" customHeight="1" x14ac:dyDescent="0.2">
      <c r="B38" s="1270" t="str">
        <f>"per 31/12/"&amp;$N$13</f>
        <v>per 31/12/2022</v>
      </c>
      <c r="C38" s="1271"/>
      <c r="D38" s="1271"/>
      <c r="E38" s="1272"/>
      <c r="F38" s="314"/>
      <c r="G38" s="565">
        <f>H277</f>
        <v>0</v>
      </c>
      <c r="H38" s="565">
        <f>H278</f>
        <v>0</v>
      </c>
      <c r="I38" s="565">
        <f>H279</f>
        <v>0</v>
      </c>
      <c r="J38" s="565">
        <f>H280</f>
        <v>0</v>
      </c>
      <c r="K38" s="565">
        <f>H281</f>
        <v>0</v>
      </c>
      <c r="L38" s="565">
        <f>H282</f>
        <v>0</v>
      </c>
      <c r="M38" s="565"/>
      <c r="N38" s="565"/>
      <c r="O38" s="565"/>
      <c r="P38" s="565"/>
      <c r="Q38" s="845"/>
      <c r="R38" s="994">
        <f t="shared" si="3"/>
        <v>0</v>
      </c>
    </row>
    <row r="39" spans="2:18" ht="28.5" customHeight="1" x14ac:dyDescent="0.2">
      <c r="B39" s="1270" t="str">
        <f>"per 31/12/"&amp;$O$13</f>
        <v>per 31/12/2023</v>
      </c>
      <c r="C39" s="1271"/>
      <c r="D39" s="1271"/>
      <c r="E39" s="1272"/>
      <c r="F39" s="314"/>
      <c r="G39" s="565"/>
      <c r="H39" s="565"/>
      <c r="I39" s="565"/>
      <c r="J39" s="565"/>
      <c r="K39" s="565"/>
      <c r="L39" s="565">
        <f>H288</f>
        <v>0</v>
      </c>
      <c r="M39" s="565">
        <f>H289</f>
        <v>0</v>
      </c>
      <c r="N39" s="565"/>
      <c r="O39" s="565"/>
      <c r="P39" s="565"/>
      <c r="Q39" s="845"/>
      <c r="R39" s="994">
        <f t="shared" si="3"/>
        <v>0</v>
      </c>
    </row>
    <row r="40" spans="2:18" ht="28.5" customHeight="1" x14ac:dyDescent="0.2">
      <c r="B40" s="1270" t="str">
        <f>"per 31/12/"&amp;$P$13</f>
        <v>per 31/12/2024</v>
      </c>
      <c r="C40" s="1271"/>
      <c r="D40" s="1271"/>
      <c r="E40" s="1272"/>
      <c r="F40" s="314"/>
      <c r="G40" s="565"/>
      <c r="H40" s="565"/>
      <c r="I40" s="565"/>
      <c r="J40" s="565"/>
      <c r="K40" s="565"/>
      <c r="L40" s="565"/>
      <c r="M40" s="565">
        <f>H295</f>
        <v>0</v>
      </c>
      <c r="N40" s="565">
        <f>H296</f>
        <v>0</v>
      </c>
      <c r="O40" s="565"/>
      <c r="P40" s="565"/>
      <c r="Q40" s="845"/>
      <c r="R40" s="994">
        <f t="shared" si="3"/>
        <v>0</v>
      </c>
    </row>
    <row r="41" spans="2:18" ht="27.75" customHeight="1" x14ac:dyDescent="0.2">
      <c r="B41" s="1282" t="s">
        <v>66</v>
      </c>
      <c r="C41" s="1283"/>
      <c r="D41" s="1283"/>
      <c r="E41" s="1284"/>
      <c r="F41" s="168"/>
      <c r="G41" s="992"/>
      <c r="H41" s="992"/>
      <c r="I41" s="992"/>
      <c r="J41" s="992"/>
      <c r="K41" s="992"/>
      <c r="L41" s="992"/>
      <c r="M41" s="992"/>
      <c r="N41" s="993"/>
      <c r="O41" s="993"/>
      <c r="P41" s="993"/>
      <c r="R41" s="992"/>
    </row>
    <row r="42" spans="2:18" ht="28.5" customHeight="1" x14ac:dyDescent="0.2">
      <c r="B42" s="1267" t="str">
        <f>"per 31/12/"&amp;$G$13</f>
        <v>per 31/12/2015</v>
      </c>
      <c r="C42" s="1268"/>
      <c r="D42" s="1268"/>
      <c r="E42" s="1269"/>
      <c r="F42" s="168"/>
      <c r="G42" s="255"/>
      <c r="H42" s="255"/>
      <c r="I42" s="255"/>
      <c r="J42" s="255"/>
      <c r="K42" s="255"/>
      <c r="L42" s="255"/>
      <c r="M42" s="255"/>
      <c r="N42" s="565"/>
      <c r="O42" s="565"/>
      <c r="P42" s="565"/>
      <c r="R42" s="991">
        <f t="shared" ref="R42:R51" si="4">SUM(G42:P42)</f>
        <v>0</v>
      </c>
    </row>
    <row r="43" spans="2:18" ht="28.5" customHeight="1" x14ac:dyDescent="0.2">
      <c r="B43" s="1267" t="str">
        <f>"per 31/12/"&amp;$H$13</f>
        <v>per 31/12/2016</v>
      </c>
      <c r="C43" s="1268"/>
      <c r="D43" s="1268"/>
      <c r="E43" s="1269"/>
      <c r="F43" s="168"/>
      <c r="G43" s="255"/>
      <c r="H43" s="255"/>
      <c r="I43" s="255"/>
      <c r="J43" s="255"/>
      <c r="K43" s="255"/>
      <c r="L43" s="255"/>
      <c r="M43" s="255"/>
      <c r="N43" s="565"/>
      <c r="O43" s="565"/>
      <c r="P43" s="565"/>
      <c r="R43" s="991">
        <f t="shared" si="4"/>
        <v>0</v>
      </c>
    </row>
    <row r="44" spans="2:18" ht="28.5" customHeight="1" x14ac:dyDescent="0.2">
      <c r="B44" s="1267" t="str">
        <f>"per 31/12/"&amp;$I$13</f>
        <v>per 31/12/2017</v>
      </c>
      <c r="C44" s="1268"/>
      <c r="D44" s="1268"/>
      <c r="E44" s="1269"/>
      <c r="F44" s="168"/>
      <c r="G44" s="255">
        <f>J312</f>
        <v>0</v>
      </c>
      <c r="H44" s="255"/>
      <c r="I44" s="255"/>
      <c r="J44" s="255"/>
      <c r="K44" s="255"/>
      <c r="L44" s="255"/>
      <c r="M44" s="255"/>
      <c r="N44" s="565"/>
      <c r="O44" s="565"/>
      <c r="P44" s="565"/>
      <c r="R44" s="991">
        <f t="shared" si="4"/>
        <v>0</v>
      </c>
    </row>
    <row r="45" spans="2:18" ht="28.5" customHeight="1" x14ac:dyDescent="0.2">
      <c r="B45" s="1267" t="str">
        <f>"per 31/12/"&amp;$J$13</f>
        <v>per 31/12/2018</v>
      </c>
      <c r="C45" s="1268"/>
      <c r="D45" s="1268"/>
      <c r="E45" s="1269"/>
      <c r="F45" s="168"/>
      <c r="G45" s="255">
        <f>L317</f>
        <v>0</v>
      </c>
      <c r="H45" s="255">
        <f>L318</f>
        <v>0</v>
      </c>
      <c r="I45" s="255"/>
      <c r="J45" s="255"/>
      <c r="K45" s="255"/>
      <c r="L45" s="255"/>
      <c r="M45" s="255"/>
      <c r="N45" s="565"/>
      <c r="O45" s="565"/>
      <c r="P45" s="565"/>
      <c r="R45" s="991">
        <f t="shared" si="4"/>
        <v>0</v>
      </c>
    </row>
    <row r="46" spans="2:18" ht="28.5" customHeight="1" x14ac:dyDescent="0.2">
      <c r="B46" s="1267" t="str">
        <f>"per 31/12/"&amp;$K$13</f>
        <v>per 31/12/2019</v>
      </c>
      <c r="C46" s="1268"/>
      <c r="D46" s="1268"/>
      <c r="E46" s="1269"/>
      <c r="F46" s="168"/>
      <c r="G46" s="255">
        <f>L324</f>
        <v>0</v>
      </c>
      <c r="H46" s="255">
        <f>L325</f>
        <v>0</v>
      </c>
      <c r="I46" s="255">
        <f>L326</f>
        <v>0</v>
      </c>
      <c r="J46" s="255"/>
      <c r="K46" s="255"/>
      <c r="L46" s="255"/>
      <c r="M46" s="255"/>
      <c r="N46" s="565"/>
      <c r="O46" s="565"/>
      <c r="P46" s="565"/>
      <c r="R46" s="991">
        <f t="shared" si="4"/>
        <v>0</v>
      </c>
    </row>
    <row r="47" spans="2:18" ht="28.5" customHeight="1" x14ac:dyDescent="0.2">
      <c r="B47" s="1267" t="str">
        <f>"per 31/12/"&amp;$L$13</f>
        <v>per 31/12/2020</v>
      </c>
      <c r="C47" s="1268"/>
      <c r="D47" s="1268"/>
      <c r="E47" s="1269"/>
      <c r="F47" s="168"/>
      <c r="G47" s="255">
        <f>L332</f>
        <v>0</v>
      </c>
      <c r="H47" s="255">
        <f>L333</f>
        <v>0</v>
      </c>
      <c r="I47" s="255">
        <f>L334</f>
        <v>0</v>
      </c>
      <c r="J47" s="255">
        <f>L335</f>
        <v>0</v>
      </c>
      <c r="K47" s="255"/>
      <c r="L47" s="255"/>
      <c r="M47" s="255"/>
      <c r="N47" s="565"/>
      <c r="O47" s="565"/>
      <c r="P47" s="565"/>
      <c r="R47" s="991">
        <f t="shared" si="4"/>
        <v>0</v>
      </c>
    </row>
    <row r="48" spans="2:18" ht="28.5" customHeight="1" x14ac:dyDescent="0.2">
      <c r="B48" s="1267" t="str">
        <f>"per 31/12/"&amp;$M$13</f>
        <v>per 31/12/2021</v>
      </c>
      <c r="C48" s="1268"/>
      <c r="D48" s="1268"/>
      <c r="E48" s="1269"/>
      <c r="F48" s="168"/>
      <c r="G48" s="255">
        <f>H341</f>
        <v>0</v>
      </c>
      <c r="H48" s="255">
        <f>H342</f>
        <v>0</v>
      </c>
      <c r="I48" s="255">
        <f>H343</f>
        <v>0</v>
      </c>
      <c r="J48" s="255">
        <f>H344</f>
        <v>0</v>
      </c>
      <c r="K48" s="255">
        <f>H345</f>
        <v>0</v>
      </c>
      <c r="L48" s="255"/>
      <c r="M48" s="255"/>
      <c r="N48" s="565"/>
      <c r="O48" s="565"/>
      <c r="P48" s="565"/>
      <c r="R48" s="991">
        <f t="shared" si="4"/>
        <v>0</v>
      </c>
    </row>
    <row r="49" spans="2:18" ht="28.5" customHeight="1" x14ac:dyDescent="0.2">
      <c r="B49" s="1270" t="str">
        <f>"per 31/12/"&amp;$N$13</f>
        <v>per 31/12/2022</v>
      </c>
      <c r="C49" s="1271"/>
      <c r="D49" s="1271"/>
      <c r="E49" s="1272"/>
      <c r="F49" s="314"/>
      <c r="G49" s="565">
        <f>H351</f>
        <v>0</v>
      </c>
      <c r="H49" s="565">
        <f>H352</f>
        <v>0</v>
      </c>
      <c r="I49" s="565">
        <f>H353</f>
        <v>0</v>
      </c>
      <c r="J49" s="565">
        <f>H354</f>
        <v>0</v>
      </c>
      <c r="K49" s="565">
        <f>H355</f>
        <v>0</v>
      </c>
      <c r="L49" s="565">
        <f>H356</f>
        <v>0</v>
      </c>
      <c r="M49" s="565"/>
      <c r="N49" s="565"/>
      <c r="O49" s="565"/>
      <c r="P49" s="565"/>
      <c r="Q49" s="845"/>
      <c r="R49" s="994">
        <f t="shared" si="4"/>
        <v>0</v>
      </c>
    </row>
    <row r="50" spans="2:18" ht="28.5" customHeight="1" x14ac:dyDescent="0.2">
      <c r="B50" s="1270" t="str">
        <f>"per 31/12/"&amp;$O$13</f>
        <v>per 31/12/2023</v>
      </c>
      <c r="C50" s="1271"/>
      <c r="D50" s="1271"/>
      <c r="E50" s="1272"/>
      <c r="F50" s="314"/>
      <c r="G50" s="565"/>
      <c r="H50" s="565"/>
      <c r="I50" s="565"/>
      <c r="J50" s="565"/>
      <c r="K50" s="565"/>
      <c r="L50" s="565">
        <f>H362</f>
        <v>0</v>
      </c>
      <c r="M50" s="565">
        <f>H363</f>
        <v>0</v>
      </c>
      <c r="N50" s="565"/>
      <c r="O50" s="565"/>
      <c r="P50" s="565"/>
      <c r="Q50" s="845"/>
      <c r="R50" s="994">
        <f t="shared" si="4"/>
        <v>0</v>
      </c>
    </row>
    <row r="51" spans="2:18" ht="28.5" customHeight="1" x14ac:dyDescent="0.2">
      <c r="B51" s="1270" t="str">
        <f>"per 31/12/"&amp;$P$13</f>
        <v>per 31/12/2024</v>
      </c>
      <c r="C51" s="1271"/>
      <c r="D51" s="1271"/>
      <c r="E51" s="1272"/>
      <c r="F51" s="314"/>
      <c r="G51" s="565"/>
      <c r="H51" s="565"/>
      <c r="I51" s="565"/>
      <c r="J51" s="565"/>
      <c r="K51" s="565"/>
      <c r="L51" s="565"/>
      <c r="M51" s="565">
        <f>H369</f>
        <v>0</v>
      </c>
      <c r="N51" s="565">
        <f>H370</f>
        <v>0</v>
      </c>
      <c r="O51" s="565"/>
      <c r="P51" s="565"/>
      <c r="Q51" s="845"/>
      <c r="R51" s="994">
        <f t="shared" si="4"/>
        <v>0</v>
      </c>
    </row>
    <row r="52" spans="2:18" ht="30" customHeight="1" x14ac:dyDescent="0.2">
      <c r="B52" s="1282" t="s">
        <v>205</v>
      </c>
      <c r="C52" s="1283"/>
      <c r="D52" s="1283"/>
      <c r="E52" s="1284"/>
      <c r="F52" s="168"/>
      <c r="G52" s="992"/>
      <c r="H52" s="992"/>
      <c r="I52" s="992"/>
      <c r="J52" s="992"/>
      <c r="K52" s="992"/>
      <c r="L52" s="992"/>
      <c r="M52" s="992"/>
      <c r="N52" s="993"/>
      <c r="O52" s="993"/>
      <c r="P52" s="993"/>
      <c r="R52" s="992"/>
    </row>
    <row r="53" spans="2:18" ht="28.5" customHeight="1" x14ac:dyDescent="0.2">
      <c r="B53" s="1267" t="str">
        <f>"per 31/12/"&amp;$G$13</f>
        <v>per 31/12/2015</v>
      </c>
      <c r="C53" s="1268"/>
      <c r="D53" s="1268"/>
      <c r="E53" s="1269"/>
      <c r="F53" s="168"/>
      <c r="G53" s="255"/>
      <c r="H53" s="255"/>
      <c r="I53" s="255"/>
      <c r="J53" s="255"/>
      <c r="K53" s="255"/>
      <c r="L53" s="255"/>
      <c r="M53" s="255"/>
      <c r="N53" s="565"/>
      <c r="O53" s="565"/>
      <c r="P53" s="565"/>
      <c r="R53" s="991">
        <f t="shared" ref="R53:R61" si="5">SUM(G53:P53)</f>
        <v>0</v>
      </c>
    </row>
    <row r="54" spans="2:18" ht="28.5" customHeight="1" x14ac:dyDescent="0.2">
      <c r="B54" s="1267" t="str">
        <f>"per 31/12/"&amp;$H$13</f>
        <v>per 31/12/2016</v>
      </c>
      <c r="C54" s="1268"/>
      <c r="D54" s="1268"/>
      <c r="E54" s="1269"/>
      <c r="F54" s="168"/>
      <c r="G54" s="255"/>
      <c r="H54" s="255"/>
      <c r="I54" s="255"/>
      <c r="J54" s="255"/>
      <c r="K54" s="255"/>
      <c r="L54" s="255"/>
      <c r="M54" s="255"/>
      <c r="N54" s="565"/>
      <c r="O54" s="565"/>
      <c r="P54" s="565"/>
      <c r="R54" s="991">
        <f t="shared" si="5"/>
        <v>0</v>
      </c>
    </row>
    <row r="55" spans="2:18" ht="28.5" customHeight="1" x14ac:dyDescent="0.2">
      <c r="B55" s="1267" t="str">
        <f>"per 31/12/"&amp;$I$13</f>
        <v>per 31/12/2017</v>
      </c>
      <c r="C55" s="1268"/>
      <c r="D55" s="1268"/>
      <c r="E55" s="1269"/>
      <c r="F55" s="168"/>
      <c r="G55" s="255">
        <f>J387</f>
        <v>0</v>
      </c>
      <c r="H55" s="255"/>
      <c r="I55" s="255"/>
      <c r="J55" s="255"/>
      <c r="K55" s="255"/>
      <c r="L55" s="255"/>
      <c r="M55" s="255"/>
      <c r="N55" s="565"/>
      <c r="O55" s="565"/>
      <c r="P55" s="565"/>
      <c r="R55" s="991">
        <f t="shared" si="5"/>
        <v>0</v>
      </c>
    </row>
    <row r="56" spans="2:18" ht="28.5" customHeight="1" x14ac:dyDescent="0.2">
      <c r="B56" s="1267" t="str">
        <f>"per 31/12/"&amp;$J$13</f>
        <v>per 31/12/2018</v>
      </c>
      <c r="C56" s="1268"/>
      <c r="D56" s="1268"/>
      <c r="E56" s="1269"/>
      <c r="F56" s="168"/>
      <c r="G56" s="255">
        <f>L392</f>
        <v>0</v>
      </c>
      <c r="H56" s="255">
        <f>L393</f>
        <v>0</v>
      </c>
      <c r="I56" s="255"/>
      <c r="J56" s="255"/>
      <c r="K56" s="255"/>
      <c r="L56" s="255"/>
      <c r="M56" s="255"/>
      <c r="N56" s="565"/>
      <c r="O56" s="565"/>
      <c r="P56" s="565"/>
      <c r="R56" s="991">
        <f t="shared" si="5"/>
        <v>0</v>
      </c>
    </row>
    <row r="57" spans="2:18" ht="28.5" customHeight="1" x14ac:dyDescent="0.2">
      <c r="B57" s="1267" t="str">
        <f>"per 31/12/"&amp;$K$13</f>
        <v>per 31/12/2019</v>
      </c>
      <c r="C57" s="1268"/>
      <c r="D57" s="1268"/>
      <c r="E57" s="1269"/>
      <c r="F57" s="168"/>
      <c r="G57" s="255">
        <f>L399</f>
        <v>0</v>
      </c>
      <c r="H57" s="255">
        <f>L400</f>
        <v>0</v>
      </c>
      <c r="I57" s="255">
        <f>L401</f>
        <v>0</v>
      </c>
      <c r="J57" s="255"/>
      <c r="K57" s="255"/>
      <c r="L57" s="255"/>
      <c r="M57" s="255"/>
      <c r="N57" s="565"/>
      <c r="O57" s="565"/>
      <c r="P57" s="565"/>
      <c r="R57" s="991">
        <f t="shared" si="5"/>
        <v>0</v>
      </c>
    </row>
    <row r="58" spans="2:18" ht="28.5" customHeight="1" x14ac:dyDescent="0.2">
      <c r="B58" s="1267" t="str">
        <f>"per 31/12/"&amp;$L$13</f>
        <v>per 31/12/2020</v>
      </c>
      <c r="C58" s="1268"/>
      <c r="D58" s="1268"/>
      <c r="E58" s="1269"/>
      <c r="F58" s="168"/>
      <c r="G58" s="255">
        <f>L407</f>
        <v>0</v>
      </c>
      <c r="H58" s="255">
        <f>L408</f>
        <v>0</v>
      </c>
      <c r="I58" s="255">
        <f>L409</f>
        <v>0</v>
      </c>
      <c r="J58" s="255">
        <f>L410</f>
        <v>0</v>
      </c>
      <c r="K58" s="255"/>
      <c r="L58" s="255"/>
      <c r="M58" s="255"/>
      <c r="N58" s="565"/>
      <c r="O58" s="565"/>
      <c r="P58" s="565"/>
      <c r="R58" s="991">
        <f t="shared" si="5"/>
        <v>0</v>
      </c>
    </row>
    <row r="59" spans="2:18" ht="28.5" customHeight="1" x14ac:dyDescent="0.2">
      <c r="B59" s="1267" t="str">
        <f>"per 31/12/"&amp;$M$13</f>
        <v>per 31/12/2021</v>
      </c>
      <c r="C59" s="1268"/>
      <c r="D59" s="1268"/>
      <c r="E59" s="1269"/>
      <c r="F59" s="168"/>
      <c r="G59" s="255">
        <f>H416</f>
        <v>0</v>
      </c>
      <c r="H59" s="255">
        <f>H417</f>
        <v>0</v>
      </c>
      <c r="I59" s="255">
        <f>H418</f>
        <v>0</v>
      </c>
      <c r="J59" s="255">
        <f>H419</f>
        <v>0</v>
      </c>
      <c r="K59" s="255">
        <f>H420</f>
        <v>0</v>
      </c>
      <c r="L59" s="255"/>
      <c r="M59" s="255"/>
      <c r="N59" s="565"/>
      <c r="O59" s="565"/>
      <c r="P59" s="565"/>
      <c r="R59" s="991">
        <f t="shared" si="5"/>
        <v>0</v>
      </c>
    </row>
    <row r="60" spans="2:18" ht="28.5" customHeight="1" x14ac:dyDescent="0.2">
      <c r="B60" s="1270" t="str">
        <f>"per 31/12/"&amp;$N$13</f>
        <v>per 31/12/2022</v>
      </c>
      <c r="C60" s="1271"/>
      <c r="D60" s="1271"/>
      <c r="E60" s="1272"/>
      <c r="F60" s="314"/>
      <c r="G60" s="565">
        <f>H426</f>
        <v>0</v>
      </c>
      <c r="H60" s="565">
        <f>H427</f>
        <v>0</v>
      </c>
      <c r="I60" s="565">
        <f>H428</f>
        <v>0</v>
      </c>
      <c r="J60" s="565">
        <f>H429</f>
        <v>0</v>
      </c>
      <c r="K60" s="565">
        <f>H430</f>
        <v>0</v>
      </c>
      <c r="L60" s="565">
        <f>H431</f>
        <v>0</v>
      </c>
      <c r="M60" s="565"/>
      <c r="N60" s="565"/>
      <c r="O60" s="565"/>
      <c r="P60" s="565"/>
      <c r="Q60" s="845"/>
      <c r="R60" s="994">
        <f t="shared" si="5"/>
        <v>0</v>
      </c>
    </row>
    <row r="61" spans="2:18" ht="28.5" customHeight="1" x14ac:dyDescent="0.2">
      <c r="B61" s="1270" t="str">
        <f>"per 31/12/"&amp;$O$13</f>
        <v>per 31/12/2023</v>
      </c>
      <c r="C61" s="1271"/>
      <c r="D61" s="1271"/>
      <c r="E61" s="1272"/>
      <c r="F61" s="314"/>
      <c r="G61" s="565"/>
      <c r="H61" s="565"/>
      <c r="I61" s="565"/>
      <c r="J61" s="565"/>
      <c r="K61" s="565"/>
      <c r="L61" s="565">
        <f>H437</f>
        <v>0</v>
      </c>
      <c r="M61" s="565"/>
      <c r="N61" s="565"/>
      <c r="O61" s="565"/>
      <c r="P61" s="565"/>
      <c r="Q61" s="845"/>
      <c r="R61" s="994">
        <f t="shared" si="5"/>
        <v>0</v>
      </c>
    </row>
    <row r="62" spans="2:18" ht="28.5" customHeight="1" x14ac:dyDescent="0.2">
      <c r="B62" s="1270" t="str">
        <f>"per 31/12/"&amp;$P$13</f>
        <v>per 31/12/2024</v>
      </c>
      <c r="C62" s="1271"/>
      <c r="D62" s="1271"/>
      <c r="E62" s="1272"/>
      <c r="F62" s="314"/>
      <c r="G62" s="565"/>
      <c r="H62" s="565"/>
      <c r="I62" s="565"/>
      <c r="J62" s="565"/>
      <c r="K62" s="565"/>
      <c r="L62" s="565"/>
      <c r="M62" s="565"/>
      <c r="N62" s="565"/>
      <c r="O62" s="565"/>
      <c r="P62" s="565"/>
      <c r="Q62" s="845"/>
      <c r="R62" s="994"/>
    </row>
    <row r="63" spans="2:18" ht="30" customHeight="1" x14ac:dyDescent="0.2">
      <c r="B63" s="1282" t="s">
        <v>67</v>
      </c>
      <c r="C63" s="1283"/>
      <c r="D63" s="1283"/>
      <c r="E63" s="1284"/>
      <c r="F63" s="168"/>
      <c r="G63" s="992"/>
      <c r="H63" s="992"/>
      <c r="I63" s="992"/>
      <c r="J63" s="992"/>
      <c r="K63" s="992"/>
      <c r="L63" s="992"/>
      <c r="M63" s="992"/>
      <c r="N63" s="993"/>
      <c r="O63" s="993"/>
      <c r="P63" s="993"/>
      <c r="R63" s="992"/>
    </row>
    <row r="64" spans="2:18" ht="28.5" customHeight="1" x14ac:dyDescent="0.2">
      <c r="B64" s="1267" t="str">
        <f>"per 31/12/"&amp;$G$13</f>
        <v>per 31/12/2015</v>
      </c>
      <c r="C64" s="1268"/>
      <c r="D64" s="1268"/>
      <c r="E64" s="1269"/>
      <c r="F64" s="168"/>
      <c r="G64" s="255"/>
      <c r="H64" s="255"/>
      <c r="I64" s="255"/>
      <c r="J64" s="255"/>
      <c r="K64" s="255"/>
      <c r="L64" s="255"/>
      <c r="M64" s="255"/>
      <c r="N64" s="565"/>
      <c r="O64" s="565"/>
      <c r="P64" s="565"/>
      <c r="R64" s="991">
        <f t="shared" ref="R64:R73" si="6">SUM(G64:P64)</f>
        <v>0</v>
      </c>
    </row>
    <row r="65" spans="2:18" ht="28.5" customHeight="1" x14ac:dyDescent="0.2">
      <c r="B65" s="1267" t="str">
        <f>"per 31/12/"&amp;$H$13</f>
        <v>per 31/12/2016</v>
      </c>
      <c r="C65" s="1268"/>
      <c r="D65" s="1268"/>
      <c r="E65" s="1269"/>
      <c r="F65" s="168"/>
      <c r="G65" s="255"/>
      <c r="H65" s="255"/>
      <c r="I65" s="255"/>
      <c r="J65" s="255"/>
      <c r="K65" s="255"/>
      <c r="L65" s="255"/>
      <c r="M65" s="255"/>
      <c r="N65" s="565"/>
      <c r="O65" s="565"/>
      <c r="P65" s="565"/>
      <c r="R65" s="991">
        <f t="shared" si="6"/>
        <v>0</v>
      </c>
    </row>
    <row r="66" spans="2:18" ht="28.5" customHeight="1" x14ac:dyDescent="0.2">
      <c r="B66" s="1267" t="str">
        <f>"per 31/12/"&amp;$I$13</f>
        <v>per 31/12/2017</v>
      </c>
      <c r="C66" s="1268"/>
      <c r="D66" s="1268"/>
      <c r="E66" s="1269"/>
      <c r="F66" s="168"/>
      <c r="G66" s="255">
        <f>J454</f>
        <v>0</v>
      </c>
      <c r="H66" s="255"/>
      <c r="I66" s="255"/>
      <c r="J66" s="255"/>
      <c r="K66" s="255"/>
      <c r="L66" s="255"/>
      <c r="M66" s="255"/>
      <c r="N66" s="565"/>
      <c r="O66" s="565"/>
      <c r="P66" s="565"/>
      <c r="R66" s="991">
        <f t="shared" si="6"/>
        <v>0</v>
      </c>
    </row>
    <row r="67" spans="2:18" ht="28.5" customHeight="1" x14ac:dyDescent="0.2">
      <c r="B67" s="1267" t="str">
        <f>"per 31/12/"&amp;$J$13</f>
        <v>per 31/12/2018</v>
      </c>
      <c r="C67" s="1268"/>
      <c r="D67" s="1268"/>
      <c r="E67" s="1269"/>
      <c r="F67" s="168"/>
      <c r="G67" s="255">
        <f>L459</f>
        <v>0</v>
      </c>
      <c r="H67" s="255">
        <f>L460</f>
        <v>0</v>
      </c>
      <c r="I67" s="255"/>
      <c r="J67" s="255"/>
      <c r="K67" s="255"/>
      <c r="L67" s="255"/>
      <c r="M67" s="255"/>
      <c r="N67" s="565"/>
      <c r="O67" s="565"/>
      <c r="P67" s="565"/>
      <c r="R67" s="991">
        <f t="shared" si="6"/>
        <v>0</v>
      </c>
    </row>
    <row r="68" spans="2:18" ht="28.5" customHeight="1" x14ac:dyDescent="0.2">
      <c r="B68" s="1267" t="str">
        <f>"per 31/12/"&amp;$K$13</f>
        <v>per 31/12/2019</v>
      </c>
      <c r="C68" s="1268"/>
      <c r="D68" s="1268"/>
      <c r="E68" s="1269"/>
      <c r="F68" s="168"/>
      <c r="G68" s="255">
        <f>L466</f>
        <v>0</v>
      </c>
      <c r="H68" s="255">
        <f>L467</f>
        <v>0</v>
      </c>
      <c r="I68" s="255">
        <f>L468</f>
        <v>0</v>
      </c>
      <c r="J68" s="255"/>
      <c r="K68" s="255"/>
      <c r="L68" s="255"/>
      <c r="M68" s="255"/>
      <c r="N68" s="565"/>
      <c r="O68" s="565"/>
      <c r="P68" s="565"/>
      <c r="R68" s="991">
        <f t="shared" si="6"/>
        <v>0</v>
      </c>
    </row>
    <row r="69" spans="2:18" ht="28.5" customHeight="1" x14ac:dyDescent="0.2">
      <c r="B69" s="1267" t="str">
        <f>"per 31/12/"&amp;$L$13</f>
        <v>per 31/12/2020</v>
      </c>
      <c r="C69" s="1268"/>
      <c r="D69" s="1268"/>
      <c r="E69" s="1269"/>
      <c r="F69" s="168"/>
      <c r="G69" s="255">
        <f>L474</f>
        <v>0</v>
      </c>
      <c r="H69" s="255">
        <f>L475</f>
        <v>0</v>
      </c>
      <c r="I69" s="255">
        <f>L476</f>
        <v>0</v>
      </c>
      <c r="J69" s="255">
        <f>L477</f>
        <v>0</v>
      </c>
      <c r="K69" s="255"/>
      <c r="L69" s="255"/>
      <c r="M69" s="255"/>
      <c r="N69" s="565"/>
      <c r="O69" s="565"/>
      <c r="P69" s="565"/>
      <c r="R69" s="991">
        <f t="shared" si="6"/>
        <v>0</v>
      </c>
    </row>
    <row r="70" spans="2:18" ht="28.5" customHeight="1" x14ac:dyDescent="0.2">
      <c r="B70" s="1267" t="str">
        <f>"per 31/12/"&amp;$M$13</f>
        <v>per 31/12/2021</v>
      </c>
      <c r="C70" s="1268"/>
      <c r="D70" s="1268"/>
      <c r="E70" s="1269"/>
      <c r="F70" s="168"/>
      <c r="G70" s="255">
        <f>H483</f>
        <v>0</v>
      </c>
      <c r="H70" s="255">
        <f>H484</f>
        <v>0</v>
      </c>
      <c r="I70" s="255">
        <f>H485</f>
        <v>0</v>
      </c>
      <c r="J70" s="255">
        <f>H486</f>
        <v>0</v>
      </c>
      <c r="K70" s="255">
        <f>H487</f>
        <v>0</v>
      </c>
      <c r="L70" s="255"/>
      <c r="M70" s="255"/>
      <c r="N70" s="565"/>
      <c r="O70" s="565"/>
      <c r="P70" s="565"/>
      <c r="R70" s="991">
        <f t="shared" si="6"/>
        <v>0</v>
      </c>
    </row>
    <row r="71" spans="2:18" ht="28.5" customHeight="1" x14ac:dyDescent="0.2">
      <c r="B71" s="1270" t="str">
        <f>"per 31/12/"&amp;$N$13</f>
        <v>per 31/12/2022</v>
      </c>
      <c r="C71" s="1271"/>
      <c r="D71" s="1271"/>
      <c r="E71" s="1272"/>
      <c r="F71" s="314"/>
      <c r="G71" s="565">
        <f>H493</f>
        <v>0</v>
      </c>
      <c r="H71" s="565">
        <f>H494</f>
        <v>0</v>
      </c>
      <c r="I71" s="565">
        <f>H495</f>
        <v>0</v>
      </c>
      <c r="J71" s="565">
        <f>H496</f>
        <v>0</v>
      </c>
      <c r="K71" s="565">
        <f>H497</f>
        <v>0</v>
      </c>
      <c r="L71" s="565">
        <f>H498</f>
        <v>0</v>
      </c>
      <c r="M71" s="565"/>
      <c r="N71" s="565"/>
      <c r="O71" s="565"/>
      <c r="P71" s="565"/>
      <c r="Q71" s="845"/>
      <c r="R71" s="994">
        <f t="shared" si="6"/>
        <v>0</v>
      </c>
    </row>
    <row r="72" spans="2:18" ht="28.5" customHeight="1" x14ac:dyDescent="0.2">
      <c r="B72" s="1270" t="str">
        <f>"per 31/12/"&amp;$O$13</f>
        <v>per 31/12/2023</v>
      </c>
      <c r="C72" s="1271"/>
      <c r="D72" s="1271"/>
      <c r="E72" s="1272"/>
      <c r="F72" s="314"/>
      <c r="G72" s="565"/>
      <c r="H72" s="565"/>
      <c r="I72" s="565"/>
      <c r="J72" s="565"/>
      <c r="K72" s="565"/>
      <c r="L72" s="565">
        <f>H504</f>
        <v>0</v>
      </c>
      <c r="M72" s="565">
        <f>H505</f>
        <v>0</v>
      </c>
      <c r="N72" s="565"/>
      <c r="O72" s="565"/>
      <c r="P72" s="565"/>
      <c r="Q72" s="845"/>
      <c r="R72" s="994">
        <f t="shared" si="6"/>
        <v>0</v>
      </c>
    </row>
    <row r="73" spans="2:18" ht="28.5" customHeight="1" x14ac:dyDescent="0.2">
      <c r="B73" s="1270" t="str">
        <f>"per 31/12/"&amp;$P$13</f>
        <v>per 31/12/2024</v>
      </c>
      <c r="C73" s="1271"/>
      <c r="D73" s="1271"/>
      <c r="E73" s="1272"/>
      <c r="F73" s="314"/>
      <c r="G73" s="565"/>
      <c r="H73" s="565"/>
      <c r="I73" s="565"/>
      <c r="J73" s="565"/>
      <c r="K73" s="565"/>
      <c r="L73" s="565"/>
      <c r="M73" s="565">
        <f>H511</f>
        <v>0</v>
      </c>
      <c r="N73" s="565">
        <f>H512</f>
        <v>0</v>
      </c>
      <c r="O73" s="565"/>
      <c r="P73" s="565"/>
      <c r="Q73" s="845"/>
      <c r="R73" s="994">
        <f t="shared" si="6"/>
        <v>0</v>
      </c>
    </row>
    <row r="74" spans="2:18" ht="33.75" customHeight="1" x14ac:dyDescent="0.2">
      <c r="B74" s="1285" t="s">
        <v>119</v>
      </c>
      <c r="C74" s="1285"/>
      <c r="D74" s="1285"/>
      <c r="E74" s="1285"/>
      <c r="F74" s="168"/>
      <c r="G74" s="992"/>
      <c r="H74" s="992"/>
      <c r="I74" s="992"/>
      <c r="J74" s="992"/>
      <c r="K74" s="992"/>
      <c r="L74" s="992"/>
      <c r="M74" s="992"/>
      <c r="N74" s="993"/>
      <c r="O74" s="993"/>
      <c r="P74" s="993"/>
      <c r="R74" s="992"/>
    </row>
    <row r="75" spans="2:18" ht="28.5" customHeight="1" x14ac:dyDescent="0.2">
      <c r="B75" s="1267" t="str">
        <f>"per 31/12/"&amp;$G$13</f>
        <v>per 31/12/2015</v>
      </c>
      <c r="C75" s="1268"/>
      <c r="D75" s="1268"/>
      <c r="E75" s="1269"/>
      <c r="F75" s="168"/>
      <c r="G75" s="255"/>
      <c r="H75" s="255"/>
      <c r="I75" s="255"/>
      <c r="J75" s="255"/>
      <c r="K75" s="255"/>
      <c r="L75" s="255"/>
      <c r="M75" s="255"/>
      <c r="N75" s="565"/>
      <c r="O75" s="565"/>
      <c r="P75" s="565"/>
      <c r="R75" s="991">
        <f t="shared" ref="R75:R83" si="7">SUM(G75:P75)</f>
        <v>0</v>
      </c>
    </row>
    <row r="76" spans="2:18" ht="28.5" customHeight="1" x14ac:dyDescent="0.2">
      <c r="B76" s="1267" t="str">
        <f>"per 31/12/"&amp;$H$13</f>
        <v>per 31/12/2016</v>
      </c>
      <c r="C76" s="1268"/>
      <c r="D76" s="1268"/>
      <c r="E76" s="1269"/>
      <c r="F76" s="168"/>
      <c r="G76" s="255"/>
      <c r="H76" s="255"/>
      <c r="I76" s="255"/>
      <c r="J76" s="255"/>
      <c r="K76" s="255"/>
      <c r="L76" s="255"/>
      <c r="M76" s="255"/>
      <c r="N76" s="565"/>
      <c r="O76" s="565"/>
      <c r="P76" s="565"/>
      <c r="R76" s="991">
        <f t="shared" si="7"/>
        <v>0</v>
      </c>
    </row>
    <row r="77" spans="2:18" ht="28.5" customHeight="1" x14ac:dyDescent="0.2">
      <c r="B77" s="1267" t="str">
        <f>"per 31/12/"&amp;$I$13</f>
        <v>per 31/12/2017</v>
      </c>
      <c r="C77" s="1268"/>
      <c r="D77" s="1268"/>
      <c r="E77" s="1269"/>
      <c r="F77" s="168"/>
      <c r="G77" s="255">
        <f>J529</f>
        <v>0</v>
      </c>
      <c r="H77" s="255"/>
      <c r="I77" s="255"/>
      <c r="J77" s="255"/>
      <c r="K77" s="255"/>
      <c r="L77" s="255"/>
      <c r="M77" s="255"/>
      <c r="N77" s="565"/>
      <c r="O77" s="565"/>
      <c r="P77" s="565"/>
      <c r="R77" s="991">
        <f t="shared" si="7"/>
        <v>0</v>
      </c>
    </row>
    <row r="78" spans="2:18" ht="28.5" customHeight="1" x14ac:dyDescent="0.2">
      <c r="B78" s="1267" t="str">
        <f>"per 31/12/"&amp;$J$13</f>
        <v>per 31/12/2018</v>
      </c>
      <c r="C78" s="1268"/>
      <c r="D78" s="1268"/>
      <c r="E78" s="1269"/>
      <c r="F78" s="168"/>
      <c r="G78" s="255">
        <f>L534</f>
        <v>0</v>
      </c>
      <c r="H78" s="255">
        <f>L535</f>
        <v>0</v>
      </c>
      <c r="I78" s="255"/>
      <c r="J78" s="255"/>
      <c r="K78" s="255"/>
      <c r="L78" s="255"/>
      <c r="M78" s="255"/>
      <c r="N78" s="565"/>
      <c r="O78" s="565"/>
      <c r="P78" s="565"/>
      <c r="R78" s="991">
        <f t="shared" si="7"/>
        <v>0</v>
      </c>
    </row>
    <row r="79" spans="2:18" ht="28.5" customHeight="1" x14ac:dyDescent="0.2">
      <c r="B79" s="1267" t="str">
        <f>"per 31/12/"&amp;$K$13</f>
        <v>per 31/12/2019</v>
      </c>
      <c r="C79" s="1268"/>
      <c r="D79" s="1268"/>
      <c r="E79" s="1269"/>
      <c r="F79" s="168"/>
      <c r="G79" s="255">
        <f>L541</f>
        <v>0</v>
      </c>
      <c r="H79" s="255">
        <f>L542</f>
        <v>0</v>
      </c>
      <c r="I79" s="255">
        <f>L543</f>
        <v>0</v>
      </c>
      <c r="J79" s="255"/>
      <c r="K79" s="255"/>
      <c r="L79" s="255"/>
      <c r="M79" s="255"/>
      <c r="N79" s="565"/>
      <c r="O79" s="565"/>
      <c r="P79" s="565"/>
      <c r="R79" s="991">
        <f t="shared" si="7"/>
        <v>0</v>
      </c>
    </row>
    <row r="80" spans="2:18" ht="28.5" customHeight="1" x14ac:dyDescent="0.2">
      <c r="B80" s="1267" t="str">
        <f>"per 31/12/"&amp;$L$13</f>
        <v>per 31/12/2020</v>
      </c>
      <c r="C80" s="1268"/>
      <c r="D80" s="1268"/>
      <c r="E80" s="1269"/>
      <c r="F80" s="168"/>
      <c r="G80" s="255">
        <f>L549</f>
        <v>0</v>
      </c>
      <c r="H80" s="255">
        <f>L550</f>
        <v>0</v>
      </c>
      <c r="I80" s="255">
        <f>L551</f>
        <v>0</v>
      </c>
      <c r="J80" s="255">
        <f>L552</f>
        <v>0</v>
      </c>
      <c r="K80" s="255"/>
      <c r="L80" s="255"/>
      <c r="M80" s="255"/>
      <c r="N80" s="565"/>
      <c r="O80" s="565"/>
      <c r="P80" s="565"/>
      <c r="R80" s="991">
        <f t="shared" si="7"/>
        <v>0</v>
      </c>
    </row>
    <row r="81" spans="2:18" ht="28.5" customHeight="1" x14ac:dyDescent="0.2">
      <c r="B81" s="1267" t="str">
        <f>"per 31/12/"&amp;$M$13</f>
        <v>per 31/12/2021</v>
      </c>
      <c r="C81" s="1268"/>
      <c r="D81" s="1268"/>
      <c r="E81" s="1269"/>
      <c r="F81" s="168"/>
      <c r="G81" s="255">
        <f>H558</f>
        <v>0</v>
      </c>
      <c r="H81" s="255">
        <f>H559</f>
        <v>0</v>
      </c>
      <c r="I81" s="255">
        <f>H560</f>
        <v>0</v>
      </c>
      <c r="J81" s="255">
        <f>H561</f>
        <v>0</v>
      </c>
      <c r="K81" s="255">
        <f>H562</f>
        <v>0</v>
      </c>
      <c r="L81" s="255"/>
      <c r="M81" s="255"/>
      <c r="N81" s="565"/>
      <c r="O81" s="565"/>
      <c r="P81" s="565"/>
      <c r="R81" s="991">
        <f t="shared" si="7"/>
        <v>0</v>
      </c>
    </row>
    <row r="82" spans="2:18" ht="28.5" customHeight="1" x14ac:dyDescent="0.2">
      <c r="B82" s="1270" t="str">
        <f>"per 31/12/"&amp;$N$13</f>
        <v>per 31/12/2022</v>
      </c>
      <c r="C82" s="1271"/>
      <c r="D82" s="1271"/>
      <c r="E82" s="1272"/>
      <c r="F82" s="314"/>
      <c r="G82" s="565">
        <f>H568</f>
        <v>0</v>
      </c>
      <c r="H82" s="565">
        <f>H569</f>
        <v>0</v>
      </c>
      <c r="I82" s="565">
        <f>H570</f>
        <v>0</v>
      </c>
      <c r="J82" s="565">
        <f>H571</f>
        <v>0</v>
      </c>
      <c r="K82" s="565">
        <f>H572</f>
        <v>0</v>
      </c>
      <c r="L82" s="565">
        <f>H573</f>
        <v>0</v>
      </c>
      <c r="M82" s="565"/>
      <c r="N82" s="565"/>
      <c r="O82" s="565"/>
      <c r="P82" s="565"/>
      <c r="Q82" s="845"/>
      <c r="R82" s="994">
        <f t="shared" si="7"/>
        <v>0</v>
      </c>
    </row>
    <row r="83" spans="2:18" ht="28.5" customHeight="1" x14ac:dyDescent="0.2">
      <c r="B83" s="1270" t="str">
        <f>"per 31/12/"&amp;$O$13</f>
        <v>per 31/12/2023</v>
      </c>
      <c r="C83" s="1271"/>
      <c r="D83" s="1271"/>
      <c r="E83" s="1272"/>
      <c r="F83" s="314"/>
      <c r="G83" s="565"/>
      <c r="H83" s="565"/>
      <c r="I83" s="565"/>
      <c r="J83" s="565"/>
      <c r="K83" s="565"/>
      <c r="L83" s="565">
        <f>H579</f>
        <v>0</v>
      </c>
      <c r="M83" s="565"/>
      <c r="N83" s="565"/>
      <c r="O83" s="565"/>
      <c r="P83" s="565"/>
      <c r="Q83" s="845"/>
      <c r="R83" s="994">
        <f t="shared" si="7"/>
        <v>0</v>
      </c>
    </row>
    <row r="84" spans="2:18" ht="28.5" customHeight="1" x14ac:dyDescent="0.2">
      <c r="B84" s="1270" t="str">
        <f>"per 31/12/"&amp;$P$13</f>
        <v>per 31/12/2024</v>
      </c>
      <c r="C84" s="1271"/>
      <c r="D84" s="1271"/>
      <c r="E84" s="1272"/>
      <c r="F84" s="314"/>
      <c r="G84" s="565"/>
      <c r="H84" s="565"/>
      <c r="I84" s="565"/>
      <c r="J84" s="565"/>
      <c r="K84" s="565"/>
      <c r="L84" s="565"/>
      <c r="M84" s="565"/>
      <c r="N84" s="565"/>
      <c r="O84" s="565"/>
      <c r="P84" s="565"/>
      <c r="Q84" s="845"/>
      <c r="R84" s="994"/>
    </row>
    <row r="85" spans="2:18" ht="26.25" customHeight="1" x14ac:dyDescent="0.2">
      <c r="B85" s="1282" t="s">
        <v>118</v>
      </c>
      <c r="C85" s="1283"/>
      <c r="D85" s="1283"/>
      <c r="E85" s="1284"/>
      <c r="F85" s="168"/>
      <c r="G85" s="992"/>
      <c r="H85" s="992"/>
      <c r="I85" s="992"/>
      <c r="J85" s="992"/>
      <c r="K85" s="992"/>
      <c r="L85" s="992"/>
      <c r="M85" s="992"/>
      <c r="N85" s="993"/>
      <c r="O85" s="993"/>
      <c r="P85" s="993"/>
      <c r="R85" s="992"/>
    </row>
    <row r="86" spans="2:18" ht="28.5" customHeight="1" x14ac:dyDescent="0.2">
      <c r="B86" s="1267" t="str">
        <f>"per 31/12/"&amp;$G$13</f>
        <v>per 31/12/2015</v>
      </c>
      <c r="C86" s="1268"/>
      <c r="D86" s="1268"/>
      <c r="E86" s="1269"/>
      <c r="F86" s="168"/>
      <c r="G86" s="255"/>
      <c r="H86" s="255"/>
      <c r="I86" s="255"/>
      <c r="J86" s="255"/>
      <c r="K86" s="255"/>
      <c r="L86" s="255"/>
      <c r="M86" s="255"/>
      <c r="N86" s="565"/>
      <c r="O86" s="565"/>
      <c r="P86" s="565"/>
      <c r="R86" s="991">
        <f t="shared" ref="R86:R95" si="8">SUM(G86:P86)</f>
        <v>0</v>
      </c>
    </row>
    <row r="87" spans="2:18" ht="28.5" customHeight="1" x14ac:dyDescent="0.2">
      <c r="B87" s="1267" t="str">
        <f>"per 31/12/"&amp;$H$13</f>
        <v>per 31/12/2016</v>
      </c>
      <c r="C87" s="1268"/>
      <c r="D87" s="1268"/>
      <c r="E87" s="1269"/>
      <c r="F87" s="168"/>
      <c r="G87" s="255"/>
      <c r="H87" s="255"/>
      <c r="I87" s="255"/>
      <c r="J87" s="255"/>
      <c r="K87" s="255"/>
      <c r="L87" s="255"/>
      <c r="M87" s="255"/>
      <c r="N87" s="565"/>
      <c r="O87" s="565"/>
      <c r="P87" s="565"/>
      <c r="R87" s="991">
        <f t="shared" si="8"/>
        <v>0</v>
      </c>
    </row>
    <row r="88" spans="2:18" ht="28.5" customHeight="1" x14ac:dyDescent="0.2">
      <c r="B88" s="1267" t="str">
        <f>"per 31/12/"&amp;$I$13</f>
        <v>per 31/12/2017</v>
      </c>
      <c r="C88" s="1268"/>
      <c r="D88" s="1268"/>
      <c r="E88" s="1269"/>
      <c r="F88" s="168"/>
      <c r="G88" s="255">
        <f>J595</f>
        <v>0</v>
      </c>
      <c r="H88" s="255"/>
      <c r="I88" s="255"/>
      <c r="J88" s="255"/>
      <c r="K88" s="255"/>
      <c r="L88" s="255"/>
      <c r="M88" s="255"/>
      <c r="N88" s="565"/>
      <c r="O88" s="565"/>
      <c r="P88" s="565"/>
      <c r="R88" s="991">
        <f t="shared" si="8"/>
        <v>0</v>
      </c>
    </row>
    <row r="89" spans="2:18" ht="28.5" customHeight="1" x14ac:dyDescent="0.2">
      <c r="B89" s="1267" t="str">
        <f>"per 31/12/"&amp;$J$13</f>
        <v>per 31/12/2018</v>
      </c>
      <c r="C89" s="1268"/>
      <c r="D89" s="1268"/>
      <c r="E89" s="1269"/>
      <c r="F89" s="168"/>
      <c r="G89" s="255">
        <f>L600</f>
        <v>0</v>
      </c>
      <c r="H89" s="255">
        <f>L601</f>
        <v>0</v>
      </c>
      <c r="I89" s="255"/>
      <c r="J89" s="255"/>
      <c r="K89" s="255"/>
      <c r="L89" s="255"/>
      <c r="M89" s="255"/>
      <c r="N89" s="565"/>
      <c r="O89" s="565"/>
      <c r="P89" s="565"/>
      <c r="R89" s="991">
        <f t="shared" si="8"/>
        <v>0</v>
      </c>
    </row>
    <row r="90" spans="2:18" ht="28.5" customHeight="1" x14ac:dyDescent="0.2">
      <c r="B90" s="1267" t="str">
        <f>"per 31/12/"&amp;$K$13</f>
        <v>per 31/12/2019</v>
      </c>
      <c r="C90" s="1268"/>
      <c r="D90" s="1268"/>
      <c r="E90" s="1269"/>
      <c r="F90" s="168"/>
      <c r="G90" s="255">
        <f>L607</f>
        <v>0</v>
      </c>
      <c r="H90" s="255">
        <f>L608</f>
        <v>0</v>
      </c>
      <c r="I90" s="255">
        <f>L609</f>
        <v>0</v>
      </c>
      <c r="J90" s="255"/>
      <c r="K90" s="255"/>
      <c r="L90" s="255"/>
      <c r="M90" s="255"/>
      <c r="N90" s="565"/>
      <c r="O90" s="565"/>
      <c r="P90" s="565"/>
      <c r="R90" s="991">
        <f t="shared" si="8"/>
        <v>0</v>
      </c>
    </row>
    <row r="91" spans="2:18" ht="28.5" customHeight="1" x14ac:dyDescent="0.2">
      <c r="B91" s="1267" t="str">
        <f>"per 31/12/"&amp;$L$13</f>
        <v>per 31/12/2020</v>
      </c>
      <c r="C91" s="1268"/>
      <c r="D91" s="1268"/>
      <c r="E91" s="1269"/>
      <c r="F91" s="168"/>
      <c r="G91" s="255">
        <f>L615</f>
        <v>0</v>
      </c>
      <c r="H91" s="255">
        <f>L616</f>
        <v>0</v>
      </c>
      <c r="I91" s="255">
        <f>L617</f>
        <v>0</v>
      </c>
      <c r="J91" s="255">
        <f>L618</f>
        <v>0</v>
      </c>
      <c r="K91" s="255"/>
      <c r="L91" s="255"/>
      <c r="M91" s="255"/>
      <c r="N91" s="565"/>
      <c r="O91" s="565"/>
      <c r="P91" s="565"/>
      <c r="R91" s="991">
        <f t="shared" si="8"/>
        <v>0</v>
      </c>
    </row>
    <row r="92" spans="2:18" ht="28.5" customHeight="1" x14ac:dyDescent="0.2">
      <c r="B92" s="1267" t="str">
        <f>"per 31/12/"&amp;$M$13</f>
        <v>per 31/12/2021</v>
      </c>
      <c r="C92" s="1268"/>
      <c r="D92" s="1268"/>
      <c r="E92" s="1269"/>
      <c r="F92" s="168"/>
      <c r="G92" s="255">
        <f>H624</f>
        <v>0</v>
      </c>
      <c r="H92" s="255">
        <f>H625</f>
        <v>0</v>
      </c>
      <c r="I92" s="255">
        <f>H626</f>
        <v>0</v>
      </c>
      <c r="J92" s="255">
        <f>H627</f>
        <v>0</v>
      </c>
      <c r="K92" s="255">
        <f>H628</f>
        <v>0</v>
      </c>
      <c r="L92" s="255"/>
      <c r="M92" s="255"/>
      <c r="N92" s="565"/>
      <c r="O92" s="565"/>
      <c r="P92" s="565"/>
      <c r="R92" s="991">
        <f t="shared" si="8"/>
        <v>0</v>
      </c>
    </row>
    <row r="93" spans="2:18" ht="28.5" customHeight="1" x14ac:dyDescent="0.2">
      <c r="B93" s="1270" t="str">
        <f>"per 31/12/"&amp;$N$13</f>
        <v>per 31/12/2022</v>
      </c>
      <c r="C93" s="1271"/>
      <c r="D93" s="1271"/>
      <c r="E93" s="1272"/>
      <c r="F93" s="314"/>
      <c r="G93" s="565">
        <f>H634</f>
        <v>0</v>
      </c>
      <c r="H93" s="565">
        <f>H635</f>
        <v>0</v>
      </c>
      <c r="I93" s="565">
        <f>H636</f>
        <v>0</v>
      </c>
      <c r="J93" s="565">
        <f>H637</f>
        <v>0</v>
      </c>
      <c r="K93" s="565">
        <f>H638</f>
        <v>0</v>
      </c>
      <c r="L93" s="565">
        <f>H639</f>
        <v>0</v>
      </c>
      <c r="M93" s="565"/>
      <c r="N93" s="565"/>
      <c r="O93" s="565"/>
      <c r="P93" s="565"/>
      <c r="Q93" s="845"/>
      <c r="R93" s="994">
        <f t="shared" si="8"/>
        <v>0</v>
      </c>
    </row>
    <row r="94" spans="2:18" ht="28.5" customHeight="1" x14ac:dyDescent="0.2">
      <c r="B94" s="1270" t="str">
        <f>"per 31/12/"&amp;$O$13</f>
        <v>per 31/12/2023</v>
      </c>
      <c r="C94" s="1271"/>
      <c r="D94" s="1271"/>
      <c r="E94" s="1272"/>
      <c r="F94" s="314"/>
      <c r="G94" s="565"/>
      <c r="H94" s="565"/>
      <c r="I94" s="565"/>
      <c r="J94" s="565"/>
      <c r="K94" s="565"/>
      <c r="L94" s="565">
        <f>H645</f>
        <v>0</v>
      </c>
      <c r="M94" s="565">
        <f>H646</f>
        <v>0</v>
      </c>
      <c r="N94" s="565"/>
      <c r="O94" s="565"/>
      <c r="P94" s="565"/>
      <c r="Q94" s="845"/>
      <c r="R94" s="994">
        <f t="shared" si="8"/>
        <v>0</v>
      </c>
    </row>
    <row r="95" spans="2:18" ht="28.5" customHeight="1" x14ac:dyDescent="0.2">
      <c r="B95" s="1270" t="str">
        <f>"per 31/12/"&amp;$P$13</f>
        <v>per 31/12/2024</v>
      </c>
      <c r="C95" s="1271"/>
      <c r="D95" s="1271"/>
      <c r="E95" s="1272"/>
      <c r="F95" s="314"/>
      <c r="G95" s="565"/>
      <c r="H95" s="565"/>
      <c r="I95" s="565"/>
      <c r="J95" s="565"/>
      <c r="K95" s="565"/>
      <c r="L95" s="565"/>
      <c r="M95" s="565">
        <f>H652</f>
        <v>0</v>
      </c>
      <c r="N95" s="565">
        <f>H653</f>
        <v>0</v>
      </c>
      <c r="O95" s="565"/>
      <c r="P95" s="565"/>
      <c r="Q95" s="845"/>
      <c r="R95" s="994">
        <f t="shared" si="8"/>
        <v>0</v>
      </c>
    </row>
    <row r="96" spans="2:18" ht="33" customHeight="1" x14ac:dyDescent="0.2">
      <c r="B96" s="1282" t="s">
        <v>68</v>
      </c>
      <c r="C96" s="1283"/>
      <c r="D96" s="1283"/>
      <c r="E96" s="1284"/>
      <c r="F96" s="168"/>
      <c r="G96" s="992"/>
      <c r="H96" s="992"/>
      <c r="I96" s="992"/>
      <c r="J96" s="992"/>
      <c r="K96" s="992"/>
      <c r="L96" s="992"/>
      <c r="M96" s="992"/>
      <c r="N96" s="993"/>
      <c r="O96" s="993"/>
      <c r="P96" s="993"/>
      <c r="R96" s="992"/>
    </row>
    <row r="97" spans="1:18" ht="28.5" customHeight="1" x14ac:dyDescent="0.2">
      <c r="B97" s="1267" t="str">
        <f>"per 31/12/"&amp;$G$13</f>
        <v>per 31/12/2015</v>
      </c>
      <c r="C97" s="1268"/>
      <c r="D97" s="1268"/>
      <c r="E97" s="1269"/>
      <c r="F97" s="168"/>
      <c r="G97" s="255"/>
      <c r="H97" s="255"/>
      <c r="I97" s="255"/>
      <c r="J97" s="255"/>
      <c r="K97" s="255"/>
      <c r="L97" s="255"/>
      <c r="M97" s="255"/>
      <c r="N97" s="565"/>
      <c r="O97" s="565"/>
      <c r="P97" s="565"/>
      <c r="R97" s="991">
        <f t="shared" ref="R97:R106" si="9">SUM(G97:P97)</f>
        <v>0</v>
      </c>
    </row>
    <row r="98" spans="1:18" ht="28.5" customHeight="1" x14ac:dyDescent="0.2">
      <c r="B98" s="1267" t="str">
        <f>"per 31/12/"&amp;$H$13</f>
        <v>per 31/12/2016</v>
      </c>
      <c r="C98" s="1268"/>
      <c r="D98" s="1268"/>
      <c r="E98" s="1269"/>
      <c r="F98" s="168"/>
      <c r="G98" s="255"/>
      <c r="H98" s="255"/>
      <c r="I98" s="255"/>
      <c r="J98" s="255"/>
      <c r="K98" s="255"/>
      <c r="L98" s="255"/>
      <c r="M98" s="255"/>
      <c r="N98" s="565"/>
      <c r="O98" s="565"/>
      <c r="P98" s="565"/>
      <c r="R98" s="991">
        <f t="shared" si="9"/>
        <v>0</v>
      </c>
    </row>
    <row r="99" spans="1:18" ht="28.5" customHeight="1" x14ac:dyDescent="0.2">
      <c r="B99" s="1267" t="str">
        <f>"per 31/12/"&amp;$I$13</f>
        <v>per 31/12/2017</v>
      </c>
      <c r="C99" s="1268"/>
      <c r="D99" s="1268"/>
      <c r="E99" s="1269"/>
      <c r="F99" s="168"/>
      <c r="G99" s="255">
        <f>J670</f>
        <v>0</v>
      </c>
      <c r="H99" s="255"/>
      <c r="I99" s="255"/>
      <c r="J99" s="255"/>
      <c r="K99" s="255"/>
      <c r="L99" s="255"/>
      <c r="M99" s="255"/>
      <c r="N99" s="565"/>
      <c r="O99" s="565"/>
      <c r="P99" s="565"/>
      <c r="R99" s="991">
        <f t="shared" si="9"/>
        <v>0</v>
      </c>
    </row>
    <row r="100" spans="1:18" ht="28.5" customHeight="1" x14ac:dyDescent="0.2">
      <c r="B100" s="1267" t="str">
        <f>"per 31/12/"&amp;$J$13</f>
        <v>per 31/12/2018</v>
      </c>
      <c r="C100" s="1268"/>
      <c r="D100" s="1268"/>
      <c r="E100" s="1269"/>
      <c r="F100" s="168"/>
      <c r="G100" s="255">
        <f>L675</f>
        <v>0</v>
      </c>
      <c r="H100" s="255">
        <f>L676</f>
        <v>0</v>
      </c>
      <c r="I100" s="255"/>
      <c r="J100" s="255"/>
      <c r="K100" s="255"/>
      <c r="L100" s="255"/>
      <c r="M100" s="255"/>
      <c r="N100" s="565"/>
      <c r="O100" s="565"/>
      <c r="P100" s="565"/>
      <c r="R100" s="991">
        <f t="shared" si="9"/>
        <v>0</v>
      </c>
    </row>
    <row r="101" spans="1:18" ht="28.5" customHeight="1" x14ac:dyDescent="0.2">
      <c r="B101" s="1267" t="str">
        <f>"per 31/12/"&amp;$K$13</f>
        <v>per 31/12/2019</v>
      </c>
      <c r="C101" s="1268"/>
      <c r="D101" s="1268"/>
      <c r="E101" s="1269"/>
      <c r="F101" s="168"/>
      <c r="G101" s="255">
        <f>L682</f>
        <v>0</v>
      </c>
      <c r="H101" s="255">
        <f>L683</f>
        <v>0</v>
      </c>
      <c r="I101" s="255">
        <f>L684</f>
        <v>0</v>
      </c>
      <c r="J101" s="255"/>
      <c r="K101" s="255"/>
      <c r="L101" s="255"/>
      <c r="M101" s="255"/>
      <c r="N101" s="565"/>
      <c r="O101" s="565"/>
      <c r="P101" s="565"/>
      <c r="R101" s="991">
        <f t="shared" si="9"/>
        <v>0</v>
      </c>
    </row>
    <row r="102" spans="1:18" ht="28.5" customHeight="1" x14ac:dyDescent="0.2">
      <c r="B102" s="1267" t="str">
        <f>"per 31/12/"&amp;$L$13</f>
        <v>per 31/12/2020</v>
      </c>
      <c r="C102" s="1268"/>
      <c r="D102" s="1268"/>
      <c r="E102" s="1269"/>
      <c r="F102" s="168"/>
      <c r="G102" s="255">
        <f>L690</f>
        <v>0</v>
      </c>
      <c r="H102" s="255">
        <f>L691</f>
        <v>0</v>
      </c>
      <c r="I102" s="255">
        <f>L692</f>
        <v>0</v>
      </c>
      <c r="J102" s="255">
        <f>L693</f>
        <v>0</v>
      </c>
      <c r="K102" s="255"/>
      <c r="L102" s="255"/>
      <c r="M102" s="255"/>
      <c r="N102" s="565"/>
      <c r="O102" s="565"/>
      <c r="P102" s="565"/>
      <c r="R102" s="991">
        <f t="shared" si="9"/>
        <v>0</v>
      </c>
    </row>
    <row r="103" spans="1:18" ht="28.5" customHeight="1" x14ac:dyDescent="0.2">
      <c r="B103" s="1267" t="str">
        <f>"per 31/12/"&amp;$M$13</f>
        <v>per 31/12/2021</v>
      </c>
      <c r="C103" s="1268"/>
      <c r="D103" s="1268"/>
      <c r="E103" s="1269"/>
      <c r="F103" s="168"/>
      <c r="G103" s="255">
        <f>H699</f>
        <v>0</v>
      </c>
      <c r="H103" s="255">
        <f>H700</f>
        <v>0</v>
      </c>
      <c r="I103" s="255">
        <f>H701</f>
        <v>0</v>
      </c>
      <c r="J103" s="255">
        <f>H702</f>
        <v>0</v>
      </c>
      <c r="K103" s="255">
        <f>H703</f>
        <v>0</v>
      </c>
      <c r="L103" s="255"/>
      <c r="M103" s="255"/>
      <c r="N103" s="565"/>
      <c r="O103" s="565"/>
      <c r="P103" s="565"/>
      <c r="R103" s="991">
        <f t="shared" si="9"/>
        <v>0</v>
      </c>
    </row>
    <row r="104" spans="1:18" ht="28.5" customHeight="1" x14ac:dyDescent="0.2">
      <c r="B104" s="1270" t="str">
        <f>"per 31/12/"&amp;$N$13</f>
        <v>per 31/12/2022</v>
      </c>
      <c r="C104" s="1271"/>
      <c r="D104" s="1271"/>
      <c r="E104" s="1272"/>
      <c r="F104" s="314"/>
      <c r="G104" s="565">
        <f>H709</f>
        <v>0</v>
      </c>
      <c r="H104" s="565">
        <f>H710</f>
        <v>0</v>
      </c>
      <c r="I104" s="565">
        <f>H711</f>
        <v>0</v>
      </c>
      <c r="J104" s="565">
        <f>H712</f>
        <v>0</v>
      </c>
      <c r="K104" s="565">
        <f>H713</f>
        <v>0</v>
      </c>
      <c r="L104" s="565">
        <f>H714</f>
        <v>0</v>
      </c>
      <c r="M104" s="565"/>
      <c r="N104" s="565"/>
      <c r="O104" s="565"/>
      <c r="P104" s="565"/>
      <c r="Q104" s="845"/>
      <c r="R104" s="994">
        <f t="shared" si="9"/>
        <v>0</v>
      </c>
    </row>
    <row r="105" spans="1:18" ht="28.5" customHeight="1" x14ac:dyDescent="0.2">
      <c r="B105" s="1270" t="str">
        <f>"per 31/12/"&amp;$O$13</f>
        <v>per 31/12/2023</v>
      </c>
      <c r="C105" s="1271"/>
      <c r="D105" s="1271"/>
      <c r="E105" s="1272"/>
      <c r="F105" s="314"/>
      <c r="G105" s="565"/>
      <c r="H105" s="565"/>
      <c r="I105" s="565"/>
      <c r="J105" s="565"/>
      <c r="K105" s="565"/>
      <c r="L105" s="565">
        <f>H720</f>
        <v>0</v>
      </c>
      <c r="M105" s="565">
        <f>H721</f>
        <v>0</v>
      </c>
      <c r="N105" s="565"/>
      <c r="O105" s="565"/>
      <c r="P105" s="565"/>
      <c r="Q105" s="845"/>
      <c r="R105" s="994">
        <f t="shared" si="9"/>
        <v>0</v>
      </c>
    </row>
    <row r="106" spans="1:18" ht="28.5" customHeight="1" x14ac:dyDescent="0.2">
      <c r="B106" s="1270" t="str">
        <f>"per 31/12/"&amp;$P$13</f>
        <v>per 31/12/2024</v>
      </c>
      <c r="C106" s="1271"/>
      <c r="D106" s="1271"/>
      <c r="E106" s="1272"/>
      <c r="F106" s="314"/>
      <c r="G106" s="565"/>
      <c r="H106" s="565"/>
      <c r="I106" s="565"/>
      <c r="J106" s="565"/>
      <c r="K106" s="565"/>
      <c r="L106" s="565"/>
      <c r="M106" s="565">
        <f>H727</f>
        <v>0</v>
      </c>
      <c r="N106" s="565">
        <f>H728</f>
        <v>0</v>
      </c>
      <c r="O106" s="565"/>
      <c r="P106" s="565"/>
      <c r="Q106" s="845"/>
      <c r="R106" s="994">
        <f t="shared" si="9"/>
        <v>0</v>
      </c>
    </row>
    <row r="107" spans="1:18" x14ac:dyDescent="0.2">
      <c r="G107" s="306"/>
      <c r="H107" s="306"/>
      <c r="I107" s="306"/>
      <c r="J107" s="306"/>
      <c r="K107" s="306"/>
      <c r="L107" s="306"/>
      <c r="M107" s="306"/>
      <c r="N107" s="839"/>
      <c r="O107" s="839"/>
      <c r="P107" s="839"/>
      <c r="R107" s="306"/>
    </row>
    <row r="108" spans="1:18" s="224" customFormat="1" x14ac:dyDescent="0.2">
      <c r="B108" s="1293"/>
      <c r="C108" s="1293"/>
      <c r="D108" s="1293"/>
      <c r="E108" s="1293"/>
      <c r="G108" s="309"/>
      <c r="H108" s="309"/>
      <c r="I108" s="309"/>
      <c r="J108" s="309"/>
      <c r="K108" s="309"/>
      <c r="L108" s="309"/>
      <c r="M108" s="309"/>
      <c r="N108" s="841"/>
      <c r="O108" s="841"/>
      <c r="P108" s="841"/>
      <c r="Q108" s="211"/>
      <c r="R108" s="309"/>
    </row>
    <row r="109" spans="1:18" s="224" customFormat="1" x14ac:dyDescent="0.2">
      <c r="B109" s="315"/>
      <c r="C109" s="316"/>
      <c r="D109" s="316"/>
      <c r="E109" s="317"/>
      <c r="F109" s="283"/>
      <c r="G109" s="975">
        <v>2015</v>
      </c>
      <c r="H109" s="166">
        <f>+G109+1</f>
        <v>2016</v>
      </c>
      <c r="I109" s="166">
        <f>+H109+1</f>
        <v>2017</v>
      </c>
      <c r="J109" s="166">
        <f>+I109+1</f>
        <v>2018</v>
      </c>
      <c r="K109" s="166">
        <f>+J109+1</f>
        <v>2019</v>
      </c>
      <c r="L109" s="166">
        <f t="shared" ref="L109:P109" si="10">+K109+1</f>
        <v>2020</v>
      </c>
      <c r="M109" s="166">
        <f t="shared" si="10"/>
        <v>2021</v>
      </c>
      <c r="N109" s="837">
        <f t="shared" si="10"/>
        <v>2022</v>
      </c>
      <c r="O109" s="837">
        <f t="shared" si="10"/>
        <v>2023</v>
      </c>
      <c r="P109" s="837">
        <f t="shared" si="10"/>
        <v>2024</v>
      </c>
      <c r="Q109" s="209"/>
      <c r="R109" s="166" t="s">
        <v>20</v>
      </c>
    </row>
    <row r="110" spans="1:18" s="220" customFormat="1" ht="26.25" customHeight="1" x14ac:dyDescent="0.2">
      <c r="B110" s="1286" t="s">
        <v>159</v>
      </c>
      <c r="C110" s="1287"/>
      <c r="D110" s="1287"/>
      <c r="E110" s="1288"/>
      <c r="F110" s="172"/>
      <c r="G110" s="171"/>
      <c r="H110" s="171"/>
      <c r="I110" s="171"/>
      <c r="J110" s="171"/>
      <c r="K110" s="171"/>
      <c r="L110" s="171"/>
      <c r="M110" s="171"/>
      <c r="N110" s="843"/>
      <c r="O110" s="843"/>
      <c r="P110" s="843"/>
      <c r="Q110" s="210"/>
      <c r="R110" s="171"/>
    </row>
    <row r="111" spans="1:18" ht="28.5" customHeight="1" x14ac:dyDescent="0.2">
      <c r="A111" s="296"/>
      <c r="B111" s="1273" t="str">
        <f>"per 31/12/"&amp;$G$13</f>
        <v>per 31/12/2015</v>
      </c>
      <c r="C111" s="1274"/>
      <c r="D111" s="1274"/>
      <c r="E111" s="1275"/>
      <c r="F111" s="318"/>
      <c r="G111" s="995"/>
      <c r="H111" s="995"/>
      <c r="I111" s="995"/>
      <c r="J111" s="995"/>
      <c r="K111" s="995"/>
      <c r="L111" s="995"/>
      <c r="M111" s="995"/>
      <c r="N111" s="996"/>
      <c r="O111" s="996"/>
      <c r="P111" s="996"/>
      <c r="R111" s="997">
        <f t="shared" ref="R111:R120" si="11">SUMIFS(R$31:R$106,$B$31:$B$106,$B111)</f>
        <v>0</v>
      </c>
    </row>
    <row r="112" spans="1:18" ht="28.5" customHeight="1" x14ac:dyDescent="0.2">
      <c r="A112" s="296"/>
      <c r="B112" s="1273" t="str">
        <f>"per 31/12/"&amp;$H$13</f>
        <v>per 31/12/2016</v>
      </c>
      <c r="C112" s="1274"/>
      <c r="D112" s="1274"/>
      <c r="E112" s="1275"/>
      <c r="F112" s="318"/>
      <c r="G112" s="995"/>
      <c r="H112" s="995"/>
      <c r="I112" s="995"/>
      <c r="J112" s="995"/>
      <c r="K112" s="995"/>
      <c r="L112" s="995"/>
      <c r="M112" s="995"/>
      <c r="N112" s="996"/>
      <c r="O112" s="996"/>
      <c r="P112" s="996"/>
      <c r="R112" s="997">
        <f t="shared" si="11"/>
        <v>0</v>
      </c>
    </row>
    <row r="113" spans="1:18" ht="28.5" customHeight="1" x14ac:dyDescent="0.2">
      <c r="A113" s="296"/>
      <c r="B113" s="1273" t="str">
        <f>"per 31/12/"&amp;$I$13</f>
        <v>per 31/12/2017</v>
      </c>
      <c r="C113" s="1274"/>
      <c r="D113" s="1274"/>
      <c r="E113" s="1275"/>
      <c r="F113" s="318"/>
      <c r="G113" s="995">
        <f t="shared" ref="G113:G118" si="12">SUMIFS(G$31:G$106,$B$31:$B$106,$B113)</f>
        <v>0</v>
      </c>
      <c r="H113" s="995"/>
      <c r="I113" s="995"/>
      <c r="J113" s="995"/>
      <c r="K113" s="995"/>
      <c r="L113" s="995"/>
      <c r="M113" s="995"/>
      <c r="N113" s="996"/>
      <c r="O113" s="996"/>
      <c r="P113" s="996"/>
      <c r="R113" s="997">
        <f t="shared" si="11"/>
        <v>0</v>
      </c>
    </row>
    <row r="114" spans="1:18" ht="28.5" customHeight="1" x14ac:dyDescent="0.2">
      <c r="A114" s="296"/>
      <c r="B114" s="1273" t="str">
        <f>"per 31/12/"&amp;$J$13</f>
        <v>per 31/12/2018</v>
      </c>
      <c r="C114" s="1274"/>
      <c r="D114" s="1274"/>
      <c r="E114" s="1275"/>
      <c r="F114" s="318"/>
      <c r="G114" s="995">
        <f t="shared" si="12"/>
        <v>0</v>
      </c>
      <c r="H114" s="995">
        <f>SUMIFS(H$31:H$106,$B$31:$B$106,$B114)</f>
        <v>0</v>
      </c>
      <c r="I114" s="995"/>
      <c r="J114" s="995"/>
      <c r="K114" s="995"/>
      <c r="L114" s="995"/>
      <c r="M114" s="995"/>
      <c r="N114" s="996"/>
      <c r="O114" s="996"/>
      <c r="P114" s="996"/>
      <c r="R114" s="997">
        <f t="shared" si="11"/>
        <v>0</v>
      </c>
    </row>
    <row r="115" spans="1:18" ht="28.5" customHeight="1" x14ac:dyDescent="0.2">
      <c r="A115" s="296"/>
      <c r="B115" s="1273" t="str">
        <f>"per 31/12/"&amp;$K$13</f>
        <v>per 31/12/2019</v>
      </c>
      <c r="C115" s="1274"/>
      <c r="D115" s="1274"/>
      <c r="E115" s="1275"/>
      <c r="F115" s="318"/>
      <c r="G115" s="995">
        <f t="shared" si="12"/>
        <v>0</v>
      </c>
      <c r="H115" s="995">
        <f>SUMIFS(H$31:H$106,$B$31:$B$106,$B115)</f>
        <v>0</v>
      </c>
      <c r="I115" s="995">
        <f>SUMIFS(I$31:I$106,$B$31:$B$106,$B115)</f>
        <v>0</v>
      </c>
      <c r="J115" s="995"/>
      <c r="K115" s="995"/>
      <c r="L115" s="995"/>
      <c r="M115" s="995"/>
      <c r="N115" s="996"/>
      <c r="O115" s="996"/>
      <c r="P115" s="996"/>
      <c r="R115" s="997">
        <f t="shared" si="11"/>
        <v>0</v>
      </c>
    </row>
    <row r="116" spans="1:18" ht="28.5" customHeight="1" x14ac:dyDescent="0.2">
      <c r="A116" s="296"/>
      <c r="B116" s="1273" t="str">
        <f>"per 31/12/"&amp;$L$13</f>
        <v>per 31/12/2020</v>
      </c>
      <c r="C116" s="1274"/>
      <c r="D116" s="1274"/>
      <c r="E116" s="1275"/>
      <c r="F116" s="318"/>
      <c r="G116" s="995">
        <f t="shared" si="12"/>
        <v>0</v>
      </c>
      <c r="H116" s="995">
        <f>SUMIFS(H$31:H$106,$B$31:$B$106,$B116)</f>
        <v>0</v>
      </c>
      <c r="I116" s="995">
        <f>SUMIFS(I$31:I$106,$B$31:$B$106,$B116)</f>
        <v>0</v>
      </c>
      <c r="J116" s="995">
        <f>SUMIFS(J$31:J$106,$B$31:$B$106,$B116)</f>
        <v>0</v>
      </c>
      <c r="K116" s="995"/>
      <c r="L116" s="995"/>
      <c r="M116" s="995"/>
      <c r="N116" s="996"/>
      <c r="O116" s="996"/>
      <c r="P116" s="996"/>
      <c r="R116" s="997">
        <f t="shared" si="11"/>
        <v>0</v>
      </c>
    </row>
    <row r="117" spans="1:18" ht="28.5" customHeight="1" x14ac:dyDescent="0.2">
      <c r="A117" s="296"/>
      <c r="B117" s="1273" t="str">
        <f>"per 31/12/"&amp;$M$13</f>
        <v>per 31/12/2021</v>
      </c>
      <c r="C117" s="1274"/>
      <c r="D117" s="1274"/>
      <c r="E117" s="1275"/>
      <c r="F117" s="318"/>
      <c r="G117" s="995">
        <f t="shared" si="12"/>
        <v>0</v>
      </c>
      <c r="H117" s="995">
        <f>SUMIFS(H$31:H$106,$B$31:$B$106,$B117)</f>
        <v>0</v>
      </c>
      <c r="I117" s="995">
        <f>SUMIFS(I$31:I$106,$B$31:$B$106,$B117)</f>
        <v>0</v>
      </c>
      <c r="J117" s="995">
        <f>SUMIFS(J$31:J$106,$B$31:$B$106,$B117)</f>
        <v>0</v>
      </c>
      <c r="K117" s="995">
        <f>SUMIFS(K$31:K$106,$B$31:$B$106,$B117)</f>
        <v>0</v>
      </c>
      <c r="L117" s="995"/>
      <c r="M117" s="995"/>
      <c r="N117" s="996"/>
      <c r="O117" s="996"/>
      <c r="P117" s="996"/>
      <c r="R117" s="997">
        <f t="shared" si="11"/>
        <v>0</v>
      </c>
    </row>
    <row r="118" spans="1:18" ht="28.5" customHeight="1" x14ac:dyDescent="0.2">
      <c r="A118" s="296"/>
      <c r="B118" s="1276" t="str">
        <f>"per 31/12/"&amp;$N$13</f>
        <v>per 31/12/2022</v>
      </c>
      <c r="C118" s="1277"/>
      <c r="D118" s="1277"/>
      <c r="E118" s="1278"/>
      <c r="F118" s="846"/>
      <c r="G118" s="996">
        <f t="shared" si="12"/>
        <v>0</v>
      </c>
      <c r="H118" s="996">
        <f>SUMIFS(H$31:H$106,$B$31:$B$106,$B118)</f>
        <v>0</v>
      </c>
      <c r="I118" s="996">
        <f>SUMIFS(I$31:I$106,$B$31:$B$106,$B118)</f>
        <v>0</v>
      </c>
      <c r="J118" s="996">
        <f>SUMIFS(J$31:J$106,$B$31:$B$106,$B118)</f>
        <v>0</v>
      </c>
      <c r="K118" s="996">
        <f>SUMIFS(K$31:K$106,$B$31:$B$106,$B118)</f>
        <v>0</v>
      </c>
      <c r="L118" s="996">
        <f>SUMIFS(L$31:L$106,$B$31:$B$106,$B118)</f>
        <v>0</v>
      </c>
      <c r="M118" s="996"/>
      <c r="N118" s="996"/>
      <c r="O118" s="996"/>
      <c r="P118" s="996"/>
      <c r="Q118" s="845"/>
      <c r="R118" s="998">
        <f t="shared" si="11"/>
        <v>0</v>
      </c>
    </row>
    <row r="119" spans="1:18" ht="28.5" customHeight="1" x14ac:dyDescent="0.2">
      <c r="A119" s="296"/>
      <c r="B119" s="1276" t="str">
        <f>"per 31/12/"&amp;$O$13</f>
        <v>per 31/12/2023</v>
      </c>
      <c r="C119" s="1277"/>
      <c r="D119" s="1277"/>
      <c r="E119" s="1278"/>
      <c r="F119" s="846"/>
      <c r="G119" s="996"/>
      <c r="H119" s="996"/>
      <c r="I119" s="996"/>
      <c r="J119" s="996"/>
      <c r="K119" s="996"/>
      <c r="L119" s="996">
        <f>SUMIFS(L$31:L$106,$B$31:$B$106,$B119)</f>
        <v>0</v>
      </c>
      <c r="M119" s="996">
        <f>SUMIFS(M$31:M$106,$B$31:$B$106,$B119)</f>
        <v>0</v>
      </c>
      <c r="N119" s="996"/>
      <c r="O119" s="996"/>
      <c r="P119" s="996"/>
      <c r="Q119" s="845"/>
      <c r="R119" s="998">
        <f t="shared" si="11"/>
        <v>0</v>
      </c>
    </row>
    <row r="120" spans="1:18" ht="28.5" customHeight="1" x14ac:dyDescent="0.2">
      <c r="A120" s="296"/>
      <c r="B120" s="1276" t="str">
        <f>"per 31/12/"&amp;$P$13</f>
        <v>per 31/12/2024</v>
      </c>
      <c r="C120" s="1277"/>
      <c r="D120" s="1277"/>
      <c r="E120" s="1278"/>
      <c r="F120" s="846"/>
      <c r="G120" s="996"/>
      <c r="H120" s="996"/>
      <c r="I120" s="996"/>
      <c r="J120" s="996"/>
      <c r="K120" s="996"/>
      <c r="L120" s="996"/>
      <c r="M120" s="996">
        <f>SUMIFS(M$31:M$106,$B$31:$B$106,$B120)</f>
        <v>0</v>
      </c>
      <c r="N120" s="996">
        <f>SUMIFS(N$31:N$106,$B$31:$B$106,$B120)</f>
        <v>0</v>
      </c>
      <c r="O120" s="996"/>
      <c r="P120" s="996"/>
      <c r="Q120" s="845"/>
      <c r="R120" s="998">
        <f t="shared" si="11"/>
        <v>0</v>
      </c>
    </row>
    <row r="121" spans="1:18" s="224" customFormat="1" x14ac:dyDescent="0.2">
      <c r="B121" s="1292"/>
      <c r="C121" s="1292"/>
      <c r="D121" s="1292"/>
      <c r="E121" s="1292"/>
      <c r="G121" s="319"/>
      <c r="H121" s="319"/>
      <c r="I121" s="319"/>
      <c r="J121" s="319"/>
      <c r="K121" s="309"/>
      <c r="L121" s="309"/>
      <c r="M121" s="309"/>
      <c r="N121" s="841"/>
      <c r="O121" s="841"/>
      <c r="P121" s="841"/>
      <c r="Q121" s="211"/>
      <c r="R121" s="309"/>
    </row>
    <row r="122" spans="1:18" x14ac:dyDescent="0.2">
      <c r="N122" s="842"/>
      <c r="O122" s="842"/>
      <c r="P122" s="842"/>
    </row>
    <row r="123" spans="1:18" x14ac:dyDescent="0.2">
      <c r="G123" s="298" t="s">
        <v>41</v>
      </c>
      <c r="N123" s="842"/>
      <c r="O123" s="842"/>
      <c r="P123" s="842"/>
    </row>
    <row r="124" spans="1:18" x14ac:dyDescent="0.2">
      <c r="G124" s="298" t="s">
        <v>166</v>
      </c>
      <c r="N124" s="842"/>
      <c r="O124" s="842"/>
      <c r="P124" s="842"/>
    </row>
    <row r="125" spans="1:18" ht="69.75" customHeight="1" x14ac:dyDescent="0.2">
      <c r="B125" s="1257" t="s">
        <v>243</v>
      </c>
      <c r="C125" s="1258"/>
      <c r="D125" s="1258"/>
      <c r="E125" s="1259"/>
      <c r="F125" s="282"/>
      <c r="G125" s="166">
        <v>2015</v>
      </c>
      <c r="H125" s="166">
        <f>+G125+1</f>
        <v>2016</v>
      </c>
      <c r="I125" s="166">
        <f>+H125+1</f>
        <v>2017</v>
      </c>
      <c r="J125" s="166">
        <f>+I125+1</f>
        <v>2018</v>
      </c>
      <c r="K125" s="166">
        <f>+J125+1</f>
        <v>2019</v>
      </c>
      <c r="L125" s="166">
        <f t="shared" ref="L125:O125" si="13">+K125+1</f>
        <v>2020</v>
      </c>
      <c r="M125" s="166">
        <f t="shared" si="13"/>
        <v>2021</v>
      </c>
      <c r="N125" s="837">
        <f t="shared" si="13"/>
        <v>2022</v>
      </c>
      <c r="O125" s="837">
        <f t="shared" si="13"/>
        <v>2023</v>
      </c>
      <c r="P125" s="837">
        <v>2024</v>
      </c>
      <c r="R125" s="166" t="s">
        <v>20</v>
      </c>
    </row>
    <row r="126" spans="1:18" s="301" customFormat="1" ht="12" customHeight="1" x14ac:dyDescent="0.2">
      <c r="B126" s="320"/>
      <c r="C126" s="320"/>
      <c r="D126" s="320"/>
      <c r="E126" s="320"/>
      <c r="F126" s="321"/>
      <c r="G126" s="322"/>
      <c r="H126" s="323"/>
      <c r="I126" s="323"/>
      <c r="J126" s="324"/>
      <c r="K126" s="324"/>
      <c r="L126" s="324"/>
      <c r="M126" s="324"/>
      <c r="N126" s="844"/>
      <c r="O126" s="844"/>
      <c r="P126" s="844"/>
      <c r="Q126" s="305"/>
      <c r="R126" s="324"/>
    </row>
    <row r="127" spans="1:18" ht="36" customHeight="1" x14ac:dyDescent="0.2">
      <c r="B127" s="1282" t="s">
        <v>240</v>
      </c>
      <c r="C127" s="1283"/>
      <c r="D127" s="1283"/>
      <c r="E127" s="1284"/>
      <c r="F127" s="168"/>
      <c r="G127" s="992"/>
      <c r="H127" s="992"/>
      <c r="I127" s="992"/>
      <c r="J127" s="992"/>
      <c r="K127" s="992"/>
      <c r="L127" s="992"/>
      <c r="M127" s="992"/>
      <c r="N127" s="993"/>
      <c r="O127" s="993"/>
      <c r="P127" s="993"/>
      <c r="R127" s="992"/>
    </row>
    <row r="128" spans="1:18" ht="28.5" customHeight="1" x14ac:dyDescent="0.2">
      <c r="B128" s="1267" t="str">
        <f>"per 31/12/"&amp;$G$13</f>
        <v>per 31/12/2015</v>
      </c>
      <c r="C128" s="1268"/>
      <c r="D128" s="1268"/>
      <c r="E128" s="1269"/>
      <c r="F128" s="168"/>
      <c r="G128" s="255">
        <f>+G$15+G31</f>
        <v>0</v>
      </c>
      <c r="H128" s="255"/>
      <c r="I128" s="255"/>
      <c r="J128" s="255"/>
      <c r="K128" s="255"/>
      <c r="L128" s="255"/>
      <c r="M128" s="255"/>
      <c r="N128" s="565"/>
      <c r="O128" s="565"/>
      <c r="P128" s="565"/>
      <c r="R128" s="991">
        <f t="shared" ref="R128:R137" si="14">SUM(G128:P128)</f>
        <v>0</v>
      </c>
    </row>
    <row r="129" spans="2:18" ht="28.5" customHeight="1" x14ac:dyDescent="0.2">
      <c r="B129" s="1267" t="str">
        <f>"per 31/12/"&amp;$H$13</f>
        <v>per 31/12/2016</v>
      </c>
      <c r="C129" s="1268"/>
      <c r="D129" s="1268"/>
      <c r="E129" s="1269"/>
      <c r="F129" s="168"/>
      <c r="G129" s="255">
        <f t="shared" ref="G129:G135" si="15">+G128+G32</f>
        <v>0</v>
      </c>
      <c r="H129" s="255">
        <f>+$H$15+H32</f>
        <v>0</v>
      </c>
      <c r="I129" s="255"/>
      <c r="J129" s="255"/>
      <c r="K129" s="255"/>
      <c r="L129" s="255"/>
      <c r="M129" s="255"/>
      <c r="N129" s="565"/>
      <c r="O129" s="565"/>
      <c r="P129" s="565"/>
      <c r="R129" s="991">
        <f t="shared" si="14"/>
        <v>0</v>
      </c>
    </row>
    <row r="130" spans="2:18" ht="28.5" customHeight="1" x14ac:dyDescent="0.2">
      <c r="B130" s="1267" t="str">
        <f>"per 31/12/"&amp;$I$13</f>
        <v>per 31/12/2017</v>
      </c>
      <c r="C130" s="1268"/>
      <c r="D130" s="1268"/>
      <c r="E130" s="1269"/>
      <c r="F130" s="168"/>
      <c r="G130" s="255">
        <f t="shared" si="15"/>
        <v>0</v>
      </c>
      <c r="H130" s="255">
        <f t="shared" ref="H130:H135" si="16">+H129+H33</f>
        <v>0</v>
      </c>
      <c r="I130" s="255">
        <f>+$I$15+I33</f>
        <v>0</v>
      </c>
      <c r="J130" s="255"/>
      <c r="K130" s="255"/>
      <c r="L130" s="255"/>
      <c r="M130" s="255"/>
      <c r="N130" s="565"/>
      <c r="O130" s="565"/>
      <c r="P130" s="565"/>
      <c r="R130" s="991">
        <f t="shared" si="14"/>
        <v>0</v>
      </c>
    </row>
    <row r="131" spans="2:18" ht="28.5" customHeight="1" x14ac:dyDescent="0.2">
      <c r="B131" s="1267" t="str">
        <f>"per 31/12/"&amp;$J$13</f>
        <v>per 31/12/2018</v>
      </c>
      <c r="C131" s="1268"/>
      <c r="D131" s="1268"/>
      <c r="E131" s="1269"/>
      <c r="F131" s="168"/>
      <c r="G131" s="255">
        <f t="shared" si="15"/>
        <v>0</v>
      </c>
      <c r="H131" s="255">
        <f t="shared" si="16"/>
        <v>0</v>
      </c>
      <c r="I131" s="255">
        <f>+I130+I34</f>
        <v>0</v>
      </c>
      <c r="J131" s="255">
        <f>+$J$15+J34</f>
        <v>0</v>
      </c>
      <c r="K131" s="255"/>
      <c r="L131" s="255"/>
      <c r="M131" s="255"/>
      <c r="N131" s="565"/>
      <c r="O131" s="565"/>
      <c r="P131" s="565"/>
      <c r="R131" s="991">
        <f t="shared" si="14"/>
        <v>0</v>
      </c>
    </row>
    <row r="132" spans="2:18" ht="28.5" customHeight="1" x14ac:dyDescent="0.2">
      <c r="B132" s="1267" t="str">
        <f>"per 31/12/"&amp;$K$13</f>
        <v>per 31/12/2019</v>
      </c>
      <c r="C132" s="1268"/>
      <c r="D132" s="1268"/>
      <c r="E132" s="1269"/>
      <c r="F132" s="168"/>
      <c r="G132" s="255">
        <f t="shared" si="15"/>
        <v>0</v>
      </c>
      <c r="H132" s="255">
        <f t="shared" si="16"/>
        <v>0</v>
      </c>
      <c r="I132" s="255">
        <f>+I131+I35</f>
        <v>0</v>
      </c>
      <c r="J132" s="255">
        <f>+J131+J35</f>
        <v>0</v>
      </c>
      <c r="K132" s="255">
        <f>+$K$15+K35</f>
        <v>0</v>
      </c>
      <c r="L132" s="255"/>
      <c r="M132" s="255"/>
      <c r="N132" s="565"/>
      <c r="O132" s="565"/>
      <c r="P132" s="565"/>
      <c r="R132" s="991">
        <f t="shared" si="14"/>
        <v>0</v>
      </c>
    </row>
    <row r="133" spans="2:18" ht="28.5" customHeight="1" x14ac:dyDescent="0.2">
      <c r="B133" s="1267" t="str">
        <f>"per 31/12/"&amp;$L$13</f>
        <v>per 31/12/2020</v>
      </c>
      <c r="C133" s="1268"/>
      <c r="D133" s="1268"/>
      <c r="E133" s="1269"/>
      <c r="F133" s="168"/>
      <c r="G133" s="255">
        <f t="shared" si="15"/>
        <v>0</v>
      </c>
      <c r="H133" s="255">
        <f t="shared" si="16"/>
        <v>0</v>
      </c>
      <c r="I133" s="255">
        <f>+I132+I36</f>
        <v>0</v>
      </c>
      <c r="J133" s="255">
        <f>+J132+J36</f>
        <v>0</v>
      </c>
      <c r="K133" s="255">
        <f>+K132+K36</f>
        <v>0</v>
      </c>
      <c r="L133" s="255">
        <f>+L$15+L36</f>
        <v>0</v>
      </c>
      <c r="M133" s="255"/>
      <c r="N133" s="565"/>
      <c r="O133" s="565"/>
      <c r="P133" s="565"/>
      <c r="R133" s="991">
        <f t="shared" si="14"/>
        <v>0</v>
      </c>
    </row>
    <row r="134" spans="2:18" ht="28.5" customHeight="1" x14ac:dyDescent="0.2">
      <c r="B134" s="1267" t="str">
        <f>"per 31/12/"&amp;$M$13</f>
        <v>per 31/12/2021</v>
      </c>
      <c r="C134" s="1268"/>
      <c r="D134" s="1268"/>
      <c r="E134" s="1269"/>
      <c r="F134" s="168"/>
      <c r="G134" s="255">
        <f t="shared" si="15"/>
        <v>0</v>
      </c>
      <c r="H134" s="255">
        <f t="shared" si="16"/>
        <v>0</v>
      </c>
      <c r="I134" s="255">
        <f>+I133+I37</f>
        <v>0</v>
      </c>
      <c r="J134" s="255">
        <f>+J133+J37</f>
        <v>0</v>
      </c>
      <c r="K134" s="255">
        <f>+K133+K37</f>
        <v>0</v>
      </c>
      <c r="L134" s="255">
        <f>+L133+L37</f>
        <v>0</v>
      </c>
      <c r="M134" s="255">
        <f>+M$15+M37</f>
        <v>0</v>
      </c>
      <c r="N134" s="565"/>
      <c r="O134" s="565"/>
      <c r="P134" s="565"/>
      <c r="R134" s="991">
        <f t="shared" si="14"/>
        <v>0</v>
      </c>
    </row>
    <row r="135" spans="2:18" ht="28.5" customHeight="1" x14ac:dyDescent="0.2">
      <c r="B135" s="1270" t="str">
        <f>"per 31/12/"&amp;$N$13</f>
        <v>per 31/12/2022</v>
      </c>
      <c r="C135" s="1271"/>
      <c r="D135" s="1271"/>
      <c r="E135" s="1272"/>
      <c r="F135" s="314"/>
      <c r="G135" s="565">
        <f t="shared" si="15"/>
        <v>0</v>
      </c>
      <c r="H135" s="565">
        <f t="shared" si="16"/>
        <v>0</v>
      </c>
      <c r="I135" s="565">
        <f>+I134+I38</f>
        <v>0</v>
      </c>
      <c r="J135" s="565">
        <f>+J134+J38</f>
        <v>0</v>
      </c>
      <c r="K135" s="565">
        <f>+K134+K38</f>
        <v>0</v>
      </c>
      <c r="L135" s="565">
        <f>+L134+L38</f>
        <v>0</v>
      </c>
      <c r="M135" s="565">
        <f>+M134+M38</f>
        <v>0</v>
      </c>
      <c r="N135" s="565">
        <f>+N$15+N38</f>
        <v>0</v>
      </c>
      <c r="O135" s="565"/>
      <c r="P135" s="565"/>
      <c r="Q135" s="845"/>
      <c r="R135" s="994">
        <f t="shared" si="14"/>
        <v>0</v>
      </c>
    </row>
    <row r="136" spans="2:18" ht="28.5" customHeight="1" x14ac:dyDescent="0.2">
      <c r="B136" s="1270" t="str">
        <f>"per 31/12/"&amp;$O$13</f>
        <v>per 31/12/2023</v>
      </c>
      <c r="C136" s="1271"/>
      <c r="D136" s="1271"/>
      <c r="E136" s="1272"/>
      <c r="F136" s="314"/>
      <c r="G136" s="565"/>
      <c r="H136" s="565"/>
      <c r="I136" s="565"/>
      <c r="J136" s="565"/>
      <c r="K136" s="565"/>
      <c r="L136" s="565">
        <f>+L135+L39</f>
        <v>0</v>
      </c>
      <c r="M136" s="565">
        <f>+M135+M39</f>
        <v>0</v>
      </c>
      <c r="N136" s="565">
        <f>+N135+N39</f>
        <v>0</v>
      </c>
      <c r="O136" s="565">
        <f>+O$15+O39</f>
        <v>0</v>
      </c>
      <c r="P136" s="565"/>
      <c r="Q136" s="845"/>
      <c r="R136" s="994">
        <f t="shared" si="14"/>
        <v>0</v>
      </c>
    </row>
    <row r="137" spans="2:18" ht="28.5" customHeight="1" x14ac:dyDescent="0.2">
      <c r="B137" s="1270" t="str">
        <f>"per 31/12/"&amp;$P$13</f>
        <v>per 31/12/2024</v>
      </c>
      <c r="C137" s="1271"/>
      <c r="D137" s="1271"/>
      <c r="E137" s="1272"/>
      <c r="F137" s="314"/>
      <c r="G137" s="565"/>
      <c r="H137" s="565"/>
      <c r="I137" s="565"/>
      <c r="J137" s="565"/>
      <c r="K137" s="565"/>
      <c r="L137" s="565"/>
      <c r="M137" s="565">
        <f>+M136+M40</f>
        <v>0</v>
      </c>
      <c r="N137" s="565">
        <f>+N136+N40</f>
        <v>0</v>
      </c>
      <c r="O137" s="565">
        <f>+O136+O40</f>
        <v>0</v>
      </c>
      <c r="P137" s="565">
        <f>+P$15+P40</f>
        <v>0</v>
      </c>
      <c r="Q137" s="845"/>
      <c r="R137" s="994">
        <f t="shared" si="14"/>
        <v>0</v>
      </c>
    </row>
    <row r="138" spans="2:18" ht="27.75" customHeight="1" x14ac:dyDescent="0.2">
      <c r="B138" s="1282" t="s">
        <v>66</v>
      </c>
      <c r="C138" s="1283"/>
      <c r="D138" s="1283"/>
      <c r="E138" s="1284"/>
      <c r="F138" s="168"/>
      <c r="G138" s="992"/>
      <c r="H138" s="992"/>
      <c r="I138" s="992"/>
      <c r="J138" s="992"/>
      <c r="K138" s="992"/>
      <c r="L138" s="992"/>
      <c r="M138" s="992"/>
      <c r="N138" s="993"/>
      <c r="O138" s="993"/>
      <c r="P138" s="993"/>
      <c r="R138" s="992"/>
    </row>
    <row r="139" spans="2:18" ht="28.5" customHeight="1" x14ac:dyDescent="0.2">
      <c r="B139" s="1267" t="str">
        <f>"per 31/12/"&amp;$G$13</f>
        <v>per 31/12/2015</v>
      </c>
      <c r="C139" s="1268"/>
      <c r="D139" s="1268"/>
      <c r="E139" s="1269"/>
      <c r="F139" s="168"/>
      <c r="G139" s="255">
        <f>+G$16+G42</f>
        <v>0</v>
      </c>
      <c r="H139" s="255"/>
      <c r="I139" s="255"/>
      <c r="J139" s="255"/>
      <c r="K139" s="255"/>
      <c r="L139" s="255"/>
      <c r="M139" s="255"/>
      <c r="N139" s="565"/>
      <c r="O139" s="565"/>
      <c r="P139" s="565"/>
      <c r="R139" s="991">
        <f t="shared" ref="R139:R148" si="17">SUM(G139:P139)</f>
        <v>0</v>
      </c>
    </row>
    <row r="140" spans="2:18" ht="28.5" customHeight="1" x14ac:dyDescent="0.2">
      <c r="B140" s="1267" t="str">
        <f>"per 31/12/"&amp;$H$13</f>
        <v>per 31/12/2016</v>
      </c>
      <c r="C140" s="1268"/>
      <c r="D140" s="1268"/>
      <c r="E140" s="1269"/>
      <c r="F140" s="168"/>
      <c r="G140" s="255">
        <f t="shared" ref="G140:G146" si="18">+G139+G43</f>
        <v>0</v>
      </c>
      <c r="H140" s="255">
        <f>+H$16+H43</f>
        <v>0</v>
      </c>
      <c r="I140" s="255"/>
      <c r="J140" s="255"/>
      <c r="K140" s="255"/>
      <c r="L140" s="255"/>
      <c r="M140" s="255"/>
      <c r="N140" s="565"/>
      <c r="O140" s="565"/>
      <c r="P140" s="565"/>
      <c r="R140" s="991">
        <f t="shared" si="17"/>
        <v>0</v>
      </c>
    </row>
    <row r="141" spans="2:18" ht="28.5" customHeight="1" x14ac:dyDescent="0.2">
      <c r="B141" s="1267" t="str">
        <f>"per 31/12/"&amp;$I$13</f>
        <v>per 31/12/2017</v>
      </c>
      <c r="C141" s="1268"/>
      <c r="D141" s="1268"/>
      <c r="E141" s="1269"/>
      <c r="F141" s="168"/>
      <c r="G141" s="255">
        <f t="shared" si="18"/>
        <v>0</v>
      </c>
      <c r="H141" s="255">
        <f t="shared" ref="H141:H146" si="19">+H140+H44</f>
        <v>0</v>
      </c>
      <c r="I141" s="255">
        <f>+I$16+I44</f>
        <v>0</v>
      </c>
      <c r="J141" s="255"/>
      <c r="K141" s="255"/>
      <c r="L141" s="255"/>
      <c r="M141" s="255"/>
      <c r="N141" s="565"/>
      <c r="O141" s="565"/>
      <c r="P141" s="565"/>
      <c r="R141" s="991">
        <f t="shared" si="17"/>
        <v>0</v>
      </c>
    </row>
    <row r="142" spans="2:18" ht="28.5" customHeight="1" x14ac:dyDescent="0.2">
      <c r="B142" s="1267" t="str">
        <f>"per 31/12/"&amp;$J$13</f>
        <v>per 31/12/2018</v>
      </c>
      <c r="C142" s="1268"/>
      <c r="D142" s="1268"/>
      <c r="E142" s="1269"/>
      <c r="F142" s="168"/>
      <c r="G142" s="255">
        <f t="shared" si="18"/>
        <v>0</v>
      </c>
      <c r="H142" s="255">
        <f t="shared" si="19"/>
        <v>0</v>
      </c>
      <c r="I142" s="255">
        <f>+I141+I45</f>
        <v>0</v>
      </c>
      <c r="J142" s="255">
        <f>+J$16+J45</f>
        <v>0</v>
      </c>
      <c r="K142" s="255"/>
      <c r="L142" s="255"/>
      <c r="M142" s="255"/>
      <c r="N142" s="565"/>
      <c r="O142" s="565"/>
      <c r="P142" s="565"/>
      <c r="R142" s="991">
        <f t="shared" si="17"/>
        <v>0</v>
      </c>
    </row>
    <row r="143" spans="2:18" ht="28.5" customHeight="1" x14ac:dyDescent="0.2">
      <c r="B143" s="1267" t="str">
        <f>"per 31/12/"&amp;$K$13</f>
        <v>per 31/12/2019</v>
      </c>
      <c r="C143" s="1268"/>
      <c r="D143" s="1268"/>
      <c r="E143" s="1269"/>
      <c r="F143" s="168"/>
      <c r="G143" s="255">
        <f t="shared" si="18"/>
        <v>0</v>
      </c>
      <c r="H143" s="255">
        <f t="shared" si="19"/>
        <v>0</v>
      </c>
      <c r="I143" s="255">
        <f>+I142+I46</f>
        <v>0</v>
      </c>
      <c r="J143" s="255">
        <f>+J142+J46</f>
        <v>0</v>
      </c>
      <c r="K143" s="255">
        <f>+K$16+K46</f>
        <v>0</v>
      </c>
      <c r="L143" s="255"/>
      <c r="M143" s="255"/>
      <c r="N143" s="565"/>
      <c r="O143" s="565"/>
      <c r="P143" s="565"/>
      <c r="R143" s="991">
        <f t="shared" si="17"/>
        <v>0</v>
      </c>
    </row>
    <row r="144" spans="2:18" ht="28.5" customHeight="1" x14ac:dyDescent="0.2">
      <c r="B144" s="1267" t="str">
        <f>"per 31/12/"&amp;$L$13</f>
        <v>per 31/12/2020</v>
      </c>
      <c r="C144" s="1268"/>
      <c r="D144" s="1268"/>
      <c r="E144" s="1269"/>
      <c r="F144" s="168"/>
      <c r="G144" s="255">
        <f t="shared" si="18"/>
        <v>0</v>
      </c>
      <c r="H144" s="255">
        <f t="shared" si="19"/>
        <v>0</v>
      </c>
      <c r="I144" s="255">
        <f>+I143+I47</f>
        <v>0</v>
      </c>
      <c r="J144" s="255">
        <f>+J143+J47</f>
        <v>0</v>
      </c>
      <c r="K144" s="255">
        <f>+K143+K47</f>
        <v>0</v>
      </c>
      <c r="L144" s="255">
        <f>+L$16+L47</f>
        <v>0</v>
      </c>
      <c r="M144" s="255"/>
      <c r="N144" s="565"/>
      <c r="O144" s="565"/>
      <c r="P144" s="565"/>
      <c r="R144" s="991">
        <f t="shared" si="17"/>
        <v>0</v>
      </c>
    </row>
    <row r="145" spans="2:18" ht="28.5" customHeight="1" x14ac:dyDescent="0.2">
      <c r="B145" s="1267" t="str">
        <f>"per 31/12/"&amp;$M$13</f>
        <v>per 31/12/2021</v>
      </c>
      <c r="C145" s="1268"/>
      <c r="D145" s="1268"/>
      <c r="E145" s="1269"/>
      <c r="F145" s="168"/>
      <c r="G145" s="255">
        <f t="shared" si="18"/>
        <v>0</v>
      </c>
      <c r="H145" s="255">
        <f t="shared" si="19"/>
        <v>0</v>
      </c>
      <c r="I145" s="255">
        <f>+I144+I48</f>
        <v>0</v>
      </c>
      <c r="J145" s="255">
        <f>+J144+J48</f>
        <v>0</v>
      </c>
      <c r="K145" s="255">
        <f>+K144+K48</f>
        <v>0</v>
      </c>
      <c r="L145" s="255">
        <f>+L144+L48</f>
        <v>0</v>
      </c>
      <c r="M145" s="255">
        <f>+M$16+M48</f>
        <v>0</v>
      </c>
      <c r="N145" s="565"/>
      <c r="O145" s="565"/>
      <c r="P145" s="565"/>
      <c r="R145" s="991">
        <f t="shared" si="17"/>
        <v>0</v>
      </c>
    </row>
    <row r="146" spans="2:18" ht="28.5" customHeight="1" x14ac:dyDescent="0.2">
      <c r="B146" s="1270" t="str">
        <f>"per 31/12/"&amp;$N$13</f>
        <v>per 31/12/2022</v>
      </c>
      <c r="C146" s="1271"/>
      <c r="D146" s="1271"/>
      <c r="E146" s="1272"/>
      <c r="F146" s="314"/>
      <c r="G146" s="565">
        <f t="shared" si="18"/>
        <v>0</v>
      </c>
      <c r="H146" s="565">
        <f t="shared" si="19"/>
        <v>0</v>
      </c>
      <c r="I146" s="565">
        <f>+I145+I49</f>
        <v>0</v>
      </c>
      <c r="J146" s="565">
        <f>+J145+J49</f>
        <v>0</v>
      </c>
      <c r="K146" s="565">
        <f>+K145+K49</f>
        <v>0</v>
      </c>
      <c r="L146" s="565">
        <f>+L145+L49</f>
        <v>0</v>
      </c>
      <c r="M146" s="565">
        <f>+M145+M49</f>
        <v>0</v>
      </c>
      <c r="N146" s="565">
        <f>+N$16+N49</f>
        <v>0</v>
      </c>
      <c r="O146" s="565"/>
      <c r="P146" s="565"/>
      <c r="Q146" s="845"/>
      <c r="R146" s="994">
        <f t="shared" si="17"/>
        <v>0</v>
      </c>
    </row>
    <row r="147" spans="2:18" ht="28.5" customHeight="1" x14ac:dyDescent="0.2">
      <c r="B147" s="1270" t="str">
        <f>"per 31/12/"&amp;$O$13</f>
        <v>per 31/12/2023</v>
      </c>
      <c r="C147" s="1271"/>
      <c r="D147" s="1271"/>
      <c r="E147" s="1272"/>
      <c r="F147" s="314"/>
      <c r="G147" s="565"/>
      <c r="H147" s="565"/>
      <c r="I147" s="565"/>
      <c r="J147" s="565"/>
      <c r="K147" s="565"/>
      <c r="L147" s="565">
        <f>+L146+L50</f>
        <v>0</v>
      </c>
      <c r="M147" s="565">
        <f>+M146+M50</f>
        <v>0</v>
      </c>
      <c r="N147" s="565">
        <f>+N146+N50</f>
        <v>0</v>
      </c>
      <c r="O147" s="565">
        <f>+O$16+O50</f>
        <v>0</v>
      </c>
      <c r="P147" s="565"/>
      <c r="Q147" s="845"/>
      <c r="R147" s="994">
        <f t="shared" si="17"/>
        <v>0</v>
      </c>
    </row>
    <row r="148" spans="2:18" ht="28.5" customHeight="1" x14ac:dyDescent="0.2">
      <c r="B148" s="1270" t="str">
        <f>"per 31/12/"&amp;$P$13</f>
        <v>per 31/12/2024</v>
      </c>
      <c r="C148" s="1271"/>
      <c r="D148" s="1271"/>
      <c r="E148" s="1272"/>
      <c r="F148" s="314"/>
      <c r="G148" s="565"/>
      <c r="H148" s="565"/>
      <c r="I148" s="565"/>
      <c r="J148" s="565"/>
      <c r="K148" s="565"/>
      <c r="L148" s="565"/>
      <c r="M148" s="565">
        <f>+M147+M51</f>
        <v>0</v>
      </c>
      <c r="N148" s="565">
        <f>+N147+N51</f>
        <v>0</v>
      </c>
      <c r="O148" s="565">
        <f>+O147+O51</f>
        <v>0</v>
      </c>
      <c r="P148" s="565">
        <f>+P$16+P51</f>
        <v>0</v>
      </c>
      <c r="Q148" s="845"/>
      <c r="R148" s="994">
        <f t="shared" si="17"/>
        <v>0</v>
      </c>
    </row>
    <row r="149" spans="2:18" ht="30" customHeight="1" x14ac:dyDescent="0.2">
      <c r="B149" s="1282" t="s">
        <v>205</v>
      </c>
      <c r="C149" s="1283"/>
      <c r="D149" s="1283"/>
      <c r="E149" s="1284"/>
      <c r="F149" s="168"/>
      <c r="G149" s="992"/>
      <c r="H149" s="992"/>
      <c r="I149" s="992"/>
      <c r="J149" s="992"/>
      <c r="K149" s="992"/>
      <c r="L149" s="992"/>
      <c r="M149" s="992"/>
      <c r="N149" s="993"/>
      <c r="O149" s="993"/>
      <c r="P149" s="993"/>
      <c r="R149" s="992"/>
    </row>
    <row r="150" spans="2:18" ht="28.5" customHeight="1" x14ac:dyDescent="0.2">
      <c r="B150" s="1267" t="str">
        <f>"per 31/12/"&amp;$G$13</f>
        <v>per 31/12/2015</v>
      </c>
      <c r="C150" s="1268"/>
      <c r="D150" s="1268"/>
      <c r="E150" s="1269"/>
      <c r="F150" s="168"/>
      <c r="G150" s="255">
        <f>+G$17+G53</f>
        <v>0</v>
      </c>
      <c r="H150" s="255"/>
      <c r="I150" s="255"/>
      <c r="J150" s="255"/>
      <c r="K150" s="255"/>
      <c r="L150" s="255"/>
      <c r="M150" s="255"/>
      <c r="N150" s="565"/>
      <c r="O150" s="565"/>
      <c r="P150" s="565"/>
      <c r="R150" s="991">
        <f t="shared" ref="R150:R158" si="20">SUM(G150:P150)</f>
        <v>0</v>
      </c>
    </row>
    <row r="151" spans="2:18" ht="28.5" customHeight="1" x14ac:dyDescent="0.2">
      <c r="B151" s="1267" t="str">
        <f>"per 31/12/"&amp;$H$13</f>
        <v>per 31/12/2016</v>
      </c>
      <c r="C151" s="1268"/>
      <c r="D151" s="1268"/>
      <c r="E151" s="1269"/>
      <c r="F151" s="168"/>
      <c r="G151" s="255">
        <f t="shared" ref="G151:G157" si="21">+G150+G54</f>
        <v>0</v>
      </c>
      <c r="H151" s="255">
        <f>+H$17+H54</f>
        <v>0</v>
      </c>
      <c r="I151" s="255"/>
      <c r="J151" s="255"/>
      <c r="K151" s="255"/>
      <c r="L151" s="255"/>
      <c r="M151" s="255"/>
      <c r="N151" s="565"/>
      <c r="O151" s="565"/>
      <c r="P151" s="565"/>
      <c r="R151" s="991">
        <f t="shared" si="20"/>
        <v>0</v>
      </c>
    </row>
    <row r="152" spans="2:18" ht="28.5" customHeight="1" x14ac:dyDescent="0.2">
      <c r="B152" s="1267" t="str">
        <f>"per 31/12/"&amp;$I$13</f>
        <v>per 31/12/2017</v>
      </c>
      <c r="C152" s="1268"/>
      <c r="D152" s="1268"/>
      <c r="E152" s="1269"/>
      <c r="F152" s="168"/>
      <c r="G152" s="255">
        <f t="shared" si="21"/>
        <v>0</v>
      </c>
      <c r="H152" s="255">
        <f t="shared" ref="H152:H157" si="22">+H151+H55</f>
        <v>0</v>
      </c>
      <c r="I152" s="255">
        <f>+I$17+I55</f>
        <v>0</v>
      </c>
      <c r="J152" s="255"/>
      <c r="K152" s="255"/>
      <c r="L152" s="255"/>
      <c r="M152" s="255"/>
      <c r="N152" s="565"/>
      <c r="O152" s="565"/>
      <c r="P152" s="565"/>
      <c r="R152" s="991">
        <f t="shared" si="20"/>
        <v>0</v>
      </c>
    </row>
    <row r="153" spans="2:18" ht="28.5" customHeight="1" x14ac:dyDescent="0.2">
      <c r="B153" s="1267" t="str">
        <f>"per 31/12/"&amp;$J$13</f>
        <v>per 31/12/2018</v>
      </c>
      <c r="C153" s="1268"/>
      <c r="D153" s="1268"/>
      <c r="E153" s="1269"/>
      <c r="F153" s="168"/>
      <c r="G153" s="255">
        <f t="shared" si="21"/>
        <v>0</v>
      </c>
      <c r="H153" s="255">
        <f t="shared" si="22"/>
        <v>0</v>
      </c>
      <c r="I153" s="255">
        <f>+I152+I56</f>
        <v>0</v>
      </c>
      <c r="J153" s="255">
        <f>+J$17+J56</f>
        <v>0</v>
      </c>
      <c r="K153" s="255"/>
      <c r="L153" s="255"/>
      <c r="M153" s="255"/>
      <c r="N153" s="565"/>
      <c r="O153" s="565"/>
      <c r="P153" s="565"/>
      <c r="R153" s="991">
        <f t="shared" si="20"/>
        <v>0</v>
      </c>
    </row>
    <row r="154" spans="2:18" ht="28.5" customHeight="1" x14ac:dyDescent="0.2">
      <c r="B154" s="1267" t="str">
        <f>"per 31/12/"&amp;$K$13</f>
        <v>per 31/12/2019</v>
      </c>
      <c r="C154" s="1268"/>
      <c r="D154" s="1268"/>
      <c r="E154" s="1269"/>
      <c r="F154" s="168"/>
      <c r="G154" s="255">
        <f t="shared" si="21"/>
        <v>0</v>
      </c>
      <c r="H154" s="255">
        <f t="shared" si="22"/>
        <v>0</v>
      </c>
      <c r="I154" s="255">
        <f>+I153+I57</f>
        <v>0</v>
      </c>
      <c r="J154" s="255">
        <f>+J153+J57</f>
        <v>0</v>
      </c>
      <c r="K154" s="255">
        <f>+K$17+K57</f>
        <v>0</v>
      </c>
      <c r="L154" s="255"/>
      <c r="M154" s="255"/>
      <c r="N154" s="565"/>
      <c r="O154" s="565"/>
      <c r="P154" s="565"/>
      <c r="R154" s="991">
        <f t="shared" si="20"/>
        <v>0</v>
      </c>
    </row>
    <row r="155" spans="2:18" ht="28.5" customHeight="1" x14ac:dyDescent="0.2">
      <c r="B155" s="1267" t="str">
        <f>"per 31/12/"&amp;$L$13</f>
        <v>per 31/12/2020</v>
      </c>
      <c r="C155" s="1268"/>
      <c r="D155" s="1268"/>
      <c r="E155" s="1269"/>
      <c r="F155" s="168"/>
      <c r="G155" s="255">
        <f t="shared" si="21"/>
        <v>0</v>
      </c>
      <c r="H155" s="255">
        <f t="shared" si="22"/>
        <v>0</v>
      </c>
      <c r="I155" s="255">
        <f>+I154+I58</f>
        <v>0</v>
      </c>
      <c r="J155" s="255">
        <f>+J154+J58</f>
        <v>0</v>
      </c>
      <c r="K155" s="255">
        <f>+K154+K58</f>
        <v>0</v>
      </c>
      <c r="L155" s="255">
        <f>+L$17+L58</f>
        <v>0</v>
      </c>
      <c r="M155" s="255"/>
      <c r="N155" s="565"/>
      <c r="O155" s="565"/>
      <c r="P155" s="565"/>
      <c r="R155" s="991">
        <f t="shared" si="20"/>
        <v>0</v>
      </c>
    </row>
    <row r="156" spans="2:18" ht="28.5" customHeight="1" x14ac:dyDescent="0.2">
      <c r="B156" s="1267" t="str">
        <f>"per 31/12/"&amp;$M$13</f>
        <v>per 31/12/2021</v>
      </c>
      <c r="C156" s="1268"/>
      <c r="D156" s="1268"/>
      <c r="E156" s="1269"/>
      <c r="F156" s="168"/>
      <c r="G156" s="255">
        <f t="shared" si="21"/>
        <v>0</v>
      </c>
      <c r="H156" s="255">
        <f t="shared" si="22"/>
        <v>0</v>
      </c>
      <c r="I156" s="255">
        <f>+I155+I59</f>
        <v>0</v>
      </c>
      <c r="J156" s="255">
        <f>+J155+J59</f>
        <v>0</v>
      </c>
      <c r="K156" s="255">
        <f>+K155+K59</f>
        <v>0</v>
      </c>
      <c r="L156" s="255">
        <f>+L155+L59</f>
        <v>0</v>
      </c>
      <c r="M156" s="565"/>
      <c r="N156" s="565"/>
      <c r="O156" s="565"/>
      <c r="P156" s="565"/>
      <c r="R156" s="991">
        <f t="shared" si="20"/>
        <v>0</v>
      </c>
    </row>
    <row r="157" spans="2:18" ht="28.5" customHeight="1" x14ac:dyDescent="0.2">
      <c r="B157" s="1270" t="str">
        <f>"per 31/12/"&amp;$N$13</f>
        <v>per 31/12/2022</v>
      </c>
      <c r="C157" s="1271"/>
      <c r="D157" s="1271"/>
      <c r="E157" s="1272"/>
      <c r="F157" s="314"/>
      <c r="G157" s="565">
        <f t="shared" si="21"/>
        <v>0</v>
      </c>
      <c r="H157" s="565">
        <f t="shared" si="22"/>
        <v>0</v>
      </c>
      <c r="I157" s="565">
        <f>+I156+I60</f>
        <v>0</v>
      </c>
      <c r="J157" s="565">
        <f>+J156+J60</f>
        <v>0</v>
      </c>
      <c r="K157" s="565">
        <f>+K156+K60</f>
        <v>0</v>
      </c>
      <c r="L157" s="565">
        <f>+L156+L60</f>
        <v>0</v>
      </c>
      <c r="M157" s="565"/>
      <c r="N157" s="565"/>
      <c r="O157" s="565"/>
      <c r="P157" s="565"/>
      <c r="Q157" s="845"/>
      <c r="R157" s="994">
        <f t="shared" si="20"/>
        <v>0</v>
      </c>
    </row>
    <row r="158" spans="2:18" ht="28.5" customHeight="1" x14ac:dyDescent="0.2">
      <c r="B158" s="1270" t="str">
        <f>"per 31/12/"&amp;$O$13</f>
        <v>per 31/12/2023</v>
      </c>
      <c r="C158" s="1271"/>
      <c r="D158" s="1271"/>
      <c r="E158" s="1272"/>
      <c r="F158" s="314"/>
      <c r="G158" s="565"/>
      <c r="H158" s="565"/>
      <c r="I158" s="565"/>
      <c r="J158" s="565"/>
      <c r="K158" s="565"/>
      <c r="L158" s="565">
        <f>+L157+L61</f>
        <v>0</v>
      </c>
      <c r="M158" s="565"/>
      <c r="N158" s="565"/>
      <c r="O158" s="565"/>
      <c r="P158" s="565"/>
      <c r="Q158" s="845"/>
      <c r="R158" s="994">
        <f t="shared" si="20"/>
        <v>0</v>
      </c>
    </row>
    <row r="159" spans="2:18" ht="28.5" customHeight="1" x14ac:dyDescent="0.2">
      <c r="B159" s="1270" t="str">
        <f>"per 31/12/"&amp;$P$13</f>
        <v>per 31/12/2024</v>
      </c>
      <c r="C159" s="1271"/>
      <c r="D159" s="1271"/>
      <c r="E159" s="1272"/>
      <c r="F159" s="314"/>
      <c r="G159" s="565"/>
      <c r="H159" s="565"/>
      <c r="I159" s="565"/>
      <c r="J159" s="565"/>
      <c r="K159" s="565"/>
      <c r="L159" s="565"/>
      <c r="M159" s="565"/>
      <c r="N159" s="565"/>
      <c r="O159" s="565"/>
      <c r="P159" s="565"/>
      <c r="Q159" s="845"/>
      <c r="R159" s="994"/>
    </row>
    <row r="160" spans="2:18" ht="30" customHeight="1" x14ac:dyDescent="0.2">
      <c r="B160" s="1282" t="s">
        <v>67</v>
      </c>
      <c r="C160" s="1283"/>
      <c r="D160" s="1283"/>
      <c r="E160" s="1284"/>
      <c r="F160" s="168"/>
      <c r="G160" s="992"/>
      <c r="H160" s="992"/>
      <c r="I160" s="992"/>
      <c r="J160" s="992"/>
      <c r="K160" s="992"/>
      <c r="L160" s="992"/>
      <c r="M160" s="992"/>
      <c r="N160" s="993"/>
      <c r="O160" s="993"/>
      <c r="P160" s="993"/>
      <c r="R160" s="992"/>
    </row>
    <row r="161" spans="2:18" ht="28.5" customHeight="1" x14ac:dyDescent="0.2">
      <c r="B161" s="1267" t="str">
        <f>"per 31/12/"&amp;$G$13</f>
        <v>per 31/12/2015</v>
      </c>
      <c r="C161" s="1268"/>
      <c r="D161" s="1268"/>
      <c r="E161" s="1269"/>
      <c r="F161" s="168"/>
      <c r="G161" s="255">
        <f>+G$18+G64</f>
        <v>0</v>
      </c>
      <c r="H161" s="255"/>
      <c r="I161" s="255"/>
      <c r="J161" s="255"/>
      <c r="K161" s="255"/>
      <c r="L161" s="255"/>
      <c r="M161" s="255"/>
      <c r="N161" s="565"/>
      <c r="O161" s="565"/>
      <c r="P161" s="565"/>
      <c r="R161" s="991">
        <f t="shared" ref="R161:R170" si="23">SUM(G161:P161)</f>
        <v>0</v>
      </c>
    </row>
    <row r="162" spans="2:18" ht="28.5" customHeight="1" x14ac:dyDescent="0.2">
      <c r="B162" s="1267" t="str">
        <f>"per 31/12/"&amp;$H$13</f>
        <v>per 31/12/2016</v>
      </c>
      <c r="C162" s="1268"/>
      <c r="D162" s="1268"/>
      <c r="E162" s="1269"/>
      <c r="F162" s="168"/>
      <c r="G162" s="255">
        <f t="shared" ref="G162:G168" si="24">+G161+G65</f>
        <v>0</v>
      </c>
      <c r="H162" s="255">
        <f>+H$18+H65</f>
        <v>0</v>
      </c>
      <c r="I162" s="255"/>
      <c r="J162" s="255"/>
      <c r="K162" s="255"/>
      <c r="L162" s="255"/>
      <c r="M162" s="255"/>
      <c r="N162" s="565"/>
      <c r="O162" s="565"/>
      <c r="P162" s="565"/>
      <c r="R162" s="991">
        <f t="shared" si="23"/>
        <v>0</v>
      </c>
    </row>
    <row r="163" spans="2:18" ht="28.5" customHeight="1" x14ac:dyDescent="0.2">
      <c r="B163" s="1267" t="str">
        <f>"per 31/12/"&amp;$I$13</f>
        <v>per 31/12/2017</v>
      </c>
      <c r="C163" s="1268"/>
      <c r="D163" s="1268"/>
      <c r="E163" s="1269"/>
      <c r="F163" s="168"/>
      <c r="G163" s="255">
        <f t="shared" si="24"/>
        <v>0</v>
      </c>
      <c r="H163" s="255">
        <f t="shared" ref="H163:H168" si="25">+H162+H66</f>
        <v>0</v>
      </c>
      <c r="I163" s="255">
        <f>+I$18+I66</f>
        <v>0</v>
      </c>
      <c r="J163" s="255"/>
      <c r="K163" s="255"/>
      <c r="L163" s="255"/>
      <c r="M163" s="255"/>
      <c r="N163" s="565"/>
      <c r="O163" s="565"/>
      <c r="P163" s="565"/>
      <c r="R163" s="991">
        <f t="shared" si="23"/>
        <v>0</v>
      </c>
    </row>
    <row r="164" spans="2:18" ht="28.5" customHeight="1" x14ac:dyDescent="0.2">
      <c r="B164" s="1267" t="str">
        <f>"per 31/12/"&amp;$J$13</f>
        <v>per 31/12/2018</v>
      </c>
      <c r="C164" s="1268"/>
      <c r="D164" s="1268"/>
      <c r="E164" s="1269"/>
      <c r="F164" s="168"/>
      <c r="G164" s="255">
        <f t="shared" si="24"/>
        <v>0</v>
      </c>
      <c r="H164" s="255">
        <f t="shared" si="25"/>
        <v>0</v>
      </c>
      <c r="I164" s="255">
        <f>+I163+I67</f>
        <v>0</v>
      </c>
      <c r="J164" s="255">
        <f>+J$18+J67</f>
        <v>0</v>
      </c>
      <c r="K164" s="255"/>
      <c r="L164" s="255"/>
      <c r="M164" s="255"/>
      <c r="N164" s="565"/>
      <c r="O164" s="565"/>
      <c r="P164" s="565"/>
      <c r="R164" s="991">
        <f t="shared" si="23"/>
        <v>0</v>
      </c>
    </row>
    <row r="165" spans="2:18" ht="28.5" customHeight="1" x14ac:dyDescent="0.2">
      <c r="B165" s="1267" t="str">
        <f>"per 31/12/"&amp;$K$13</f>
        <v>per 31/12/2019</v>
      </c>
      <c r="C165" s="1268"/>
      <c r="D165" s="1268"/>
      <c r="E165" s="1269"/>
      <c r="F165" s="168"/>
      <c r="G165" s="255">
        <f t="shared" si="24"/>
        <v>0</v>
      </c>
      <c r="H165" s="255">
        <f t="shared" si="25"/>
        <v>0</v>
      </c>
      <c r="I165" s="255">
        <f>+I164+I68</f>
        <v>0</v>
      </c>
      <c r="J165" s="255">
        <f>+J164+J68</f>
        <v>0</v>
      </c>
      <c r="K165" s="255">
        <f>+K$18+K68</f>
        <v>0</v>
      </c>
      <c r="L165" s="255"/>
      <c r="M165" s="255"/>
      <c r="N165" s="565"/>
      <c r="O165" s="565"/>
      <c r="P165" s="565"/>
      <c r="R165" s="991">
        <f t="shared" si="23"/>
        <v>0</v>
      </c>
    </row>
    <row r="166" spans="2:18" ht="28.5" customHeight="1" x14ac:dyDescent="0.2">
      <c r="B166" s="1267" t="str">
        <f>"per 31/12/"&amp;$L$13</f>
        <v>per 31/12/2020</v>
      </c>
      <c r="C166" s="1268"/>
      <c r="D166" s="1268"/>
      <c r="E166" s="1269"/>
      <c r="F166" s="168"/>
      <c r="G166" s="255">
        <f t="shared" si="24"/>
        <v>0</v>
      </c>
      <c r="H166" s="255">
        <f t="shared" si="25"/>
        <v>0</v>
      </c>
      <c r="I166" s="255">
        <f>+I165+I69</f>
        <v>0</v>
      </c>
      <c r="J166" s="255">
        <f>+J165+J69</f>
        <v>0</v>
      </c>
      <c r="K166" s="255">
        <f>+K165+K69</f>
        <v>0</v>
      </c>
      <c r="L166" s="255">
        <f>+L$18+L69</f>
        <v>0</v>
      </c>
      <c r="M166" s="255"/>
      <c r="N166" s="565"/>
      <c r="O166" s="565"/>
      <c r="P166" s="565"/>
      <c r="R166" s="991">
        <f t="shared" si="23"/>
        <v>0</v>
      </c>
    </row>
    <row r="167" spans="2:18" ht="28.5" customHeight="1" x14ac:dyDescent="0.2">
      <c r="B167" s="1267" t="str">
        <f>"per 31/12/"&amp;$M$13</f>
        <v>per 31/12/2021</v>
      </c>
      <c r="C167" s="1268"/>
      <c r="D167" s="1268"/>
      <c r="E167" s="1269"/>
      <c r="F167" s="168"/>
      <c r="G167" s="255">
        <f t="shared" si="24"/>
        <v>0</v>
      </c>
      <c r="H167" s="255">
        <f t="shared" si="25"/>
        <v>0</v>
      </c>
      <c r="I167" s="255">
        <f>+I166+I70</f>
        <v>0</v>
      </c>
      <c r="J167" s="255">
        <f>+J166+J70</f>
        <v>0</v>
      </c>
      <c r="K167" s="255">
        <f>+K166+K70</f>
        <v>0</v>
      </c>
      <c r="L167" s="255">
        <f>+L166+L70</f>
        <v>0</v>
      </c>
      <c r="M167" s="255">
        <f>+M$18+M70</f>
        <v>0</v>
      </c>
      <c r="N167" s="565"/>
      <c r="O167" s="565"/>
      <c r="P167" s="565"/>
      <c r="R167" s="991">
        <f t="shared" si="23"/>
        <v>0</v>
      </c>
    </row>
    <row r="168" spans="2:18" ht="28.5" customHeight="1" x14ac:dyDescent="0.2">
      <c r="B168" s="1270" t="str">
        <f>"per 31/12/"&amp;$N$13</f>
        <v>per 31/12/2022</v>
      </c>
      <c r="C168" s="1271"/>
      <c r="D168" s="1271"/>
      <c r="E168" s="1272"/>
      <c r="F168" s="314"/>
      <c r="G168" s="565">
        <f t="shared" si="24"/>
        <v>0</v>
      </c>
      <c r="H168" s="565">
        <f t="shared" si="25"/>
        <v>0</v>
      </c>
      <c r="I168" s="565">
        <f>+I167+I71</f>
        <v>0</v>
      </c>
      <c r="J168" s="565">
        <f>+J167+J71</f>
        <v>0</v>
      </c>
      <c r="K168" s="565">
        <f>+K167+K71</f>
        <v>0</v>
      </c>
      <c r="L168" s="565">
        <f>+L167+L71</f>
        <v>0</v>
      </c>
      <c r="M168" s="565">
        <f>+M167+M71</f>
        <v>0</v>
      </c>
      <c r="N168" s="565">
        <f>+N$18+N71</f>
        <v>0</v>
      </c>
      <c r="O168" s="565"/>
      <c r="P168" s="565"/>
      <c r="Q168" s="845"/>
      <c r="R168" s="994">
        <f t="shared" si="23"/>
        <v>0</v>
      </c>
    </row>
    <row r="169" spans="2:18" ht="28.5" customHeight="1" x14ac:dyDescent="0.2">
      <c r="B169" s="1270" t="str">
        <f>"per 31/12/"&amp;$O$13</f>
        <v>per 31/12/2023</v>
      </c>
      <c r="C169" s="1271"/>
      <c r="D169" s="1271"/>
      <c r="E169" s="1272"/>
      <c r="F169" s="314"/>
      <c r="G169" s="565"/>
      <c r="H169" s="565"/>
      <c r="I169" s="565"/>
      <c r="J169" s="565"/>
      <c r="K169" s="565"/>
      <c r="L169" s="565">
        <f>+L168+L72</f>
        <v>0</v>
      </c>
      <c r="M169" s="565">
        <f>+M168+M72</f>
        <v>0</v>
      </c>
      <c r="N169" s="565">
        <f>+N168+N72</f>
        <v>0</v>
      </c>
      <c r="O169" s="565">
        <f>+O$18+O72</f>
        <v>0</v>
      </c>
      <c r="P169" s="565"/>
      <c r="Q169" s="845"/>
      <c r="R169" s="994">
        <f t="shared" si="23"/>
        <v>0</v>
      </c>
    </row>
    <row r="170" spans="2:18" ht="28.5" customHeight="1" x14ac:dyDescent="0.2">
      <c r="B170" s="1270" t="str">
        <f>"per 31/12/"&amp;$P$13</f>
        <v>per 31/12/2024</v>
      </c>
      <c r="C170" s="1271"/>
      <c r="D170" s="1271"/>
      <c r="E170" s="1272"/>
      <c r="F170" s="314"/>
      <c r="G170" s="565"/>
      <c r="H170" s="565"/>
      <c r="I170" s="565"/>
      <c r="J170" s="565"/>
      <c r="K170" s="565"/>
      <c r="L170" s="565"/>
      <c r="M170" s="565">
        <f>+M169+M73</f>
        <v>0</v>
      </c>
      <c r="N170" s="565">
        <f>+N169+N73</f>
        <v>0</v>
      </c>
      <c r="O170" s="565">
        <f>+O169+O73</f>
        <v>0</v>
      </c>
      <c r="P170" s="565">
        <f>+P$18+P73</f>
        <v>0</v>
      </c>
      <c r="Q170" s="845"/>
      <c r="R170" s="994">
        <f t="shared" si="23"/>
        <v>0</v>
      </c>
    </row>
    <row r="171" spans="2:18" ht="27" customHeight="1" x14ac:dyDescent="0.2">
      <c r="B171" s="1285" t="s">
        <v>119</v>
      </c>
      <c r="C171" s="1285"/>
      <c r="D171" s="1285"/>
      <c r="E171" s="1285"/>
      <c r="F171" s="168"/>
      <c r="G171" s="992"/>
      <c r="H171" s="992"/>
      <c r="I171" s="992"/>
      <c r="J171" s="992"/>
      <c r="K171" s="992"/>
      <c r="L171" s="992"/>
      <c r="M171" s="992"/>
      <c r="N171" s="993"/>
      <c r="O171" s="993"/>
      <c r="P171" s="993"/>
      <c r="R171" s="992"/>
    </row>
    <row r="172" spans="2:18" ht="28.5" customHeight="1" x14ac:dyDescent="0.2">
      <c r="B172" s="1267" t="str">
        <f>"per 31/12/"&amp;$G$13</f>
        <v>per 31/12/2015</v>
      </c>
      <c r="C172" s="1268"/>
      <c r="D172" s="1268"/>
      <c r="E172" s="1269"/>
      <c r="F172" s="168"/>
      <c r="G172" s="255">
        <f>+G$19+G75</f>
        <v>0</v>
      </c>
      <c r="H172" s="255"/>
      <c r="I172" s="255"/>
      <c r="J172" s="255"/>
      <c r="K172" s="255"/>
      <c r="L172" s="255"/>
      <c r="M172" s="255"/>
      <c r="N172" s="565"/>
      <c r="O172" s="565"/>
      <c r="P172" s="565"/>
      <c r="R172" s="991">
        <f t="shared" ref="R172:R180" si="26">SUM(G172:P172)</f>
        <v>0</v>
      </c>
    </row>
    <row r="173" spans="2:18" ht="28.5" customHeight="1" x14ac:dyDescent="0.2">
      <c r="B173" s="1267" t="str">
        <f>"per 31/12/"&amp;$H$13</f>
        <v>per 31/12/2016</v>
      </c>
      <c r="C173" s="1268"/>
      <c r="D173" s="1268"/>
      <c r="E173" s="1269"/>
      <c r="F173" s="168"/>
      <c r="G173" s="255">
        <f t="shared" ref="G173:G179" si="27">+G172+G76</f>
        <v>0</v>
      </c>
      <c r="H173" s="255">
        <f>+H$19+H76</f>
        <v>0</v>
      </c>
      <c r="I173" s="255"/>
      <c r="J173" s="255"/>
      <c r="K173" s="255"/>
      <c r="L173" s="255"/>
      <c r="M173" s="255"/>
      <c r="N173" s="565"/>
      <c r="O173" s="565"/>
      <c r="P173" s="565"/>
      <c r="R173" s="991">
        <f t="shared" si="26"/>
        <v>0</v>
      </c>
    </row>
    <row r="174" spans="2:18" ht="28.5" customHeight="1" x14ac:dyDescent="0.2">
      <c r="B174" s="1267" t="str">
        <f>"per 31/12/"&amp;$I$13</f>
        <v>per 31/12/2017</v>
      </c>
      <c r="C174" s="1268"/>
      <c r="D174" s="1268"/>
      <c r="E174" s="1269"/>
      <c r="F174" s="168"/>
      <c r="G174" s="255">
        <f t="shared" si="27"/>
        <v>0</v>
      </c>
      <c r="H174" s="255">
        <f t="shared" ref="H174:H179" si="28">+H173+H77</f>
        <v>0</v>
      </c>
      <c r="I174" s="255">
        <f>+I$19+I77</f>
        <v>0</v>
      </c>
      <c r="J174" s="255"/>
      <c r="K174" s="255"/>
      <c r="L174" s="255"/>
      <c r="M174" s="255"/>
      <c r="N174" s="565"/>
      <c r="O174" s="565"/>
      <c r="P174" s="565"/>
      <c r="R174" s="991">
        <f t="shared" si="26"/>
        <v>0</v>
      </c>
    </row>
    <row r="175" spans="2:18" ht="28.5" customHeight="1" x14ac:dyDescent="0.2">
      <c r="B175" s="1267" t="str">
        <f>"per 31/12/"&amp;$J$13</f>
        <v>per 31/12/2018</v>
      </c>
      <c r="C175" s="1268"/>
      <c r="D175" s="1268"/>
      <c r="E175" s="1269"/>
      <c r="F175" s="168"/>
      <c r="G175" s="255">
        <f t="shared" si="27"/>
        <v>0</v>
      </c>
      <c r="H175" s="255">
        <f t="shared" si="28"/>
        <v>0</v>
      </c>
      <c r="I175" s="255">
        <f>+I174+I78</f>
        <v>0</v>
      </c>
      <c r="J175" s="255">
        <f>+J$19+J78</f>
        <v>0</v>
      </c>
      <c r="K175" s="255"/>
      <c r="L175" s="255"/>
      <c r="M175" s="255"/>
      <c r="N175" s="565"/>
      <c r="O175" s="565"/>
      <c r="P175" s="565"/>
      <c r="R175" s="991">
        <f t="shared" si="26"/>
        <v>0</v>
      </c>
    </row>
    <row r="176" spans="2:18" ht="28.5" customHeight="1" x14ac:dyDescent="0.2">
      <c r="B176" s="1267" t="str">
        <f>"per 31/12/"&amp;$K$13</f>
        <v>per 31/12/2019</v>
      </c>
      <c r="C176" s="1268"/>
      <c r="D176" s="1268"/>
      <c r="E176" s="1269"/>
      <c r="F176" s="168"/>
      <c r="G176" s="255">
        <f t="shared" si="27"/>
        <v>0</v>
      </c>
      <c r="H176" s="255">
        <f t="shared" si="28"/>
        <v>0</v>
      </c>
      <c r="I176" s="255">
        <f>+I175+I79</f>
        <v>0</v>
      </c>
      <c r="J176" s="255">
        <f>+J175+J79</f>
        <v>0</v>
      </c>
      <c r="K176" s="255">
        <f>+K$19+K79</f>
        <v>0</v>
      </c>
      <c r="L176" s="255"/>
      <c r="M176" s="255"/>
      <c r="N176" s="565"/>
      <c r="O176" s="565"/>
      <c r="P176" s="565"/>
      <c r="R176" s="991">
        <f t="shared" si="26"/>
        <v>0</v>
      </c>
    </row>
    <row r="177" spans="2:18" ht="28.5" customHeight="1" x14ac:dyDescent="0.2">
      <c r="B177" s="1267" t="str">
        <f>"per 31/12/"&amp;$L$13</f>
        <v>per 31/12/2020</v>
      </c>
      <c r="C177" s="1268"/>
      <c r="D177" s="1268"/>
      <c r="E177" s="1269"/>
      <c r="F177" s="168"/>
      <c r="G177" s="255">
        <f t="shared" si="27"/>
        <v>0</v>
      </c>
      <c r="H177" s="255">
        <f t="shared" si="28"/>
        <v>0</v>
      </c>
      <c r="I177" s="255">
        <f>+I176+I80</f>
        <v>0</v>
      </c>
      <c r="J177" s="255">
        <f>+J176+J80</f>
        <v>0</v>
      </c>
      <c r="K177" s="255">
        <f>+K176+K80</f>
        <v>0</v>
      </c>
      <c r="L177" s="255">
        <f>+L$19+L80</f>
        <v>0</v>
      </c>
      <c r="M177" s="255"/>
      <c r="N177" s="565"/>
      <c r="O177" s="565"/>
      <c r="P177" s="565"/>
      <c r="R177" s="991">
        <f t="shared" si="26"/>
        <v>0</v>
      </c>
    </row>
    <row r="178" spans="2:18" ht="28.5" customHeight="1" x14ac:dyDescent="0.2">
      <c r="B178" s="1267" t="str">
        <f>"per 31/12/"&amp;$M$13</f>
        <v>per 31/12/2021</v>
      </c>
      <c r="C178" s="1268"/>
      <c r="D178" s="1268"/>
      <c r="E178" s="1269"/>
      <c r="F178" s="168"/>
      <c r="G178" s="255">
        <f t="shared" si="27"/>
        <v>0</v>
      </c>
      <c r="H178" s="255">
        <f t="shared" si="28"/>
        <v>0</v>
      </c>
      <c r="I178" s="255">
        <f>+I177+I81</f>
        <v>0</v>
      </c>
      <c r="J178" s="255">
        <f>+J177+J81</f>
        <v>0</v>
      </c>
      <c r="K178" s="255">
        <f>+K177+K81</f>
        <v>0</v>
      </c>
      <c r="L178" s="255">
        <f>+L177+L81</f>
        <v>0</v>
      </c>
      <c r="M178" s="565"/>
      <c r="N178" s="565"/>
      <c r="O178" s="565"/>
      <c r="P178" s="565"/>
      <c r="R178" s="991">
        <f t="shared" si="26"/>
        <v>0</v>
      </c>
    </row>
    <row r="179" spans="2:18" ht="28.5" customHeight="1" x14ac:dyDescent="0.2">
      <c r="B179" s="1270" t="str">
        <f>"per 31/12/"&amp;$N$13</f>
        <v>per 31/12/2022</v>
      </c>
      <c r="C179" s="1271"/>
      <c r="D179" s="1271"/>
      <c r="E179" s="1272"/>
      <c r="F179" s="314"/>
      <c r="G179" s="565">
        <f t="shared" si="27"/>
        <v>0</v>
      </c>
      <c r="H179" s="565">
        <f t="shared" si="28"/>
        <v>0</v>
      </c>
      <c r="I179" s="565">
        <f>+I178+I82</f>
        <v>0</v>
      </c>
      <c r="J179" s="565">
        <f>+J178+J82</f>
        <v>0</v>
      </c>
      <c r="K179" s="565">
        <f>+K178+K82</f>
        <v>0</v>
      </c>
      <c r="L179" s="565">
        <f>+L178+L82</f>
        <v>0</v>
      </c>
      <c r="M179" s="565"/>
      <c r="N179" s="565"/>
      <c r="O179" s="565"/>
      <c r="P179" s="565"/>
      <c r="Q179" s="845"/>
      <c r="R179" s="994">
        <f t="shared" si="26"/>
        <v>0</v>
      </c>
    </row>
    <row r="180" spans="2:18" ht="28.5" customHeight="1" x14ac:dyDescent="0.2">
      <c r="B180" s="1270" t="str">
        <f>"per 31/12/"&amp;$O$13</f>
        <v>per 31/12/2023</v>
      </c>
      <c r="C180" s="1271"/>
      <c r="D180" s="1271"/>
      <c r="E180" s="1272"/>
      <c r="F180" s="314"/>
      <c r="G180" s="565"/>
      <c r="H180" s="565"/>
      <c r="I180" s="565"/>
      <c r="J180" s="565"/>
      <c r="K180" s="565"/>
      <c r="L180" s="565">
        <f>+L179+L83</f>
        <v>0</v>
      </c>
      <c r="M180" s="565"/>
      <c r="N180" s="565"/>
      <c r="O180" s="565"/>
      <c r="P180" s="565"/>
      <c r="Q180" s="845"/>
      <c r="R180" s="994">
        <f t="shared" si="26"/>
        <v>0</v>
      </c>
    </row>
    <row r="181" spans="2:18" ht="28.5" customHeight="1" x14ac:dyDescent="0.2">
      <c r="B181" s="1270" t="str">
        <f>"per 31/12/"&amp;$P$13</f>
        <v>per 31/12/2024</v>
      </c>
      <c r="C181" s="1271"/>
      <c r="D181" s="1271"/>
      <c r="E181" s="1272"/>
      <c r="F181" s="314"/>
      <c r="G181" s="565"/>
      <c r="H181" s="565"/>
      <c r="I181" s="565"/>
      <c r="J181" s="565"/>
      <c r="K181" s="565"/>
      <c r="L181" s="565"/>
      <c r="M181" s="565"/>
      <c r="N181" s="565"/>
      <c r="O181" s="565"/>
      <c r="P181" s="565"/>
      <c r="Q181" s="845"/>
      <c r="R181" s="994"/>
    </row>
    <row r="182" spans="2:18" ht="26.25" customHeight="1" x14ac:dyDescent="0.2">
      <c r="B182" s="1282" t="s">
        <v>118</v>
      </c>
      <c r="C182" s="1283"/>
      <c r="D182" s="1283"/>
      <c r="E182" s="1284"/>
      <c r="F182" s="168"/>
      <c r="G182" s="992"/>
      <c r="H182" s="992"/>
      <c r="I182" s="992"/>
      <c r="J182" s="992"/>
      <c r="K182" s="992"/>
      <c r="L182" s="992"/>
      <c r="M182" s="992"/>
      <c r="N182" s="993"/>
      <c r="O182" s="993"/>
      <c r="P182" s="993"/>
      <c r="R182" s="992"/>
    </row>
    <row r="183" spans="2:18" ht="28.5" customHeight="1" x14ac:dyDescent="0.2">
      <c r="B183" s="1267" t="str">
        <f>"per 31/12/"&amp;$G$13</f>
        <v>per 31/12/2015</v>
      </c>
      <c r="C183" s="1268"/>
      <c r="D183" s="1268"/>
      <c r="E183" s="1269"/>
      <c r="F183" s="168"/>
      <c r="G183" s="255">
        <f>+G$20+G86</f>
        <v>0</v>
      </c>
      <c r="H183" s="255"/>
      <c r="I183" s="255"/>
      <c r="J183" s="255"/>
      <c r="K183" s="255"/>
      <c r="L183" s="255"/>
      <c r="M183" s="255"/>
      <c r="N183" s="565"/>
      <c r="O183" s="565"/>
      <c r="P183" s="565"/>
      <c r="R183" s="991">
        <f t="shared" ref="R183:R192" si="29">SUM(G183:P183)</f>
        <v>0</v>
      </c>
    </row>
    <row r="184" spans="2:18" ht="28.5" customHeight="1" x14ac:dyDescent="0.2">
      <c r="B184" s="1267" t="str">
        <f>"per 31/12/"&amp;$H$13</f>
        <v>per 31/12/2016</v>
      </c>
      <c r="C184" s="1268"/>
      <c r="D184" s="1268"/>
      <c r="E184" s="1269"/>
      <c r="F184" s="168"/>
      <c r="G184" s="255">
        <f t="shared" ref="G184:G190" si="30">G183+G87</f>
        <v>0</v>
      </c>
      <c r="H184" s="255">
        <f>+H$20+H87</f>
        <v>0</v>
      </c>
      <c r="I184" s="255"/>
      <c r="J184" s="255"/>
      <c r="K184" s="255"/>
      <c r="L184" s="255"/>
      <c r="M184" s="255"/>
      <c r="N184" s="565"/>
      <c r="O184" s="565"/>
      <c r="P184" s="565"/>
      <c r="R184" s="991">
        <f t="shared" si="29"/>
        <v>0</v>
      </c>
    </row>
    <row r="185" spans="2:18" ht="28.5" customHeight="1" x14ac:dyDescent="0.2">
      <c r="B185" s="1267" t="str">
        <f>"per 31/12/"&amp;$I$13</f>
        <v>per 31/12/2017</v>
      </c>
      <c r="C185" s="1268"/>
      <c r="D185" s="1268"/>
      <c r="E185" s="1269"/>
      <c r="F185" s="168"/>
      <c r="G185" s="255">
        <f t="shared" si="30"/>
        <v>0</v>
      </c>
      <c r="H185" s="255">
        <f t="shared" ref="H185:H190" si="31">H184+H88</f>
        <v>0</v>
      </c>
      <c r="I185" s="255">
        <f>+I$20+I88</f>
        <v>0</v>
      </c>
      <c r="J185" s="255"/>
      <c r="K185" s="255"/>
      <c r="L185" s="255"/>
      <c r="M185" s="255"/>
      <c r="N185" s="565"/>
      <c r="O185" s="565"/>
      <c r="P185" s="565"/>
      <c r="R185" s="991">
        <f t="shared" si="29"/>
        <v>0</v>
      </c>
    </row>
    <row r="186" spans="2:18" ht="28.5" customHeight="1" x14ac:dyDescent="0.2">
      <c r="B186" s="1267" t="str">
        <f>"per 31/12/"&amp;$J$13</f>
        <v>per 31/12/2018</v>
      </c>
      <c r="C186" s="1268"/>
      <c r="D186" s="1268"/>
      <c r="E186" s="1269"/>
      <c r="F186" s="168"/>
      <c r="G186" s="255">
        <f t="shared" si="30"/>
        <v>0</v>
      </c>
      <c r="H186" s="255">
        <f t="shared" si="31"/>
        <v>0</v>
      </c>
      <c r="I186" s="255">
        <f>I185+I89</f>
        <v>0</v>
      </c>
      <c r="J186" s="255">
        <f>+J$20+J89</f>
        <v>0</v>
      </c>
      <c r="K186" s="255"/>
      <c r="L186" s="255"/>
      <c r="M186" s="255"/>
      <c r="N186" s="565"/>
      <c r="O186" s="565"/>
      <c r="P186" s="565"/>
      <c r="R186" s="991">
        <f t="shared" si="29"/>
        <v>0</v>
      </c>
    </row>
    <row r="187" spans="2:18" ht="28.5" customHeight="1" x14ac:dyDescent="0.2">
      <c r="B187" s="1267" t="str">
        <f>"per 31/12/"&amp;$K$13</f>
        <v>per 31/12/2019</v>
      </c>
      <c r="C187" s="1268"/>
      <c r="D187" s="1268"/>
      <c r="E187" s="1269"/>
      <c r="F187" s="168"/>
      <c r="G187" s="255">
        <f t="shared" si="30"/>
        <v>0</v>
      </c>
      <c r="H187" s="255">
        <f t="shared" si="31"/>
        <v>0</v>
      </c>
      <c r="I187" s="255">
        <f>I186+I90</f>
        <v>0</v>
      </c>
      <c r="J187" s="255">
        <f>J186+J90</f>
        <v>0</v>
      </c>
      <c r="K187" s="255">
        <f>+K$20+K90</f>
        <v>0</v>
      </c>
      <c r="L187" s="255"/>
      <c r="M187" s="255"/>
      <c r="N187" s="565"/>
      <c r="O187" s="565"/>
      <c r="P187" s="565"/>
      <c r="R187" s="991">
        <f t="shared" si="29"/>
        <v>0</v>
      </c>
    </row>
    <row r="188" spans="2:18" ht="28.5" customHeight="1" x14ac:dyDescent="0.2">
      <c r="B188" s="1267" t="str">
        <f>"per 31/12/"&amp;$L$13</f>
        <v>per 31/12/2020</v>
      </c>
      <c r="C188" s="1268"/>
      <c r="D188" s="1268"/>
      <c r="E188" s="1269"/>
      <c r="F188" s="168"/>
      <c r="G188" s="255">
        <f t="shared" si="30"/>
        <v>0</v>
      </c>
      <c r="H188" s="255">
        <f t="shared" si="31"/>
        <v>0</v>
      </c>
      <c r="I188" s="255">
        <f>I187+I91</f>
        <v>0</v>
      </c>
      <c r="J188" s="255">
        <f>J187+J91</f>
        <v>0</v>
      </c>
      <c r="K188" s="255">
        <f>K187+K91</f>
        <v>0</v>
      </c>
      <c r="L188" s="255">
        <f>+L$20+L91</f>
        <v>0</v>
      </c>
      <c r="M188" s="255"/>
      <c r="N188" s="565"/>
      <c r="O188" s="565"/>
      <c r="P188" s="565"/>
      <c r="R188" s="991">
        <f t="shared" si="29"/>
        <v>0</v>
      </c>
    </row>
    <row r="189" spans="2:18" ht="28.5" customHeight="1" x14ac:dyDescent="0.2">
      <c r="B189" s="1267" t="str">
        <f>"per 31/12/"&amp;$M$13</f>
        <v>per 31/12/2021</v>
      </c>
      <c r="C189" s="1268"/>
      <c r="D189" s="1268"/>
      <c r="E189" s="1269"/>
      <c r="F189" s="168"/>
      <c r="G189" s="255">
        <f t="shared" si="30"/>
        <v>0</v>
      </c>
      <c r="H189" s="255">
        <f t="shared" si="31"/>
        <v>0</v>
      </c>
      <c r="I189" s="255">
        <f>I188+I92</f>
        <v>0</v>
      </c>
      <c r="J189" s="255">
        <f>J188+J92</f>
        <v>0</v>
      </c>
      <c r="K189" s="255">
        <f>K188+K92</f>
        <v>0</v>
      </c>
      <c r="L189" s="255">
        <f>L188+L92</f>
        <v>0</v>
      </c>
      <c r="M189" s="255">
        <f>+M$20+M92</f>
        <v>0</v>
      </c>
      <c r="N189" s="565"/>
      <c r="O189" s="565"/>
      <c r="P189" s="565"/>
      <c r="R189" s="991">
        <f t="shared" si="29"/>
        <v>0</v>
      </c>
    </row>
    <row r="190" spans="2:18" ht="28.5" customHeight="1" x14ac:dyDescent="0.2">
      <c r="B190" s="1270" t="str">
        <f>"per 31/12/"&amp;$N$13</f>
        <v>per 31/12/2022</v>
      </c>
      <c r="C190" s="1271"/>
      <c r="D190" s="1271"/>
      <c r="E190" s="1272"/>
      <c r="F190" s="314"/>
      <c r="G190" s="565">
        <f t="shared" si="30"/>
        <v>0</v>
      </c>
      <c r="H190" s="565">
        <f t="shared" si="31"/>
        <v>0</v>
      </c>
      <c r="I190" s="565">
        <f>I189+I93</f>
        <v>0</v>
      </c>
      <c r="J190" s="565">
        <f>J189+J93</f>
        <v>0</v>
      </c>
      <c r="K190" s="565">
        <f>K189+K93</f>
        <v>0</v>
      </c>
      <c r="L190" s="565">
        <f>L189+L93</f>
        <v>0</v>
      </c>
      <c r="M190" s="565">
        <f>M189+M93</f>
        <v>0</v>
      </c>
      <c r="N190" s="565">
        <f>+N$20+N93</f>
        <v>0</v>
      </c>
      <c r="O190" s="565"/>
      <c r="P190" s="565"/>
      <c r="Q190" s="845"/>
      <c r="R190" s="994">
        <f t="shared" si="29"/>
        <v>0</v>
      </c>
    </row>
    <row r="191" spans="2:18" ht="28.5" customHeight="1" x14ac:dyDescent="0.2">
      <c r="B191" s="1270" t="str">
        <f>"per 31/12/"&amp;$O$13</f>
        <v>per 31/12/2023</v>
      </c>
      <c r="C191" s="1271"/>
      <c r="D191" s="1271"/>
      <c r="E191" s="1272"/>
      <c r="F191" s="314"/>
      <c r="G191" s="565"/>
      <c r="H191" s="565"/>
      <c r="I191" s="565"/>
      <c r="J191" s="565"/>
      <c r="K191" s="565"/>
      <c r="L191" s="565">
        <f>L190+L94</f>
        <v>0</v>
      </c>
      <c r="M191" s="565">
        <f>M190+M94</f>
        <v>0</v>
      </c>
      <c r="N191" s="565">
        <f>N190+N94</f>
        <v>0</v>
      </c>
      <c r="O191" s="565">
        <f>+O$20+O94</f>
        <v>0</v>
      </c>
      <c r="P191" s="565"/>
      <c r="Q191" s="845"/>
      <c r="R191" s="994">
        <f t="shared" si="29"/>
        <v>0</v>
      </c>
    </row>
    <row r="192" spans="2:18" ht="28.5" customHeight="1" x14ac:dyDescent="0.2">
      <c r="B192" s="1270" t="str">
        <f>"per 31/12/"&amp;$P$13</f>
        <v>per 31/12/2024</v>
      </c>
      <c r="C192" s="1271"/>
      <c r="D192" s="1271"/>
      <c r="E192" s="1272"/>
      <c r="F192" s="314"/>
      <c r="G192" s="565"/>
      <c r="H192" s="565"/>
      <c r="I192" s="565"/>
      <c r="J192" s="565"/>
      <c r="K192" s="565"/>
      <c r="L192" s="565"/>
      <c r="M192" s="565">
        <f>M191+M95</f>
        <v>0</v>
      </c>
      <c r="N192" s="565">
        <f>N191+N95</f>
        <v>0</v>
      </c>
      <c r="O192" s="565">
        <f>O191+O95</f>
        <v>0</v>
      </c>
      <c r="P192" s="565">
        <f>+P$20+P95</f>
        <v>0</v>
      </c>
      <c r="Q192" s="845"/>
      <c r="R192" s="994">
        <f t="shared" si="29"/>
        <v>0</v>
      </c>
    </row>
    <row r="193" spans="1:18" ht="33" customHeight="1" x14ac:dyDescent="0.2">
      <c r="B193" s="1282" t="s">
        <v>68</v>
      </c>
      <c r="C193" s="1283"/>
      <c r="D193" s="1283"/>
      <c r="E193" s="1284"/>
      <c r="F193" s="168"/>
      <c r="G193" s="992"/>
      <c r="H193" s="992"/>
      <c r="I193" s="992"/>
      <c r="J193" s="992"/>
      <c r="K193" s="992"/>
      <c r="L193" s="992"/>
      <c r="M193" s="992"/>
      <c r="N193" s="993"/>
      <c r="O193" s="993"/>
      <c r="P193" s="993"/>
      <c r="R193" s="992"/>
    </row>
    <row r="194" spans="1:18" ht="28.5" customHeight="1" x14ac:dyDescent="0.2">
      <c r="B194" s="1267" t="str">
        <f>"per 31/12/"&amp;$G$13</f>
        <v>per 31/12/2015</v>
      </c>
      <c r="C194" s="1268"/>
      <c r="D194" s="1268"/>
      <c r="E194" s="1269"/>
      <c r="F194" s="168"/>
      <c r="G194" s="999">
        <f>+G$21+G97</f>
        <v>0</v>
      </c>
      <c r="H194" s="255"/>
      <c r="I194" s="255"/>
      <c r="J194" s="255"/>
      <c r="K194" s="255"/>
      <c r="L194" s="255"/>
      <c r="M194" s="255"/>
      <c r="N194" s="565"/>
      <c r="O194" s="565"/>
      <c r="P194" s="565"/>
      <c r="R194" s="991">
        <f t="shared" ref="R194:R203" si="32">SUM(G194:P194)</f>
        <v>0</v>
      </c>
    </row>
    <row r="195" spans="1:18" ht="28.5" customHeight="1" x14ac:dyDescent="0.2">
      <c r="B195" s="1267" t="str">
        <f>"per 31/12/"&amp;$H$13</f>
        <v>per 31/12/2016</v>
      </c>
      <c r="C195" s="1268"/>
      <c r="D195" s="1268"/>
      <c r="E195" s="1269"/>
      <c r="F195" s="168"/>
      <c r="G195" s="255">
        <f t="shared" ref="G195:G201" si="33">+G194+G98</f>
        <v>0</v>
      </c>
      <c r="H195" s="255">
        <f>+H$21+H98</f>
        <v>0</v>
      </c>
      <c r="I195" s="255"/>
      <c r="J195" s="255"/>
      <c r="K195" s="255"/>
      <c r="L195" s="255"/>
      <c r="M195" s="255"/>
      <c r="N195" s="565"/>
      <c r="O195" s="565"/>
      <c r="P195" s="565"/>
      <c r="R195" s="991">
        <f t="shared" si="32"/>
        <v>0</v>
      </c>
    </row>
    <row r="196" spans="1:18" ht="28.5" customHeight="1" x14ac:dyDescent="0.2">
      <c r="B196" s="1267" t="str">
        <f>"per 31/12/"&amp;$I$13</f>
        <v>per 31/12/2017</v>
      </c>
      <c r="C196" s="1268"/>
      <c r="D196" s="1268"/>
      <c r="E196" s="1269"/>
      <c r="F196" s="168"/>
      <c r="G196" s="255">
        <f t="shared" si="33"/>
        <v>0</v>
      </c>
      <c r="H196" s="255">
        <f t="shared" ref="H196:H201" si="34">+H195+H99</f>
        <v>0</v>
      </c>
      <c r="I196" s="255">
        <f>+I$21+I99</f>
        <v>0</v>
      </c>
      <c r="J196" s="255"/>
      <c r="K196" s="255"/>
      <c r="L196" s="255"/>
      <c r="M196" s="255"/>
      <c r="N196" s="565"/>
      <c r="O196" s="565"/>
      <c r="P196" s="565"/>
      <c r="R196" s="991">
        <f t="shared" si="32"/>
        <v>0</v>
      </c>
    </row>
    <row r="197" spans="1:18" ht="28.5" customHeight="1" x14ac:dyDescent="0.2">
      <c r="B197" s="1267" t="str">
        <f>"per 31/12/"&amp;$J$13</f>
        <v>per 31/12/2018</v>
      </c>
      <c r="C197" s="1268"/>
      <c r="D197" s="1268"/>
      <c r="E197" s="1269"/>
      <c r="F197" s="168"/>
      <c r="G197" s="255">
        <f t="shared" si="33"/>
        <v>0</v>
      </c>
      <c r="H197" s="255">
        <f t="shared" si="34"/>
        <v>0</v>
      </c>
      <c r="I197" s="255">
        <f>+I196+I100</f>
        <v>0</v>
      </c>
      <c r="J197" s="255">
        <f>+J$21+J100</f>
        <v>0</v>
      </c>
      <c r="K197" s="255"/>
      <c r="L197" s="255"/>
      <c r="M197" s="255"/>
      <c r="N197" s="565"/>
      <c r="O197" s="565"/>
      <c r="P197" s="565"/>
      <c r="R197" s="991">
        <f t="shared" si="32"/>
        <v>0</v>
      </c>
    </row>
    <row r="198" spans="1:18" ht="28.5" customHeight="1" x14ac:dyDescent="0.2">
      <c r="B198" s="1267" t="str">
        <f>"per 31/12/"&amp;$K$13</f>
        <v>per 31/12/2019</v>
      </c>
      <c r="C198" s="1268"/>
      <c r="D198" s="1268"/>
      <c r="E198" s="1269"/>
      <c r="F198" s="168"/>
      <c r="G198" s="255">
        <f t="shared" si="33"/>
        <v>0</v>
      </c>
      <c r="H198" s="255">
        <f t="shared" si="34"/>
        <v>0</v>
      </c>
      <c r="I198" s="255">
        <f>+I197+I101</f>
        <v>0</v>
      </c>
      <c r="J198" s="255">
        <f>+J197+J101</f>
        <v>0</v>
      </c>
      <c r="K198" s="255">
        <f>+K$21+K101</f>
        <v>0</v>
      </c>
      <c r="L198" s="255"/>
      <c r="M198" s="255"/>
      <c r="N198" s="565"/>
      <c r="O198" s="565"/>
      <c r="P198" s="565"/>
      <c r="R198" s="991">
        <f t="shared" si="32"/>
        <v>0</v>
      </c>
    </row>
    <row r="199" spans="1:18" ht="28.5" customHeight="1" x14ac:dyDescent="0.2">
      <c r="B199" s="1267" t="str">
        <f>"per 31/12/"&amp;$L$13</f>
        <v>per 31/12/2020</v>
      </c>
      <c r="C199" s="1268"/>
      <c r="D199" s="1268"/>
      <c r="E199" s="1269"/>
      <c r="F199" s="168"/>
      <c r="G199" s="255">
        <f t="shared" si="33"/>
        <v>0</v>
      </c>
      <c r="H199" s="255">
        <f t="shared" si="34"/>
        <v>0</v>
      </c>
      <c r="I199" s="255">
        <f>+I198+I102</f>
        <v>0</v>
      </c>
      <c r="J199" s="255">
        <f>+J198+J102</f>
        <v>0</v>
      </c>
      <c r="K199" s="255">
        <f>+K198+K102</f>
        <v>0</v>
      </c>
      <c r="L199" s="255">
        <f>+L$21+L102</f>
        <v>0</v>
      </c>
      <c r="M199" s="255"/>
      <c r="N199" s="565"/>
      <c r="O199" s="565"/>
      <c r="P199" s="565"/>
      <c r="R199" s="991">
        <f t="shared" si="32"/>
        <v>0</v>
      </c>
    </row>
    <row r="200" spans="1:18" ht="28.5" customHeight="1" x14ac:dyDescent="0.2">
      <c r="B200" s="1267" t="str">
        <f>"per 31/12/"&amp;$M$13</f>
        <v>per 31/12/2021</v>
      </c>
      <c r="C200" s="1268"/>
      <c r="D200" s="1268"/>
      <c r="E200" s="1269"/>
      <c r="F200" s="168"/>
      <c r="G200" s="255">
        <f t="shared" si="33"/>
        <v>0</v>
      </c>
      <c r="H200" s="255">
        <f t="shared" si="34"/>
        <v>0</v>
      </c>
      <c r="I200" s="255">
        <f>+I199+I103</f>
        <v>0</v>
      </c>
      <c r="J200" s="255">
        <f>+J199+J103</f>
        <v>0</v>
      </c>
      <c r="K200" s="255">
        <f>+K199+K103</f>
        <v>0</v>
      </c>
      <c r="L200" s="255">
        <f>+L199+L103</f>
        <v>0</v>
      </c>
      <c r="M200" s="255">
        <f>+M$21+M103</f>
        <v>0</v>
      </c>
      <c r="N200" s="565"/>
      <c r="O200" s="565"/>
      <c r="P200" s="565"/>
      <c r="R200" s="991">
        <f t="shared" si="32"/>
        <v>0</v>
      </c>
    </row>
    <row r="201" spans="1:18" ht="28.5" customHeight="1" x14ac:dyDescent="0.2">
      <c r="B201" s="1270" t="str">
        <f>"per 31/12/"&amp;$N$13</f>
        <v>per 31/12/2022</v>
      </c>
      <c r="C201" s="1271"/>
      <c r="D201" s="1271"/>
      <c r="E201" s="1272"/>
      <c r="F201" s="314"/>
      <c r="G201" s="565">
        <f t="shared" si="33"/>
        <v>0</v>
      </c>
      <c r="H201" s="565">
        <f t="shared" si="34"/>
        <v>0</v>
      </c>
      <c r="I201" s="565">
        <f>+I200+I104</f>
        <v>0</v>
      </c>
      <c r="J201" s="565">
        <f>+J200+J104</f>
        <v>0</v>
      </c>
      <c r="K201" s="565">
        <f>+K200+K104</f>
        <v>0</v>
      </c>
      <c r="L201" s="565">
        <f>+L200+L104</f>
        <v>0</v>
      </c>
      <c r="M201" s="565">
        <f>+M200+M104</f>
        <v>0</v>
      </c>
      <c r="N201" s="565">
        <f>+N$21+N104</f>
        <v>0</v>
      </c>
      <c r="O201" s="565"/>
      <c r="P201" s="565"/>
      <c r="Q201" s="845"/>
      <c r="R201" s="994">
        <f t="shared" si="32"/>
        <v>0</v>
      </c>
    </row>
    <row r="202" spans="1:18" ht="28.5" customHeight="1" x14ac:dyDescent="0.2">
      <c r="B202" s="1270" t="str">
        <f>"per 31/12/"&amp;$O$13</f>
        <v>per 31/12/2023</v>
      </c>
      <c r="C202" s="1271"/>
      <c r="D202" s="1271"/>
      <c r="E202" s="1272"/>
      <c r="F202" s="314"/>
      <c r="G202" s="565"/>
      <c r="H202" s="565"/>
      <c r="I202" s="565"/>
      <c r="J202" s="565"/>
      <c r="K202" s="565"/>
      <c r="L202" s="565">
        <f>+L201+L105</f>
        <v>0</v>
      </c>
      <c r="M202" s="565">
        <f>+M201+M105</f>
        <v>0</v>
      </c>
      <c r="N202" s="565">
        <f>+N201+N105</f>
        <v>0</v>
      </c>
      <c r="O202" s="565">
        <f>+O$21+O105</f>
        <v>0</v>
      </c>
      <c r="P202" s="565"/>
      <c r="Q202" s="845"/>
      <c r="R202" s="994">
        <f t="shared" si="32"/>
        <v>0</v>
      </c>
    </row>
    <row r="203" spans="1:18" ht="28.5" customHeight="1" x14ac:dyDescent="0.2">
      <c r="B203" s="1270" t="str">
        <f>"per 31/12/"&amp;$P$13</f>
        <v>per 31/12/2024</v>
      </c>
      <c r="C203" s="1271"/>
      <c r="D203" s="1271"/>
      <c r="E203" s="1272"/>
      <c r="F203" s="314"/>
      <c r="G203" s="565"/>
      <c r="H203" s="565"/>
      <c r="I203" s="565"/>
      <c r="J203" s="565"/>
      <c r="K203" s="565"/>
      <c r="L203" s="565"/>
      <c r="M203" s="565">
        <f>+M202+M106</f>
        <v>0</v>
      </c>
      <c r="N203" s="565">
        <f>+N202+N106</f>
        <v>0</v>
      </c>
      <c r="O203" s="565">
        <f>+O202+O106</f>
        <v>0</v>
      </c>
      <c r="P203" s="565">
        <f>+P$21+P106</f>
        <v>0</v>
      </c>
      <c r="Q203" s="845"/>
      <c r="R203" s="994">
        <f t="shared" si="32"/>
        <v>0</v>
      </c>
    </row>
    <row r="204" spans="1:18" x14ac:dyDescent="0.2">
      <c r="G204" s="306"/>
      <c r="H204" s="306"/>
      <c r="I204" s="306"/>
      <c r="J204" s="306"/>
      <c r="K204" s="306"/>
      <c r="L204" s="306"/>
      <c r="M204" s="306"/>
      <c r="N204" s="839"/>
      <c r="O204" s="839"/>
      <c r="P204" s="839"/>
      <c r="R204" s="307"/>
    </row>
    <row r="205" spans="1:18" s="224" customFormat="1" x14ac:dyDescent="0.2">
      <c r="B205" s="315"/>
      <c r="C205" s="316"/>
      <c r="D205" s="316"/>
      <c r="E205" s="317"/>
      <c r="F205" s="283"/>
      <c r="G205" s="975">
        <v>2015</v>
      </c>
      <c r="H205" s="166">
        <f>+G205+1</f>
        <v>2016</v>
      </c>
      <c r="I205" s="166">
        <f>+H205+1</f>
        <v>2017</v>
      </c>
      <c r="J205" s="166">
        <f>+I205+1</f>
        <v>2018</v>
      </c>
      <c r="K205" s="166">
        <f>+J205+1</f>
        <v>2019</v>
      </c>
      <c r="L205" s="166">
        <f t="shared" ref="L205:P205" si="35">+K205+1</f>
        <v>2020</v>
      </c>
      <c r="M205" s="166">
        <f t="shared" si="35"/>
        <v>2021</v>
      </c>
      <c r="N205" s="837">
        <f t="shared" si="35"/>
        <v>2022</v>
      </c>
      <c r="O205" s="837">
        <f t="shared" si="35"/>
        <v>2023</v>
      </c>
      <c r="P205" s="837">
        <f t="shared" si="35"/>
        <v>2024</v>
      </c>
      <c r="Q205" s="209"/>
      <c r="R205" s="166" t="s">
        <v>20</v>
      </c>
    </row>
    <row r="206" spans="1:18" ht="20.25" customHeight="1" x14ac:dyDescent="0.2">
      <c r="B206" s="1286" t="s">
        <v>158</v>
      </c>
      <c r="C206" s="1287"/>
      <c r="D206" s="1287"/>
      <c r="E206" s="1288"/>
      <c r="F206" s="170"/>
      <c r="G206" s="171"/>
      <c r="H206" s="171"/>
      <c r="I206" s="171"/>
      <c r="J206" s="171"/>
      <c r="K206" s="171"/>
      <c r="L206" s="171"/>
      <c r="M206" s="171"/>
      <c r="N206" s="843"/>
      <c r="O206" s="843"/>
      <c r="P206" s="843"/>
      <c r="R206" s="171"/>
    </row>
    <row r="207" spans="1:18" ht="28.5" customHeight="1" x14ac:dyDescent="0.2">
      <c r="A207" s="209">
        <v>2015</v>
      </c>
      <c r="B207" s="1273" t="str">
        <f>"per 31/12/"&amp;$G$13</f>
        <v>per 31/12/2015</v>
      </c>
      <c r="C207" s="1274"/>
      <c r="D207" s="1274"/>
      <c r="E207" s="1275"/>
      <c r="F207" s="318"/>
      <c r="G207" s="995">
        <f t="shared" ref="G207:G213" si="36">SUMIFS(G$128:G$203,$B$128:$B$203,$B207)</f>
        <v>0</v>
      </c>
      <c r="H207" s="995"/>
      <c r="I207" s="995"/>
      <c r="J207" s="995"/>
      <c r="K207" s="995"/>
      <c r="L207" s="995"/>
      <c r="M207" s="995"/>
      <c r="N207" s="996"/>
      <c r="O207" s="996"/>
      <c r="P207" s="996"/>
      <c r="R207" s="997">
        <f t="shared" ref="R207:R213" si="37">SUMIFS(R$128:R$203,$B$128:$B$203,$B207)</f>
        <v>0</v>
      </c>
    </row>
    <row r="208" spans="1:18" ht="28.5" customHeight="1" x14ac:dyDescent="0.2">
      <c r="A208" s="209">
        <v>2016</v>
      </c>
      <c r="B208" s="1273" t="str">
        <f>"per 31/12/"&amp;$H$13</f>
        <v>per 31/12/2016</v>
      </c>
      <c r="C208" s="1274"/>
      <c r="D208" s="1274"/>
      <c r="E208" s="1275"/>
      <c r="F208" s="318"/>
      <c r="G208" s="995">
        <f t="shared" si="36"/>
        <v>0</v>
      </c>
      <c r="H208" s="995">
        <f t="shared" ref="H208:H213" si="38">SUMIFS(H$128:H$203,$B$128:$B$203,$B208)</f>
        <v>0</v>
      </c>
      <c r="I208" s="995"/>
      <c r="J208" s="995"/>
      <c r="K208" s="995"/>
      <c r="L208" s="995"/>
      <c r="M208" s="995"/>
      <c r="N208" s="996"/>
      <c r="O208" s="996"/>
      <c r="P208" s="996"/>
      <c r="R208" s="997">
        <f t="shared" si="37"/>
        <v>0</v>
      </c>
    </row>
    <row r="209" spans="1:18" ht="28.5" customHeight="1" x14ac:dyDescent="0.2">
      <c r="A209" s="209">
        <v>2017</v>
      </c>
      <c r="B209" s="1273" t="str">
        <f>"per 31/12/"&amp;$I$13</f>
        <v>per 31/12/2017</v>
      </c>
      <c r="C209" s="1274"/>
      <c r="D209" s="1274"/>
      <c r="E209" s="1275"/>
      <c r="F209" s="318"/>
      <c r="G209" s="995">
        <f t="shared" si="36"/>
        <v>0</v>
      </c>
      <c r="H209" s="995">
        <f t="shared" si="38"/>
        <v>0</v>
      </c>
      <c r="I209" s="995">
        <f>SUMIFS(I$128:I$203,$B$128:$B$203,$B209)</f>
        <v>0</v>
      </c>
      <c r="J209" s="995"/>
      <c r="K209" s="995"/>
      <c r="L209" s="995"/>
      <c r="M209" s="995"/>
      <c r="N209" s="996"/>
      <c r="O209" s="996"/>
      <c r="P209" s="996"/>
      <c r="R209" s="997">
        <f t="shared" si="37"/>
        <v>0</v>
      </c>
    </row>
    <row r="210" spans="1:18" ht="28.5" customHeight="1" x14ac:dyDescent="0.2">
      <c r="A210" s="209">
        <v>2018</v>
      </c>
      <c r="B210" s="1273" t="str">
        <f>"per 31/12/"&amp;$J$13</f>
        <v>per 31/12/2018</v>
      </c>
      <c r="C210" s="1274"/>
      <c r="D210" s="1274"/>
      <c r="E210" s="1275"/>
      <c r="F210" s="318"/>
      <c r="G210" s="995">
        <f t="shared" si="36"/>
        <v>0</v>
      </c>
      <c r="H210" s="995">
        <f t="shared" si="38"/>
        <v>0</v>
      </c>
      <c r="I210" s="995">
        <f>SUMIFS(I$128:I$203,$B$128:$B$203,$B210)</f>
        <v>0</v>
      </c>
      <c r="J210" s="995">
        <f>SUMIFS(J$128:J$203,$B$128:$B$203,$B210)</f>
        <v>0</v>
      </c>
      <c r="K210" s="995"/>
      <c r="L210" s="995"/>
      <c r="M210" s="995"/>
      <c r="N210" s="996"/>
      <c r="O210" s="996"/>
      <c r="P210" s="996"/>
      <c r="R210" s="997">
        <f t="shared" si="37"/>
        <v>0</v>
      </c>
    </row>
    <row r="211" spans="1:18" ht="28.5" customHeight="1" x14ac:dyDescent="0.2">
      <c r="A211" s="209">
        <v>2019</v>
      </c>
      <c r="B211" s="1273" t="str">
        <f>"per 31/12/"&amp;$K$13</f>
        <v>per 31/12/2019</v>
      </c>
      <c r="C211" s="1274"/>
      <c r="D211" s="1274"/>
      <c r="E211" s="1275"/>
      <c r="F211" s="318"/>
      <c r="G211" s="995">
        <f t="shared" si="36"/>
        <v>0</v>
      </c>
      <c r="H211" s="995">
        <f t="shared" si="38"/>
        <v>0</v>
      </c>
      <c r="I211" s="995">
        <f>SUMIFS(I$128:I$203,$B$128:$B$203,$B211)</f>
        <v>0</v>
      </c>
      <c r="J211" s="995">
        <f>SUMIFS(J$128:J$203,$B$128:$B$203,$B211)</f>
        <v>0</v>
      </c>
      <c r="K211" s="995">
        <f>SUMIFS(K$128:K$203,$B$128:$B$203,$B211)</f>
        <v>0</v>
      </c>
      <c r="L211" s="995"/>
      <c r="M211" s="995"/>
      <c r="N211" s="996"/>
      <c r="O211" s="996"/>
      <c r="P211" s="996"/>
      <c r="R211" s="997">
        <f t="shared" si="37"/>
        <v>0</v>
      </c>
    </row>
    <row r="212" spans="1:18" ht="28.5" customHeight="1" x14ac:dyDescent="0.2">
      <c r="A212" s="209">
        <v>2020</v>
      </c>
      <c r="B212" s="1273" t="str">
        <f>"per 31/12/"&amp;$L$13</f>
        <v>per 31/12/2020</v>
      </c>
      <c r="C212" s="1274"/>
      <c r="D212" s="1274"/>
      <c r="E212" s="1275"/>
      <c r="F212" s="318"/>
      <c r="G212" s="995">
        <f t="shared" si="36"/>
        <v>0</v>
      </c>
      <c r="H212" s="995">
        <f t="shared" si="38"/>
        <v>0</v>
      </c>
      <c r="I212" s="995">
        <f>SUMIFS(I$128:I$203,$B$128:$B$203,$B212)</f>
        <v>0</v>
      </c>
      <c r="J212" s="995">
        <f>SUMIFS(J$128:J$203,$B$128:$B$203,$B212)</f>
        <v>0</v>
      </c>
      <c r="K212" s="995">
        <f>SUMIFS(K$128:K$203,$B$128:$B$203,$B212)</f>
        <v>0</v>
      </c>
      <c r="L212" s="995">
        <f>SUMIFS(L$128:L$203,$B$128:$B$203,$B212)</f>
        <v>0</v>
      </c>
      <c r="M212" s="995"/>
      <c r="N212" s="996"/>
      <c r="O212" s="996"/>
      <c r="P212" s="996"/>
      <c r="R212" s="997">
        <f t="shared" si="37"/>
        <v>0</v>
      </c>
    </row>
    <row r="213" spans="1:18" ht="28.5" customHeight="1" x14ac:dyDescent="0.2">
      <c r="A213" s="209">
        <v>2021</v>
      </c>
      <c r="B213" s="1273" t="str">
        <f>"per 31/12/"&amp;$M$13</f>
        <v>per 31/12/2021</v>
      </c>
      <c r="C213" s="1274"/>
      <c r="D213" s="1274"/>
      <c r="E213" s="1275"/>
      <c r="F213" s="318"/>
      <c r="G213" s="995">
        <f t="shared" si="36"/>
        <v>0</v>
      </c>
      <c r="H213" s="995">
        <f t="shared" si="38"/>
        <v>0</v>
      </c>
      <c r="I213" s="995">
        <f>SUMIFS(I$128:I$203,$B$128:$B$203,$B213)</f>
        <v>0</v>
      </c>
      <c r="J213" s="995">
        <f>SUMIFS(J$128:J$203,$B$128:$B$203,$B213)</f>
        <v>0</v>
      </c>
      <c r="K213" s="995">
        <f>SUMIFS(K$128:K$203,$B$128:$B$203,$B213)</f>
        <v>0</v>
      </c>
      <c r="L213" s="995">
        <f>SUMIFS(L$128:L$203,$B$128:$B$203,$B213)</f>
        <v>0</v>
      </c>
      <c r="M213" s="995">
        <f>SUMIFS(M$128:M$203,$B$128:$B$203,$B213)</f>
        <v>0</v>
      </c>
      <c r="N213" s="996"/>
      <c r="O213" s="996"/>
      <c r="P213" s="996"/>
      <c r="R213" s="997">
        <f t="shared" si="37"/>
        <v>0</v>
      </c>
    </row>
    <row r="214" spans="1:18" ht="28.5" customHeight="1" x14ac:dyDescent="0.2">
      <c r="A214" s="209">
        <v>2022</v>
      </c>
      <c r="B214" s="1276" t="str">
        <f>"per 31/12/"&amp;$N$13</f>
        <v>per 31/12/2022</v>
      </c>
      <c r="C214" s="1277"/>
      <c r="D214" s="1277"/>
      <c r="E214" s="1278"/>
      <c r="F214" s="846"/>
      <c r="G214" s="996">
        <f t="shared" ref="G214" si="39">SUMIFS(G$128:G$203,$B$128:$B$203,$B214)</f>
        <v>0</v>
      </c>
      <c r="H214" s="996">
        <f t="shared" ref="H214" si="40">SUMIFS(H$128:H$203,$B$128:$B$203,$B214)</f>
        <v>0</v>
      </c>
      <c r="I214" s="996">
        <f t="shared" ref="I214" si="41">SUMIFS(I$128:I$203,$B$128:$B$203,$B214)</f>
        <v>0</v>
      </c>
      <c r="J214" s="996">
        <f>SUMIFS(J$128:J$203,$B$128:$B$203,$B214)</f>
        <v>0</v>
      </c>
      <c r="K214" s="996">
        <f>SUMIFS(K$128:K$203,$B$128:$B$203,$B214)</f>
        <v>0</v>
      </c>
      <c r="L214" s="996">
        <f>SUMIFS(L$128:L$203,$B$128:$B$203,$B214)</f>
        <v>0</v>
      </c>
      <c r="M214" s="996">
        <f>SUMIFS(M$128:M$203,$B$128:$B$203,$B214)</f>
        <v>0</v>
      </c>
      <c r="N214" s="996">
        <f>SUMIFS(N$128:N$203,$B$128:$B$203,$B214)</f>
        <v>0</v>
      </c>
      <c r="O214" s="996"/>
      <c r="P214" s="996"/>
      <c r="Q214" s="845"/>
      <c r="R214" s="998">
        <f t="shared" ref="R214:R216" si="42">SUMIFS(R$128:R$203,$B$128:$B$203,$B214)</f>
        <v>0</v>
      </c>
    </row>
    <row r="215" spans="1:18" ht="28.5" customHeight="1" x14ac:dyDescent="0.2">
      <c r="A215" s="209">
        <v>2023</v>
      </c>
      <c r="B215" s="1276" t="str">
        <f>"per 31/12/"&amp;$O$13</f>
        <v>per 31/12/2023</v>
      </c>
      <c r="C215" s="1277"/>
      <c r="D215" s="1277"/>
      <c r="E215" s="1278"/>
      <c r="F215" s="846"/>
      <c r="G215" s="996"/>
      <c r="H215" s="996"/>
      <c r="I215" s="996"/>
      <c r="J215" s="996"/>
      <c r="K215" s="996"/>
      <c r="L215" s="996">
        <f>SUMIFS(L$128:L$203,$B$128:$B$203,$B215)</f>
        <v>0</v>
      </c>
      <c r="M215" s="996">
        <f>SUMIFS(M$128:M$203,$B$128:$B$203,$B215)</f>
        <v>0</v>
      </c>
      <c r="N215" s="996">
        <f>SUMIFS(N$128:N$203,$B$128:$B$203,$B215)</f>
        <v>0</v>
      </c>
      <c r="O215" s="996">
        <f>SUMIFS(O$128:O$203,$B$128:$B$203,$B215)</f>
        <v>0</v>
      </c>
      <c r="P215" s="996"/>
      <c r="Q215" s="845"/>
      <c r="R215" s="998">
        <f t="shared" si="42"/>
        <v>0</v>
      </c>
    </row>
    <row r="216" spans="1:18" ht="28.5" customHeight="1" x14ac:dyDescent="0.2">
      <c r="A216" s="209">
        <v>2024</v>
      </c>
      <c r="B216" s="1276" t="str">
        <f>"per 31/12/"&amp;$P$13</f>
        <v>per 31/12/2024</v>
      </c>
      <c r="C216" s="1277"/>
      <c r="D216" s="1277"/>
      <c r="E216" s="1278"/>
      <c r="F216" s="846"/>
      <c r="G216" s="996"/>
      <c r="H216" s="996"/>
      <c r="I216" s="996"/>
      <c r="J216" s="996"/>
      <c r="K216" s="996"/>
      <c r="L216" s="996"/>
      <c r="M216" s="996">
        <f>SUMIFS(M$128:M$203,$B$128:$B$203,$B216)</f>
        <v>0</v>
      </c>
      <c r="N216" s="996">
        <f>SUMIFS(N$128:N$203,$B$128:$B$203,$B216)</f>
        <v>0</v>
      </c>
      <c r="O216" s="996">
        <f>SUMIFS(O$128:O$203,$B$128:$B$203,$B216)</f>
        <v>0</v>
      </c>
      <c r="P216" s="996">
        <f>SUMIFS(P$128:P$203,$B$128:$B$203,$B216)</f>
        <v>0</v>
      </c>
      <c r="Q216" s="845"/>
      <c r="R216" s="998">
        <f t="shared" si="42"/>
        <v>0</v>
      </c>
    </row>
    <row r="217" spans="1:18" s="224" customFormat="1" x14ac:dyDescent="0.2">
      <c r="B217" s="1292" t="s">
        <v>120</v>
      </c>
      <c r="C217" s="1292"/>
      <c r="D217" s="1292"/>
      <c r="E217" s="1292"/>
      <c r="G217" s="309">
        <f>IF($E$2="ex-ante",(INDEX(G$207:G$216,MATCH($D$2,$A$207:$A$216,0),1))-T4A!C32,IF($E$2="ex-post",(INDEX(G$207:G$216,MATCH($D$2,$A$207:$A$216,0),1))-T4A!C32+SUMIFS(T4A!C$38:C$47,T4A!$B$38:$B$47,$D$2+1),"FOUT"))</f>
        <v>0</v>
      </c>
      <c r="H217" s="309">
        <f>IF($E$2="ex-ante",(INDEX(H$207:H$216,MATCH($D$2,$A$207:$A$216,0),1))-T4A!D32,IF($E$2="ex-post",(INDEX(H$207:H$216,MATCH($D$2,$A$207:$A$216,0),1))-T4A!D32+SUMIFS(T4A!D$38:D$47,T4A!$B$38:$B$47,$D$2+1),"FOUT"))</f>
        <v>0</v>
      </c>
      <c r="I217" s="309">
        <f>IF($E$2="ex-ante",(INDEX(I$207:I$216,MATCH($D$2,$A$207:$A$216,0),1))-T4A!E32,IF($E$2="ex-post",(INDEX(I$207:I$216,MATCH($D$2,$A$207:$A$216,0),1))-T4A!E32+SUMIFS(T4A!E$38:E$47,T4A!$B$38:$B$47,$D$2+1),"FOUT"))</f>
        <v>0</v>
      </c>
      <c r="J217" s="309">
        <f>IF($E$2="ex-ante",(INDEX(J$207:J$216,MATCH($D$2,$A$207:$A$216,0),1))-T4A!F32,IF($E$2="ex-post",(INDEX(J$207:J$216,MATCH($D$2,$A$207:$A$216,0),1))-T4A!F32+SUMIFS(T4A!F$38:F$47,T4A!$B$38:$B$47,$D$2+1),"FOUT"))</f>
        <v>0</v>
      </c>
      <c r="K217" s="309">
        <f>IF($E$2="ex-ante",(INDEX(K$207:K$216,MATCH($D$2,$A$207:$A$216,0),1))-T4A!G32,IF($E$2="ex-post",(INDEX(K$207:K$216,MATCH($D$2,$A$207:$A$216,0),1))-T4A!G32+SUMIFS(T4A!G$38:G$47,T4A!$B$38:$B$47,$D$2+1),"FOUT"))</f>
        <v>0</v>
      </c>
      <c r="L217" s="309">
        <f>IF($E$2="ex-ante",(INDEX(L$207:L$216,MATCH($D$2,$A$207:$A$216,0),1))-T4A!H32,IF($E$2="ex-post",(INDEX(L$207:L$216,MATCH($D$2,$A$207:$A$216,0),1))-T4A!H32+SUMIFS(T4A!H$38:H$47,T4A!$B$38:$B$47,$D$2+1),"FOUT"))</f>
        <v>0</v>
      </c>
      <c r="M217" s="309">
        <f>IF($E$2="ex-ante",(INDEX(M$207:M$216,MATCH($D$2,$A$207:$A$216,0),1))-T4A!I32,IF($E$2="ex-post",(INDEX(M$207:M$216,MATCH($D$2,$A$207:$A$216,0),1))-T4A!I32+SUMIFS(T4A!I$38:I$47,T4A!$B$38:$B$47,$D$2+1),"FOUT"))</f>
        <v>0</v>
      </c>
      <c r="N217" s="841">
        <f>IF($E$2="ex-ante",(INDEX(N$207:N$216,MATCH($D$2,$A$207:$A$216,0),1))-T4A!J32,IF($E$2="ex-post",(INDEX(N$207:N$216,MATCH($D$2,$A$207:$A$216,0),1))-T4A!J32+SUMIFS(T4A!J$38:J$47,T4A!$B$38:$B$47,$D$2+1),"FOUT"))</f>
        <v>0</v>
      </c>
      <c r="O217" s="841">
        <f>IF($E$2="ex-ante",(INDEX(O$207:O$216,MATCH($D$2,$A$207:$A$216,0),1))-T4A!K32,IF($E$2="ex-post",(INDEX(O$207:O$216,MATCH($D$2,$A$207:$A$216,0),1))-T4A!K32+SUMIFS(T4A!K$38:K$47,T4A!$B$38:$B$47,$D$2+1),"FOUT"))</f>
        <v>0</v>
      </c>
      <c r="P217" s="841">
        <f>IF($E$2="ex-ante",(INDEX(P$207:P$216,MATCH($D$2,$A$207:$A$216,0),1))-T4A!L32,IF($E$2="ex-post",(INDEX(P$207:P$216,MATCH($D$2,$A$207:$A$216,0),1))-T4A!L32+SUMIFS(T4A!L$38:L$47,T4A!$B$38:$B$47,$D$2+1),"FOUT"))</f>
        <v>0</v>
      </c>
      <c r="Q217" s="211"/>
      <c r="R217" s="309">
        <f>IF($E$2="ex-ante",(INDEX(R$207:R$216,MATCH($D$2,$A$207:$A$216,0),1))-T4A!N32,IF($E$2="ex-post",(INDEX(R$207:R$216,MATCH($D$2,$A$207:$A$216,0),1))-T4A!N32+SUMIFS(T4A!N$38:N$47,T4A!$B$38:$B$47,$D$2+1),"FOUT"))</f>
        <v>0</v>
      </c>
    </row>
    <row r="218" spans="1:18" x14ac:dyDescent="0.2">
      <c r="B218" s="310"/>
      <c r="C218" s="310"/>
      <c r="D218" s="310"/>
      <c r="E218" s="310"/>
      <c r="F218" s="311"/>
      <c r="G218" s="312"/>
      <c r="H218" s="312"/>
      <c r="I218" s="312"/>
      <c r="J218" s="312"/>
      <c r="K218" s="312"/>
      <c r="L218" s="312"/>
      <c r="M218" s="312"/>
      <c r="N218" s="312"/>
      <c r="O218" s="312"/>
      <c r="P218" s="312"/>
      <c r="R218" s="312"/>
    </row>
    <row r="219" spans="1:18" x14ac:dyDescent="0.2">
      <c r="B219" s="310"/>
      <c r="C219" s="310"/>
      <c r="D219" s="310"/>
      <c r="E219" s="310"/>
      <c r="F219" s="311"/>
      <c r="G219" s="312"/>
      <c r="H219" s="312"/>
      <c r="I219" s="312"/>
      <c r="J219" s="312"/>
      <c r="K219" s="312"/>
      <c r="L219" s="312"/>
      <c r="M219" s="312"/>
      <c r="N219" s="312"/>
      <c r="O219" s="312"/>
      <c r="P219" s="312"/>
      <c r="R219" s="312"/>
    </row>
    <row r="220" spans="1:18" x14ac:dyDescent="0.2">
      <c r="B220" s="310"/>
      <c r="C220" s="310"/>
      <c r="D220" s="310"/>
      <c r="E220" s="310"/>
      <c r="F220" s="311"/>
      <c r="G220" s="313" t="s">
        <v>32</v>
      </c>
      <c r="H220" s="312"/>
      <c r="I220" s="312"/>
      <c r="J220" s="312"/>
      <c r="K220" s="312"/>
      <c r="L220" s="312"/>
      <c r="M220" s="312"/>
      <c r="N220" s="312"/>
      <c r="O220" s="312"/>
      <c r="P220" s="312"/>
      <c r="R220" s="312"/>
    </row>
    <row r="221" spans="1:18" x14ac:dyDescent="0.2">
      <c r="G221" s="313" t="s">
        <v>33</v>
      </c>
      <c r="H221" s="312"/>
      <c r="I221" s="312"/>
      <c r="J221" s="312"/>
    </row>
    <row r="222" spans="1:18" ht="76.5" x14ac:dyDescent="0.2">
      <c r="B222" s="1264" t="s">
        <v>65</v>
      </c>
      <c r="C222" s="1265"/>
      <c r="D222" s="1265"/>
      <c r="E222" s="1266"/>
      <c r="F222" s="168"/>
      <c r="G222" s="166" t="str">
        <f>"Afbouw van het regulatoir saldo inzake exogene kosten m.b.t. distributie op te nemen in het toegelaten inkomen voor boekjaar "&amp;D2</f>
        <v>Afbouw van het regulatoir saldo inzake exogene kosten m.b.t. distributie op te nemen in het toegelaten inkomen voor boekjaar 2021</v>
      </c>
      <c r="H222" s="312"/>
      <c r="I222" s="312"/>
      <c r="J222" s="312"/>
    </row>
    <row r="223" spans="1:18" x14ac:dyDescent="0.2">
      <c r="B223" s="325"/>
      <c r="C223" s="302"/>
      <c r="D223" s="302"/>
      <c r="E223" s="302"/>
      <c r="F223" s="303"/>
      <c r="G223" s="981"/>
      <c r="H223" s="312"/>
      <c r="I223" s="312"/>
      <c r="J223" s="312"/>
    </row>
    <row r="224" spans="1:18" ht="24.95" customHeight="1" x14ac:dyDescent="0.2">
      <c r="B224" s="1263" t="s">
        <v>250</v>
      </c>
      <c r="C224" s="1263"/>
      <c r="D224" s="1263"/>
      <c r="E224" s="1263"/>
      <c r="F224" s="168"/>
      <c r="G224" s="255">
        <f>VLOOKUP($D$2,B301:C304,2,FALSE)+VLOOKUP($D$2,B443:C446,2,FALSE)+VLOOKUP($D$2,B584:C587,2,FALSE)</f>
        <v>0</v>
      </c>
      <c r="H224" s="312"/>
      <c r="I224" s="312"/>
      <c r="J224" s="312"/>
    </row>
    <row r="225" spans="2:18" ht="24.95" customHeight="1" x14ac:dyDescent="0.2">
      <c r="B225" s="1263" t="s">
        <v>66</v>
      </c>
      <c r="C225" s="1263"/>
      <c r="D225" s="1263"/>
      <c r="E225" s="1263"/>
      <c r="F225" s="168"/>
      <c r="G225" s="255">
        <f>VLOOKUP($D$2,B376:C379,2,FALSE)</f>
        <v>0</v>
      </c>
      <c r="H225" s="312"/>
      <c r="I225" s="312"/>
      <c r="J225" s="312"/>
    </row>
    <row r="226" spans="2:18" ht="24.95" customHeight="1" x14ac:dyDescent="0.2">
      <c r="B226" s="1263" t="s">
        <v>67</v>
      </c>
      <c r="C226" s="1263"/>
      <c r="D226" s="1263"/>
      <c r="E226" s="1263"/>
      <c r="F226" s="168"/>
      <c r="G226" s="255">
        <f>VLOOKUP($D$2,B518:C521,2,FALSE)</f>
        <v>0</v>
      </c>
      <c r="H226" s="312"/>
      <c r="I226" s="312"/>
      <c r="J226" s="312"/>
    </row>
    <row r="227" spans="2:18" ht="24.95" customHeight="1" x14ac:dyDescent="0.2">
      <c r="B227" s="1263" t="s">
        <v>118</v>
      </c>
      <c r="C227" s="1263"/>
      <c r="D227" s="1263"/>
      <c r="E227" s="1263"/>
      <c r="F227" s="168"/>
      <c r="G227" s="255">
        <f>VLOOKUP($D$2,B659:C662,2,FALSE)</f>
        <v>0</v>
      </c>
      <c r="H227" s="312"/>
      <c r="I227" s="312"/>
      <c r="J227" s="312"/>
    </row>
    <row r="228" spans="2:18" ht="27.95" customHeight="1" x14ac:dyDescent="0.2">
      <c r="B228" s="1263" t="s">
        <v>68</v>
      </c>
      <c r="C228" s="1263"/>
      <c r="D228" s="1263"/>
      <c r="E228" s="1263"/>
      <c r="F228" s="168"/>
      <c r="G228" s="255">
        <f>VLOOKUP($D$2,B734:C737,2,FALSE)</f>
        <v>0</v>
      </c>
      <c r="H228" s="312"/>
      <c r="I228" s="312"/>
      <c r="J228" s="312"/>
    </row>
    <row r="229" spans="2:18" x14ac:dyDescent="0.2">
      <c r="H229" s="312"/>
      <c r="I229" s="312"/>
      <c r="J229" s="312"/>
    </row>
    <row r="230" spans="2:18" ht="24.95" customHeight="1" x14ac:dyDescent="0.2">
      <c r="B230" s="1279" t="s">
        <v>22</v>
      </c>
      <c r="C230" s="1280"/>
      <c r="D230" s="1280"/>
      <c r="E230" s="1281"/>
      <c r="F230" s="182"/>
      <c r="G230" s="169">
        <f>SUM(G224:G228)</f>
        <v>0</v>
      </c>
      <c r="H230" s="312"/>
      <c r="I230" s="312"/>
      <c r="J230" s="312"/>
    </row>
    <row r="231" spans="2:18" x14ac:dyDescent="0.2">
      <c r="Q231" s="212"/>
    </row>
    <row r="232" spans="2:18" x14ac:dyDescent="0.2">
      <c r="Q232" s="212"/>
    </row>
    <row r="233" spans="2:18" x14ac:dyDescent="0.2">
      <c r="B233" s="326" t="s">
        <v>240</v>
      </c>
      <c r="C233" s="327"/>
      <c r="D233" s="327"/>
      <c r="E233" s="327"/>
      <c r="F233" s="328"/>
      <c r="G233" s="328"/>
      <c r="H233" s="328"/>
      <c r="I233" s="328"/>
      <c r="J233" s="328"/>
      <c r="K233" s="328"/>
      <c r="L233" s="328"/>
      <c r="M233" s="328"/>
      <c r="N233" s="328"/>
      <c r="O233" s="328"/>
      <c r="P233" s="328"/>
      <c r="Q233" s="329"/>
      <c r="R233" s="328"/>
    </row>
    <row r="234" spans="2:18" x14ac:dyDescent="0.2">
      <c r="Q234" s="212"/>
    </row>
    <row r="235" spans="2:18" x14ac:dyDescent="0.2">
      <c r="B235" s="281" t="s">
        <v>172</v>
      </c>
      <c r="F235" s="1000">
        <v>2017</v>
      </c>
      <c r="Q235" s="212"/>
    </row>
    <row r="236" spans="2:18" x14ac:dyDescent="0.2">
      <c r="P236" s="212"/>
      <c r="Q236" s="167"/>
    </row>
    <row r="237" spans="2:18" ht="102" x14ac:dyDescent="0.2">
      <c r="B237" s="1257" t="s">
        <v>173</v>
      </c>
      <c r="C237" s="1258"/>
      <c r="D237" s="1258"/>
      <c r="E237" s="1259"/>
      <c r="F237" s="282"/>
      <c r="G237" s="166" t="str">
        <f>"Nog af te bouwen regulatoir saldo einde "&amp;F235-1</f>
        <v>Nog af te bouwen regulatoir saldo einde 2016</v>
      </c>
      <c r="H237" s="166" t="str">
        <f>"Afbouw oudste openstaande regulatoir saldo vanaf boekjaar "&amp;F235-3&amp;" en vroeger, door aanwending van compensatie met regulatoir saldo ontstaan over boekjaar "&amp;F235-2</f>
        <v>Afbouw oudste openstaande regulatoir saldo vanaf boekjaar 2014 en vroeger, door aanwending van compensatie met regulatoir saldo ontstaan over boekjaar 2015</v>
      </c>
      <c r="I237" s="166" t="str">
        <f>"Nog af te bouwen regulatoir saldo na compensatie einde "&amp;F235-1</f>
        <v>Nog af te bouwen regulatoir saldo na compensatie einde 2016</v>
      </c>
      <c r="J237" s="166" t="str">
        <f>"Aanwending van 60% van het geaccumuleerd regulatoir saldo door te rekenen volgens de tariefmethodologie in het boekjaar "&amp;F235</f>
        <v>Aanwending van 60% van het geaccumuleerd regulatoir saldo door te rekenen volgens de tariefmethodologie in het boekjaar 2017</v>
      </c>
      <c r="K237" s="166" t="str">
        <f>"Nog af te bouwen regulatoir saldo einde "&amp;F235</f>
        <v>Nog af te bouwen regulatoir saldo einde 2017</v>
      </c>
      <c r="L237" s="228"/>
      <c r="M237" s="228"/>
      <c r="N237" s="228"/>
      <c r="O237" s="228"/>
      <c r="P237" s="212"/>
      <c r="Q237" s="167"/>
    </row>
    <row r="238" spans="2:18" x14ac:dyDescent="0.2">
      <c r="B238" s="1260">
        <v>2015</v>
      </c>
      <c r="C238" s="1261"/>
      <c r="D238" s="1261"/>
      <c r="E238" s="1262"/>
      <c r="F238" s="283"/>
      <c r="G238" s="177">
        <f>G129</f>
        <v>0</v>
      </c>
      <c r="H238" s="566">
        <v>0</v>
      </c>
      <c r="I238" s="177">
        <f>+G238+H238</f>
        <v>0</v>
      </c>
      <c r="J238" s="177">
        <f>-I238*0.6</f>
        <v>0</v>
      </c>
      <c r="K238" s="1001">
        <f>+J238+G238</f>
        <v>0</v>
      </c>
      <c r="L238" s="1002"/>
      <c r="M238" s="1002"/>
      <c r="N238" s="1002"/>
      <c r="O238" s="1002"/>
      <c r="P238" s="212"/>
      <c r="Q238" s="167"/>
    </row>
    <row r="239" spans="2:18" x14ac:dyDescent="0.2">
      <c r="P239" s="212"/>
      <c r="Q239" s="167"/>
    </row>
    <row r="240" spans="2:18" x14ac:dyDescent="0.2">
      <c r="B240" s="281" t="s">
        <v>172</v>
      </c>
      <c r="F240" s="1000">
        <v>2018</v>
      </c>
      <c r="Q240" s="212"/>
    </row>
    <row r="241" spans="2:17" x14ac:dyDescent="0.2">
      <c r="Q241" s="212"/>
    </row>
    <row r="242" spans="2:17" ht="102" x14ac:dyDescent="0.2">
      <c r="B242" s="1257" t="s">
        <v>173</v>
      </c>
      <c r="C242" s="1258"/>
      <c r="D242" s="1258"/>
      <c r="E242" s="1259"/>
      <c r="F242" s="282"/>
      <c r="G242" s="166" t="str">
        <f>"Nog af te bouwen regulatoir saldo einde "&amp;F240-1</f>
        <v>Nog af te bouwen regulatoir saldo einde 2017</v>
      </c>
      <c r="H242" s="166" t="str">
        <f>"Afbouw oudste openstaande regulatoir saldo vanaf boekjaar "&amp;F240-3&amp;" en vroeger, door aanwending van compensatie met regulatoir saldo ontstaan over boekjaar "&amp;F240-2</f>
        <v>Afbouw oudste openstaande regulatoir saldo vanaf boekjaar 2015 en vroeger, door aanwending van compensatie met regulatoir saldo ontstaan over boekjaar 2016</v>
      </c>
      <c r="I242" s="166" t="str">
        <f>"Nog af te bouwen regulatoir saldo na compensatie einde "&amp;F240-1</f>
        <v>Nog af te bouwen regulatoir saldo na compensatie einde 2017</v>
      </c>
      <c r="J242" s="166" t="str">
        <f>"60% van het geaccumuleerd regulatoir saldo door te rekenen volgens de tariefmethodologie in het boekjaar "&amp;F240</f>
        <v>60% van het geaccumuleerd regulatoir saldo door te rekenen volgens de tariefmethodologie in het boekjaar 2018</v>
      </c>
      <c r="K242" s="166" t="str">
        <f>"Aanwending van 60% van het geaccumuleerd regulatoir saldo door te rekenen volgens de tariefmethodologie in het boekjaar "&amp;F240</f>
        <v>Aanwending van 60% van het geaccumuleerd regulatoir saldo door te rekenen volgens de tariefmethodologie in het boekjaar 2018</v>
      </c>
      <c r="L242" s="166" t="str">
        <f>"Totale afbouw over "&amp;F240</f>
        <v>Totale afbouw over 2018</v>
      </c>
      <c r="M242" s="166" t="str">
        <f>"Nog af te bouwen regulatoir saldo einde "&amp;F240</f>
        <v>Nog af te bouwen regulatoir saldo einde 2018</v>
      </c>
      <c r="N242" s="212"/>
      <c r="Q242" s="167"/>
    </row>
    <row r="243" spans="2:17" x14ac:dyDescent="0.2">
      <c r="B243" s="1260">
        <v>2015</v>
      </c>
      <c r="C243" s="1261"/>
      <c r="D243" s="1261"/>
      <c r="E243" s="1262"/>
      <c r="F243" s="283"/>
      <c r="G243" s="177">
        <f>K238</f>
        <v>0</v>
      </c>
      <c r="H243" s="566">
        <f>IF(SIGN(G244*K238)&lt;0,IF(G243&lt;&gt;0,-SIGN(G243)*MIN(ABS(G244),ABS(G243)),0),0)</f>
        <v>0</v>
      </c>
      <c r="I243" s="177">
        <f>+G243+H243</f>
        <v>0</v>
      </c>
      <c r="J243" s="995"/>
      <c r="K243" s="566">
        <f>-MIN(ABS(I243),ABS(J245))*SIGN(I243)</f>
        <v>0</v>
      </c>
      <c r="L243" s="1003">
        <f>+K243+H243</f>
        <v>0</v>
      </c>
      <c r="M243" s="177">
        <f>+I243+K243</f>
        <v>0</v>
      </c>
      <c r="N243" s="212"/>
      <c r="Q243" s="167"/>
    </row>
    <row r="244" spans="2:17" x14ac:dyDescent="0.2">
      <c r="B244" s="1260">
        <v>2016</v>
      </c>
      <c r="C244" s="1261"/>
      <c r="D244" s="1261"/>
      <c r="E244" s="1262"/>
      <c r="F244" s="283"/>
      <c r="G244" s="177">
        <f>H130</f>
        <v>0</v>
      </c>
      <c r="H244" s="1003">
        <f>IF(SIGN(G244*K238)&lt;0,-H243,0)</f>
        <v>0</v>
      </c>
      <c r="I244" s="177">
        <f>+G244+H244</f>
        <v>0</v>
      </c>
      <c r="J244" s="995"/>
      <c r="K244" s="566">
        <f>-MIN(ABS(I244),ABS(J245-K243))*SIGN(I244)</f>
        <v>0</v>
      </c>
      <c r="L244" s="1003">
        <f>+K244+H244</f>
        <v>0</v>
      </c>
      <c r="M244" s="177">
        <f>+I244+K244</f>
        <v>0</v>
      </c>
      <c r="N244" s="212"/>
      <c r="Q244" s="167"/>
    </row>
    <row r="245" spans="2:17" s="281" customFormat="1" x14ac:dyDescent="0.2">
      <c r="G245" s="284">
        <f>SUM(G243:G244)</f>
        <v>0</v>
      </c>
      <c r="H245" s="169">
        <f>SUM(H243:H244)</f>
        <v>0</v>
      </c>
      <c r="I245" s="284">
        <f>SUM(I243:I244)</f>
        <v>0</v>
      </c>
      <c r="J245" s="284">
        <f>-I245*0.6</f>
        <v>0</v>
      </c>
      <c r="K245" s="169">
        <f>SUM(K243:K244)</f>
        <v>0</v>
      </c>
      <c r="L245" s="570"/>
      <c r="M245" s="284">
        <f>SUM(M243:M244)</f>
        <v>0</v>
      </c>
    </row>
    <row r="246" spans="2:17" x14ac:dyDescent="0.2">
      <c r="Q246" s="167"/>
    </row>
    <row r="247" spans="2:17" x14ac:dyDescent="0.2">
      <c r="B247" s="281" t="s">
        <v>172</v>
      </c>
      <c r="F247" s="1000">
        <v>2019</v>
      </c>
      <c r="Q247" s="167"/>
    </row>
    <row r="248" spans="2:17" x14ac:dyDescent="0.2">
      <c r="Q248" s="167"/>
    </row>
    <row r="249" spans="2:17" ht="102" x14ac:dyDescent="0.2">
      <c r="B249" s="1257" t="s">
        <v>173</v>
      </c>
      <c r="C249" s="1258"/>
      <c r="D249" s="1258"/>
      <c r="E249" s="1259"/>
      <c r="F249" s="282"/>
      <c r="G249" s="166" t="str">
        <f>"Nog af te bouwen regulatoir saldo einde "&amp;F247-1</f>
        <v>Nog af te bouwen regulatoir saldo einde 2018</v>
      </c>
      <c r="H249" s="166" t="str">
        <f>"Afbouw oudste openstaande regulatoir saldo vanaf boekjaar "&amp;F247-3&amp;" en vroeger, door aanwending van compensatie met regulatoir saldo ontstaan over boekjaar "&amp;F247-2</f>
        <v>Afbouw oudste openstaande regulatoir saldo vanaf boekjaar 2016 en vroeger, door aanwending van compensatie met regulatoir saldo ontstaan over boekjaar 2017</v>
      </c>
      <c r="I249" s="166" t="str">
        <f>"Nog af te bouwen regulatoir saldo na compensatie einde "&amp;F247-1</f>
        <v>Nog af te bouwen regulatoir saldo na compensatie einde 2018</v>
      </c>
      <c r="J249" s="166" t="str">
        <f>"60% van het geaccumuleerd regulatoir saldo door te rekenen volgens de tariefmethodologie in het boekjaar "&amp;F247</f>
        <v>60% van het geaccumuleerd regulatoir saldo door te rekenen volgens de tariefmethodologie in het boekjaar 2019</v>
      </c>
      <c r="K249" s="166" t="str">
        <f>"Aanwending van het 60% van het geaccumuleerd regulatoir saldo door te rekenen volgens de tariefmethodologie in het boekjaar "&amp;F247</f>
        <v>Aanwending van het 60% van het geaccumuleerd regulatoir saldo door te rekenen volgens de tariefmethodologie in het boekjaar 2019</v>
      </c>
      <c r="L249" s="166" t="str">
        <f>"Totale afbouw over "&amp;F247</f>
        <v>Totale afbouw over 2019</v>
      </c>
      <c r="M249" s="166" t="str">
        <f>"Nog af te bouwen regulatoir saldo einde "&amp;F247</f>
        <v>Nog af te bouwen regulatoir saldo einde 2019</v>
      </c>
      <c r="N249" s="212"/>
      <c r="Q249" s="167"/>
    </row>
    <row r="250" spans="2:17" x14ac:dyDescent="0.2">
      <c r="B250" s="1260">
        <v>2015</v>
      </c>
      <c r="C250" s="1261"/>
      <c r="D250" s="1261"/>
      <c r="E250" s="1262"/>
      <c r="F250" s="283"/>
      <c r="G250" s="177">
        <f>+M243</f>
        <v>0</v>
      </c>
      <c r="H250" s="1003">
        <f>IF(SIGN(G252*M245)&lt;0,IF(G250&lt;&gt;0,-SIGN(G250)*MIN(ABS(G252),ABS(G250)),0),0)</f>
        <v>0</v>
      </c>
      <c r="I250" s="177">
        <f>+G250+H250</f>
        <v>0</v>
      </c>
      <c r="J250" s="995"/>
      <c r="K250" s="566">
        <f>-MIN(ABS(I250),ABS(J253))*SIGN(I250)</f>
        <v>0</v>
      </c>
      <c r="L250" s="1003">
        <f>+K250+H250</f>
        <v>0</v>
      </c>
      <c r="M250" s="177">
        <f>+I250+K250</f>
        <v>0</v>
      </c>
      <c r="N250" s="212"/>
      <c r="Q250" s="167"/>
    </row>
    <row r="251" spans="2:17" x14ac:dyDescent="0.2">
      <c r="B251" s="1260">
        <v>2016</v>
      </c>
      <c r="C251" s="1261"/>
      <c r="D251" s="1261">
        <v>2016</v>
      </c>
      <c r="E251" s="1262"/>
      <c r="F251" s="283"/>
      <c r="G251" s="177">
        <f>+M244</f>
        <v>0</v>
      </c>
      <c r="H251" s="1003">
        <f>IF(SIGN(G252*M245)&lt;0,IF(G251&lt;&gt;0,-SIGN(G251)*MIN(ABS(G252-H250),ABS(G251)),0),0)</f>
        <v>0</v>
      </c>
      <c r="I251" s="177">
        <f>+G251+H251</f>
        <v>0</v>
      </c>
      <c r="J251" s="995"/>
      <c r="K251" s="566">
        <f>-MIN(ABS(I251),ABS(J253-K250))*SIGN(I251)</f>
        <v>0</v>
      </c>
      <c r="L251" s="1003">
        <f>+K251+H251</f>
        <v>0</v>
      </c>
      <c r="M251" s="177">
        <f>+I251+K251</f>
        <v>0</v>
      </c>
      <c r="N251" s="212"/>
      <c r="Q251" s="167"/>
    </row>
    <row r="252" spans="2:17" x14ac:dyDescent="0.2">
      <c r="B252" s="1260">
        <v>2017</v>
      </c>
      <c r="C252" s="1261"/>
      <c r="D252" s="1261"/>
      <c r="E252" s="1262"/>
      <c r="F252" s="283"/>
      <c r="G252" s="177">
        <f>I131</f>
        <v>0</v>
      </c>
      <c r="H252" s="1003">
        <f>IF(SIGN(G252*M245)&lt;0,-SUM(H250:H251),0)</f>
        <v>0</v>
      </c>
      <c r="I252" s="177">
        <f>+G252+H252</f>
        <v>0</v>
      </c>
      <c r="J252" s="995"/>
      <c r="K252" s="566">
        <f>-MIN(ABS(I252),ABS(J253-K250-K251))*SIGN(I252)</f>
        <v>0</v>
      </c>
      <c r="L252" s="1003">
        <f>+K252+H252</f>
        <v>0</v>
      </c>
      <c r="M252" s="177">
        <f>+I252+K252</f>
        <v>0</v>
      </c>
      <c r="N252" s="212"/>
      <c r="Q252" s="167"/>
    </row>
    <row r="253" spans="2:17" s="281" customFormat="1" x14ac:dyDescent="0.2">
      <c r="G253" s="284">
        <f>SUM(G250:G252)</f>
        <v>0</v>
      </c>
      <c r="H253" s="169">
        <f>SUM(H250:H252)</f>
        <v>0</v>
      </c>
      <c r="I253" s="284">
        <f>SUM(I250:I252)</f>
        <v>0</v>
      </c>
      <c r="J253" s="284">
        <f>-I253*0.6</f>
        <v>0</v>
      </c>
      <c r="K253" s="169">
        <f>SUM(K250:K252)</f>
        <v>0</v>
      </c>
      <c r="L253" s="570"/>
      <c r="M253" s="284">
        <f>SUM(M250:M252)</f>
        <v>0</v>
      </c>
    </row>
    <row r="254" spans="2:17" x14ac:dyDescent="0.2">
      <c r="Q254" s="167"/>
    </row>
    <row r="255" spans="2:17" x14ac:dyDescent="0.2">
      <c r="B255" s="281" t="s">
        <v>172</v>
      </c>
      <c r="F255" s="1000">
        <v>2020</v>
      </c>
      <c r="Q255" s="167"/>
    </row>
    <row r="256" spans="2:17" x14ac:dyDescent="0.2">
      <c r="Q256" s="167"/>
    </row>
    <row r="257" spans="2:17" ht="102" customHeight="1" x14ac:dyDescent="0.2">
      <c r="B257" s="1257" t="s">
        <v>173</v>
      </c>
      <c r="C257" s="1258"/>
      <c r="D257" s="1258"/>
      <c r="E257" s="1259"/>
      <c r="F257" s="282"/>
      <c r="G257" s="166" t="str">
        <f>"Nog af te bouwen regulatoir saldo einde "&amp;F255-1</f>
        <v>Nog af te bouwen regulatoir saldo einde 2019</v>
      </c>
      <c r="H257" s="166" t="str">
        <f>"Afbouw oudste openstaande regulatoir saldo vanaf boekjaar "&amp;F255-3&amp;" en vroeger, door aanwending van compensatie met regulatoir saldo ontstaan over boekjaar "&amp;F255-2</f>
        <v>Afbouw oudste openstaande regulatoir saldo vanaf boekjaar 2017 en vroeger, door aanwending van compensatie met regulatoir saldo ontstaan over boekjaar 2018</v>
      </c>
      <c r="I257" s="166" t="str">
        <f>"Nog af te bouwen regulatoir saldo na compensatie einde "&amp;F255-1</f>
        <v>Nog af te bouwen regulatoir saldo na compensatie einde 2019</v>
      </c>
      <c r="J257" s="166" t="str">
        <f>"60% van het geaccumuleerd regulatoir saldo door te rekenen volgens de tariefmethodologie in het boekjaar "&amp;F255</f>
        <v>60% van het geaccumuleerd regulatoir saldo door te rekenen volgens de tariefmethodologie in het boekjaar 2020</v>
      </c>
      <c r="K257" s="166" t="str">
        <f>"Aanwending van het 60% van het geaccumuleerd regulatoir saldo door te rekenen volgens de tariefmethodologie in het boekjaar "&amp;F255</f>
        <v>Aanwending van het 60% van het geaccumuleerd regulatoir saldo door te rekenen volgens de tariefmethodologie in het boekjaar 2020</v>
      </c>
      <c r="L257" s="166" t="str">
        <f>"Totale afbouw over "&amp;F255</f>
        <v>Totale afbouw over 2020</v>
      </c>
      <c r="M257" s="166" t="str">
        <f>"Nog af te bouwen regulatoir saldo einde "&amp;F255</f>
        <v>Nog af te bouwen regulatoir saldo einde 2020</v>
      </c>
      <c r="N257" s="212"/>
      <c r="Q257" s="167"/>
    </row>
    <row r="258" spans="2:17" x14ac:dyDescent="0.2">
      <c r="B258" s="1260">
        <v>2015</v>
      </c>
      <c r="C258" s="1261"/>
      <c r="D258" s="1261"/>
      <c r="E258" s="1262"/>
      <c r="F258" s="283"/>
      <c r="G258" s="177">
        <f>+M250</f>
        <v>0</v>
      </c>
      <c r="H258" s="1003">
        <f>IF(SIGN(G261*M253)&lt;0,IF(G258&lt;&gt;0,-SIGN(G258)*MIN(ABS(G261),ABS(G258)),0),0)</f>
        <v>0</v>
      </c>
      <c r="I258" s="177">
        <f>+G258+H258</f>
        <v>0</v>
      </c>
      <c r="J258" s="995"/>
      <c r="K258" s="566">
        <f>-MIN(ABS(I258),ABS(J262))*SIGN(I258)</f>
        <v>0</v>
      </c>
      <c r="L258" s="1003">
        <f>+K258+H258</f>
        <v>0</v>
      </c>
      <c r="M258" s="177">
        <f>+I258+K258</f>
        <v>0</v>
      </c>
      <c r="N258" s="212"/>
      <c r="Q258" s="167"/>
    </row>
    <row r="259" spans="2:17" x14ac:dyDescent="0.2">
      <c r="B259" s="1260">
        <v>2016</v>
      </c>
      <c r="C259" s="1261"/>
      <c r="D259" s="1261"/>
      <c r="E259" s="1262"/>
      <c r="F259" s="283"/>
      <c r="G259" s="177">
        <f>+M251</f>
        <v>0</v>
      </c>
      <c r="H259" s="1003">
        <f>IF(SIGN(G261*M253)&lt;0,IF(G259&lt;&gt;0,-SIGN(G259)*MIN(ABS(G261-H258),ABS(G259)),0),0)</f>
        <v>0</v>
      </c>
      <c r="I259" s="177">
        <f>+G259+H259</f>
        <v>0</v>
      </c>
      <c r="J259" s="995"/>
      <c r="K259" s="566">
        <f>-MIN(ABS(I259),ABS(J262-K258))*SIGN(I259)</f>
        <v>0</v>
      </c>
      <c r="L259" s="1003">
        <f>+K259+H259</f>
        <v>0</v>
      </c>
      <c r="M259" s="177">
        <f>+I259+K259</f>
        <v>0</v>
      </c>
      <c r="N259" s="212"/>
      <c r="Q259" s="167"/>
    </row>
    <row r="260" spans="2:17" x14ac:dyDescent="0.2">
      <c r="B260" s="1260">
        <v>2017</v>
      </c>
      <c r="C260" s="1261"/>
      <c r="D260" s="1261">
        <v>2016</v>
      </c>
      <c r="E260" s="1262"/>
      <c r="F260" s="283"/>
      <c r="G260" s="177">
        <f>+M252</f>
        <v>0</v>
      </c>
      <c r="H260" s="1003">
        <f>IF(SIGN(G261*M253)&lt;0,IF(G260&lt;&gt;0,-SIGN(G260)*MIN(ABS(G261-H258-H259),ABS(G260)),0),0)</f>
        <v>0</v>
      </c>
      <c r="I260" s="177">
        <f>+G260+H260</f>
        <v>0</v>
      </c>
      <c r="J260" s="995"/>
      <c r="K260" s="566">
        <f>-MIN(ABS(I260),ABS(J262-K258-K259))*SIGN(I260)</f>
        <v>0</v>
      </c>
      <c r="L260" s="1003">
        <f>+K260+H260</f>
        <v>0</v>
      </c>
      <c r="M260" s="177">
        <f>+I260+K260</f>
        <v>0</v>
      </c>
      <c r="N260" s="212"/>
      <c r="Q260" s="167"/>
    </row>
    <row r="261" spans="2:17" x14ac:dyDescent="0.2">
      <c r="B261" s="1260">
        <v>2018</v>
      </c>
      <c r="C261" s="1261"/>
      <c r="D261" s="1261"/>
      <c r="E261" s="1262"/>
      <c r="F261" s="283"/>
      <c r="G261" s="177">
        <f>J132</f>
        <v>0</v>
      </c>
      <c r="H261" s="1003">
        <f>IF(SIGN(G261*M253)&lt;0,-SUM(H258:H260),0)</f>
        <v>0</v>
      </c>
      <c r="I261" s="177">
        <f>+G261+H261</f>
        <v>0</v>
      </c>
      <c r="J261" s="995"/>
      <c r="K261" s="566">
        <f>-MIN(ABS(I261),ABS(J262-K258-K259-K260))*SIGN(I261)</f>
        <v>0</v>
      </c>
      <c r="L261" s="1003">
        <f>+K261+H261</f>
        <v>0</v>
      </c>
      <c r="M261" s="177">
        <f>+I261+K261</f>
        <v>0</v>
      </c>
      <c r="N261" s="212"/>
      <c r="Q261" s="167"/>
    </row>
    <row r="262" spans="2:17" s="281" customFormat="1" x14ac:dyDescent="0.2">
      <c r="G262" s="284">
        <f>SUM(G258:G261)</f>
        <v>0</v>
      </c>
      <c r="H262" s="169">
        <f>SUM(H258:H261)</f>
        <v>0</v>
      </c>
      <c r="I262" s="284">
        <f>SUM(I258:I261)</f>
        <v>0</v>
      </c>
      <c r="J262" s="284">
        <f>-I262*0.6</f>
        <v>0</v>
      </c>
      <c r="K262" s="169">
        <f>SUM(K258:K261)</f>
        <v>0</v>
      </c>
      <c r="L262" s="169"/>
      <c r="M262" s="284">
        <f>SUM(M258:M261)</f>
        <v>0</v>
      </c>
    </row>
    <row r="263" spans="2:17" x14ac:dyDescent="0.2">
      <c r="K263" s="221"/>
      <c r="L263" s="221"/>
      <c r="Q263" s="167"/>
    </row>
    <row r="264" spans="2:17" x14ac:dyDescent="0.2">
      <c r="B264" s="281" t="s">
        <v>172</v>
      </c>
      <c r="F264" s="1000">
        <v>2021</v>
      </c>
      <c r="Q264" s="167"/>
    </row>
    <row r="265" spans="2:17" x14ac:dyDescent="0.2">
      <c r="Q265" s="167"/>
    </row>
    <row r="266" spans="2:17" ht="102" customHeight="1" x14ac:dyDescent="0.2">
      <c r="B266" s="1257" t="s">
        <v>173</v>
      </c>
      <c r="C266" s="1258"/>
      <c r="D266" s="1258"/>
      <c r="E266" s="1259"/>
      <c r="F266" s="282"/>
      <c r="G266" s="166" t="str">
        <f>"Nog af te bouwen regulatoir saldo einde "&amp;F264-1</f>
        <v>Nog af te bouwen regulatoir saldo einde 2020</v>
      </c>
      <c r="H266" s="166" t="str">
        <f>"50% van oorspronkelijk saldo door te rekenen volgens de tariefmethodologie in het boekjaar "&amp;F264</f>
        <v>50% van oorspronkelijk saldo door te rekenen volgens de tariefmethodologie in het boekjaar 2021</v>
      </c>
      <c r="I266" s="166" t="str">
        <f>"Nog af te bouwen regulatoir saldo einde "&amp;F264</f>
        <v>Nog af te bouwen regulatoir saldo einde 2021</v>
      </c>
      <c r="J266" s="212"/>
      <c r="Q266" s="167"/>
    </row>
    <row r="267" spans="2:17" x14ac:dyDescent="0.2">
      <c r="B267" s="1260">
        <v>2015</v>
      </c>
      <c r="C267" s="1261"/>
      <c r="D267" s="1261"/>
      <c r="E267" s="1262"/>
      <c r="F267" s="283"/>
      <c r="G267" s="177">
        <f>M258</f>
        <v>0</v>
      </c>
      <c r="H267" s="177">
        <f>-G267*0.5</f>
        <v>0</v>
      </c>
      <c r="I267" s="177">
        <f>+G267+H267</f>
        <v>0</v>
      </c>
      <c r="J267" s="212"/>
      <c r="Q267" s="167"/>
    </row>
    <row r="268" spans="2:17" x14ac:dyDescent="0.2">
      <c r="B268" s="1260">
        <v>2016</v>
      </c>
      <c r="C268" s="1261"/>
      <c r="D268" s="1261"/>
      <c r="E268" s="1262"/>
      <c r="F268" s="283"/>
      <c r="G268" s="177">
        <f t="shared" ref="G268:G270" si="43">M259</f>
        <v>0</v>
      </c>
      <c r="H268" s="177">
        <f t="shared" ref="H268:H271" si="44">-G268*0.5</f>
        <v>0</v>
      </c>
      <c r="I268" s="177">
        <f t="shared" ref="I268:I271" si="45">+G268+H268</f>
        <v>0</v>
      </c>
      <c r="J268" s="212"/>
      <c r="Q268" s="167"/>
    </row>
    <row r="269" spans="2:17" x14ac:dyDescent="0.2">
      <c r="B269" s="1260">
        <v>2017</v>
      </c>
      <c r="C269" s="1261"/>
      <c r="D269" s="1261">
        <v>2016</v>
      </c>
      <c r="E269" s="1262"/>
      <c r="F269" s="283"/>
      <c r="G269" s="177">
        <f t="shared" si="43"/>
        <v>0</v>
      </c>
      <c r="H269" s="177">
        <f t="shared" si="44"/>
        <v>0</v>
      </c>
      <c r="I269" s="177">
        <f t="shared" si="45"/>
        <v>0</v>
      </c>
      <c r="J269" s="212"/>
      <c r="Q269" s="167"/>
    </row>
    <row r="270" spans="2:17" x14ac:dyDescent="0.2">
      <c r="B270" s="1260">
        <v>2018</v>
      </c>
      <c r="C270" s="1261"/>
      <c r="D270" s="1261"/>
      <c r="E270" s="1262"/>
      <c r="F270" s="283"/>
      <c r="G270" s="177">
        <f t="shared" si="43"/>
        <v>0</v>
      </c>
      <c r="H270" s="177">
        <f t="shared" si="44"/>
        <v>0</v>
      </c>
      <c r="I270" s="177">
        <f t="shared" si="45"/>
        <v>0</v>
      </c>
      <c r="J270" s="212"/>
      <c r="Q270" s="167"/>
    </row>
    <row r="271" spans="2:17" x14ac:dyDescent="0.2">
      <c r="B271" s="1260">
        <v>2019</v>
      </c>
      <c r="C271" s="1261"/>
      <c r="D271" s="1261"/>
      <c r="E271" s="1262"/>
      <c r="F271" s="283"/>
      <c r="G271" s="177">
        <f>K133</f>
        <v>0</v>
      </c>
      <c r="H271" s="177">
        <f t="shared" si="44"/>
        <v>0</v>
      </c>
      <c r="I271" s="177">
        <f t="shared" si="45"/>
        <v>0</v>
      </c>
      <c r="J271" s="212"/>
      <c r="Q271" s="167"/>
    </row>
    <row r="272" spans="2:17" s="281" customFormat="1" x14ac:dyDescent="0.2">
      <c r="G272" s="284">
        <f>SUM(G267:G271)</f>
        <v>0</v>
      </c>
      <c r="H272" s="284">
        <f>SUM(H267:H271)</f>
        <v>0</v>
      </c>
      <c r="I272" s="284">
        <f>SUM(I267:I271)</f>
        <v>0</v>
      </c>
    </row>
    <row r="273" spans="2:17" x14ac:dyDescent="0.2">
      <c r="Q273" s="167"/>
    </row>
    <row r="274" spans="2:17" x14ac:dyDescent="0.2">
      <c r="B274" s="847" t="s">
        <v>172</v>
      </c>
      <c r="C274" s="842"/>
      <c r="D274" s="842"/>
      <c r="E274" s="842"/>
      <c r="F274" s="1004">
        <v>2022</v>
      </c>
      <c r="G274" s="842"/>
      <c r="H274" s="842"/>
      <c r="I274" s="842"/>
      <c r="Q274" s="167"/>
    </row>
    <row r="275" spans="2:17" x14ac:dyDescent="0.2">
      <c r="B275" s="842"/>
      <c r="C275" s="842"/>
      <c r="D275" s="842"/>
      <c r="E275" s="842"/>
      <c r="F275" s="842"/>
      <c r="G275" s="842"/>
      <c r="H275" s="842"/>
      <c r="I275" s="842"/>
      <c r="Q275" s="167"/>
    </row>
    <row r="276" spans="2:17" ht="102" customHeight="1" x14ac:dyDescent="0.2">
      <c r="B276" s="1254" t="s">
        <v>173</v>
      </c>
      <c r="C276" s="1255"/>
      <c r="D276" s="1255"/>
      <c r="E276" s="1256"/>
      <c r="F276" s="848"/>
      <c r="G276" s="837" t="str">
        <f>"Nog af te bouwen regulatoir saldo einde "&amp;F274-1</f>
        <v>Nog af te bouwen regulatoir saldo einde 2021</v>
      </c>
      <c r="H276" s="837" t="str">
        <f>"50% van oorspronkelijk saldo door te rekenen volgens de tariefmethodologie in het boekjaar "&amp;F274</f>
        <v>50% van oorspronkelijk saldo door te rekenen volgens de tariefmethodologie in het boekjaar 2022</v>
      </c>
      <c r="I276" s="837" t="str">
        <f>"Nog af te bouwen regulatoir saldo einde "&amp;F274</f>
        <v>Nog af te bouwen regulatoir saldo einde 2022</v>
      </c>
      <c r="J276" s="212"/>
      <c r="Q276" s="167"/>
    </row>
    <row r="277" spans="2:17" x14ac:dyDescent="0.2">
      <c r="B277" s="1251">
        <v>2015</v>
      </c>
      <c r="C277" s="1252"/>
      <c r="D277" s="1252"/>
      <c r="E277" s="1253"/>
      <c r="F277" s="341"/>
      <c r="G277" s="339">
        <f>+I267</f>
        <v>0</v>
      </c>
      <c r="H277" s="339">
        <f>-G267*0.5</f>
        <v>0</v>
      </c>
      <c r="I277" s="339">
        <f>+G277+H277</f>
        <v>0</v>
      </c>
      <c r="J277" s="212"/>
      <c r="Q277" s="167"/>
    </row>
    <row r="278" spans="2:17" x14ac:dyDescent="0.2">
      <c r="B278" s="1251">
        <v>2016</v>
      </c>
      <c r="C278" s="1252"/>
      <c r="D278" s="1252"/>
      <c r="E278" s="1253"/>
      <c r="F278" s="341"/>
      <c r="G278" s="339">
        <f t="shared" ref="G278:G281" si="46">+I268</f>
        <v>0</v>
      </c>
      <c r="H278" s="339">
        <f t="shared" ref="H278:H281" si="47">-G268*0.5</f>
        <v>0</v>
      </c>
      <c r="I278" s="339">
        <f t="shared" ref="I278:I281" si="48">+G278+H278</f>
        <v>0</v>
      </c>
      <c r="J278" s="212"/>
      <c r="Q278" s="167"/>
    </row>
    <row r="279" spans="2:17" x14ac:dyDescent="0.2">
      <c r="B279" s="1251">
        <v>2017</v>
      </c>
      <c r="C279" s="1252"/>
      <c r="D279" s="1252">
        <v>2016</v>
      </c>
      <c r="E279" s="1253"/>
      <c r="F279" s="341"/>
      <c r="G279" s="339">
        <f t="shared" si="46"/>
        <v>0</v>
      </c>
      <c r="H279" s="339">
        <f t="shared" si="47"/>
        <v>0</v>
      </c>
      <c r="I279" s="339">
        <f t="shared" si="48"/>
        <v>0</v>
      </c>
      <c r="J279" s="212"/>
      <c r="Q279" s="167"/>
    </row>
    <row r="280" spans="2:17" x14ac:dyDescent="0.2">
      <c r="B280" s="1251">
        <v>2018</v>
      </c>
      <c r="C280" s="1252"/>
      <c r="D280" s="1252"/>
      <c r="E280" s="1253"/>
      <c r="F280" s="341"/>
      <c r="G280" s="339">
        <f t="shared" si="46"/>
        <v>0</v>
      </c>
      <c r="H280" s="339">
        <f t="shared" si="47"/>
        <v>0</v>
      </c>
      <c r="I280" s="339">
        <f t="shared" si="48"/>
        <v>0</v>
      </c>
      <c r="J280" s="212"/>
      <c r="Q280" s="167"/>
    </row>
    <row r="281" spans="2:17" x14ac:dyDescent="0.2">
      <c r="B281" s="1251">
        <v>2019</v>
      </c>
      <c r="C281" s="1252"/>
      <c r="D281" s="1252"/>
      <c r="E281" s="1253"/>
      <c r="F281" s="341"/>
      <c r="G281" s="339">
        <f t="shared" si="46"/>
        <v>0</v>
      </c>
      <c r="H281" s="339">
        <f t="shared" si="47"/>
        <v>0</v>
      </c>
      <c r="I281" s="339">
        <f t="shared" si="48"/>
        <v>0</v>
      </c>
      <c r="J281" s="212"/>
      <c r="Q281" s="167"/>
    </row>
    <row r="282" spans="2:17" x14ac:dyDescent="0.2">
      <c r="B282" s="1251">
        <v>2020</v>
      </c>
      <c r="C282" s="1252"/>
      <c r="D282" s="1252"/>
      <c r="E282" s="1253"/>
      <c r="F282" s="341"/>
      <c r="G282" s="339">
        <f>L134</f>
        <v>0</v>
      </c>
      <c r="H282" s="339">
        <f t="shared" ref="H282" si="49">-G282*0.5</f>
        <v>0</v>
      </c>
      <c r="I282" s="339">
        <f t="shared" ref="I282" si="50">+G282+H282</f>
        <v>0</v>
      </c>
      <c r="J282" s="212"/>
      <c r="Q282" s="167"/>
    </row>
    <row r="283" spans="2:17" s="281" customFormat="1" x14ac:dyDescent="0.2">
      <c r="B283" s="847"/>
      <c r="C283" s="847"/>
      <c r="D283" s="847"/>
      <c r="E283" s="847"/>
      <c r="F283" s="847"/>
      <c r="G283" s="849">
        <f>SUM(G277:G282)</f>
        <v>0</v>
      </c>
      <c r="H283" s="849">
        <f t="shared" ref="H283:I283" si="51">SUM(H277:H282)</f>
        <v>0</v>
      </c>
      <c r="I283" s="849">
        <f t="shared" si="51"/>
        <v>0</v>
      </c>
    </row>
    <row r="284" spans="2:17" x14ac:dyDescent="0.2">
      <c r="B284" s="842"/>
      <c r="C284" s="842"/>
      <c r="D284" s="842"/>
      <c r="E284" s="842"/>
      <c r="F284" s="842"/>
      <c r="G284" s="842"/>
      <c r="H284" s="842"/>
      <c r="I284" s="842"/>
      <c r="Q284" s="167"/>
    </row>
    <row r="285" spans="2:17" x14ac:dyDescent="0.2">
      <c r="B285" s="847" t="s">
        <v>172</v>
      </c>
      <c r="C285" s="842"/>
      <c r="D285" s="842"/>
      <c r="E285" s="842"/>
      <c r="F285" s="1004">
        <v>2023</v>
      </c>
      <c r="G285" s="842"/>
      <c r="H285" s="842"/>
      <c r="I285" s="842"/>
      <c r="Q285" s="167"/>
    </row>
    <row r="286" spans="2:17" x14ac:dyDescent="0.2">
      <c r="B286" s="842"/>
      <c r="C286" s="842"/>
      <c r="D286" s="842"/>
      <c r="E286" s="842"/>
      <c r="F286" s="842"/>
      <c r="G286" s="842"/>
      <c r="H286" s="842"/>
      <c r="I286" s="842"/>
      <c r="Q286" s="167"/>
    </row>
    <row r="287" spans="2:17" ht="102" customHeight="1" x14ac:dyDescent="0.2">
      <c r="B287" s="1254" t="s">
        <v>173</v>
      </c>
      <c r="C287" s="1255"/>
      <c r="D287" s="1255"/>
      <c r="E287" s="1256"/>
      <c r="F287" s="848"/>
      <c r="G287" s="837" t="str">
        <f>"Nog af te bouwen regulatoir saldo einde "&amp;F285-1</f>
        <v>Nog af te bouwen regulatoir saldo einde 2022</v>
      </c>
      <c r="H287" s="837" t="str">
        <f>"50% van oorspronkelijk saldo door te rekenen volgens de tariefmethodologie in het boekjaar "&amp;F285</f>
        <v>50% van oorspronkelijk saldo door te rekenen volgens de tariefmethodologie in het boekjaar 2023</v>
      </c>
      <c r="I287" s="837" t="str">
        <f>"Nog af te bouwen regulatoir saldo einde "&amp;F285</f>
        <v>Nog af te bouwen regulatoir saldo einde 2023</v>
      </c>
      <c r="J287" s="212"/>
      <c r="Q287" s="167"/>
    </row>
    <row r="288" spans="2:17" x14ac:dyDescent="0.2">
      <c r="B288" s="1251">
        <v>2020</v>
      </c>
      <c r="C288" s="1252"/>
      <c r="D288" s="1252"/>
      <c r="E288" s="1253"/>
      <c r="F288" s="341"/>
      <c r="G288" s="339">
        <f>+I282</f>
        <v>0</v>
      </c>
      <c r="H288" s="339">
        <f>-G282*0.5</f>
        <v>0</v>
      </c>
      <c r="I288" s="339">
        <f t="shared" ref="I288" si="52">+G288+H288</f>
        <v>0</v>
      </c>
      <c r="J288" s="212"/>
      <c r="Q288" s="167"/>
    </row>
    <row r="289" spans="2:17" x14ac:dyDescent="0.2">
      <c r="B289" s="1251">
        <v>2021</v>
      </c>
      <c r="C289" s="1252"/>
      <c r="D289" s="1252"/>
      <c r="E289" s="1253"/>
      <c r="F289" s="341"/>
      <c r="G289" s="339">
        <f>M135</f>
        <v>0</v>
      </c>
      <c r="H289" s="339">
        <f t="shared" ref="H289" si="53">-G289*0.5</f>
        <v>0</v>
      </c>
      <c r="I289" s="339">
        <f t="shared" ref="I289" si="54">+G289+H289</f>
        <v>0</v>
      </c>
      <c r="J289" s="212"/>
      <c r="Q289" s="167"/>
    </row>
    <row r="290" spans="2:17" s="281" customFormat="1" x14ac:dyDescent="0.2">
      <c r="B290" s="847"/>
      <c r="C290" s="847"/>
      <c r="D290" s="847"/>
      <c r="E290" s="847"/>
      <c r="F290" s="847"/>
      <c r="G290" s="849">
        <f>SUM(G288:G289)</f>
        <v>0</v>
      </c>
      <c r="H290" s="849">
        <f>SUM(H288:H289)</f>
        <v>0</v>
      </c>
      <c r="I290" s="849">
        <f>SUM(I288:I289)</f>
        <v>0</v>
      </c>
    </row>
    <row r="291" spans="2:17" x14ac:dyDescent="0.2">
      <c r="B291" s="842"/>
      <c r="C291" s="842"/>
      <c r="D291" s="842"/>
      <c r="E291" s="842"/>
      <c r="F291" s="842"/>
      <c r="G291" s="842"/>
      <c r="H291" s="842"/>
      <c r="I291" s="842"/>
      <c r="Q291" s="167"/>
    </row>
    <row r="292" spans="2:17" x14ac:dyDescent="0.2">
      <c r="B292" s="847" t="s">
        <v>172</v>
      </c>
      <c r="C292" s="842"/>
      <c r="D292" s="842"/>
      <c r="E292" s="842"/>
      <c r="F292" s="1004">
        <v>2024</v>
      </c>
      <c r="G292" s="842"/>
      <c r="H292" s="842"/>
      <c r="I292" s="842"/>
      <c r="Q292" s="167"/>
    </row>
    <row r="293" spans="2:17" x14ac:dyDescent="0.2">
      <c r="B293" s="842"/>
      <c r="C293" s="842"/>
      <c r="D293" s="842"/>
      <c r="E293" s="842"/>
      <c r="F293" s="842"/>
      <c r="G293" s="842"/>
      <c r="H293" s="842"/>
      <c r="I293" s="842"/>
      <c r="Q293" s="167"/>
    </row>
    <row r="294" spans="2:17" ht="102" customHeight="1" x14ac:dyDescent="0.2">
      <c r="B294" s="1254" t="s">
        <v>173</v>
      </c>
      <c r="C294" s="1255"/>
      <c r="D294" s="1255"/>
      <c r="E294" s="1256"/>
      <c r="F294" s="848"/>
      <c r="G294" s="837" t="str">
        <f>"Nog af te bouwen regulatoir saldo einde "&amp;F292-1</f>
        <v>Nog af te bouwen regulatoir saldo einde 2023</v>
      </c>
      <c r="H294" s="837" t="str">
        <f>"50% van oorspronkelijk saldo door te rekenen volgens de tariefmethodologie in het boekjaar "&amp;F292</f>
        <v>50% van oorspronkelijk saldo door te rekenen volgens de tariefmethodologie in het boekjaar 2024</v>
      </c>
      <c r="I294" s="837" t="str">
        <f>"Nog af te bouwen regulatoir saldo einde "&amp;F292</f>
        <v>Nog af te bouwen regulatoir saldo einde 2024</v>
      </c>
      <c r="J294" s="212"/>
      <c r="Q294" s="167"/>
    </row>
    <row r="295" spans="2:17" x14ac:dyDescent="0.2">
      <c r="B295" s="1251">
        <v>2021</v>
      </c>
      <c r="C295" s="1252"/>
      <c r="D295" s="1252"/>
      <c r="E295" s="1253"/>
      <c r="F295" s="341"/>
      <c r="G295" s="339">
        <f>+I289</f>
        <v>0</v>
      </c>
      <c r="H295" s="339">
        <f>-G289*0.5</f>
        <v>0</v>
      </c>
      <c r="I295" s="339">
        <f t="shared" ref="I295:I296" si="55">+G295+H295</f>
        <v>0</v>
      </c>
      <c r="J295" s="212"/>
      <c r="Q295" s="167"/>
    </row>
    <row r="296" spans="2:17" x14ac:dyDescent="0.2">
      <c r="B296" s="1251">
        <v>2022</v>
      </c>
      <c r="C296" s="1252"/>
      <c r="D296" s="1252"/>
      <c r="E296" s="1253"/>
      <c r="F296" s="341"/>
      <c r="G296" s="339">
        <f>N136</f>
        <v>0</v>
      </c>
      <c r="H296" s="339">
        <f t="shared" ref="H296" si="56">-G296*0.5</f>
        <v>0</v>
      </c>
      <c r="I296" s="339">
        <f t="shared" si="55"/>
        <v>0</v>
      </c>
      <c r="J296" s="212"/>
      <c r="Q296" s="167"/>
    </row>
    <row r="297" spans="2:17" s="281" customFormat="1" x14ac:dyDescent="0.2">
      <c r="B297" s="847"/>
      <c r="C297" s="847"/>
      <c r="D297" s="847"/>
      <c r="E297" s="847"/>
      <c r="F297" s="847"/>
      <c r="G297" s="849">
        <f>SUM(G295:G296)</f>
        <v>0</v>
      </c>
      <c r="H297" s="849">
        <f>SUM(H295:H296)</f>
        <v>0</v>
      </c>
      <c r="I297" s="849">
        <f>SUM(I295:I296)</f>
        <v>0</v>
      </c>
    </row>
    <row r="298" spans="2:17" x14ac:dyDescent="0.2">
      <c r="B298" s="281" t="str">
        <f>B233</f>
        <v xml:space="preserve">Het basistarief voor het gebruik van het net </v>
      </c>
      <c r="Q298" s="167"/>
    </row>
    <row r="299" spans="2:17" x14ac:dyDescent="0.2">
      <c r="B299" s="281" t="s">
        <v>174</v>
      </c>
      <c r="C299" s="224"/>
      <c r="D299" s="224"/>
      <c r="E299" s="224"/>
      <c r="Q299" s="167"/>
    </row>
    <row r="300" spans="2:17" x14ac:dyDescent="0.2">
      <c r="C300" s="224"/>
      <c r="D300" s="224"/>
      <c r="E300" s="224"/>
      <c r="Q300" s="167"/>
    </row>
    <row r="301" spans="2:17" x14ac:dyDescent="0.2">
      <c r="B301" s="283">
        <f>F264</f>
        <v>2021</v>
      </c>
      <c r="C301" s="287">
        <f>+H272</f>
        <v>0</v>
      </c>
      <c r="D301" s="224"/>
      <c r="E301" s="224"/>
      <c r="Q301" s="167"/>
    </row>
    <row r="302" spans="2:17" x14ac:dyDescent="0.2">
      <c r="B302" s="341">
        <v>2022</v>
      </c>
      <c r="C302" s="342">
        <f>+H283</f>
        <v>0</v>
      </c>
      <c r="D302" s="224"/>
      <c r="E302" s="224"/>
      <c r="Q302" s="167"/>
    </row>
    <row r="303" spans="2:17" x14ac:dyDescent="0.2">
      <c r="B303" s="341">
        <v>2023</v>
      </c>
      <c r="C303" s="342">
        <f>+H290</f>
        <v>0</v>
      </c>
      <c r="D303" s="224"/>
      <c r="E303" s="224"/>
      <c r="Q303" s="167"/>
    </row>
    <row r="304" spans="2:17" x14ac:dyDescent="0.2">
      <c r="B304" s="341">
        <v>2024</v>
      </c>
      <c r="C304" s="342">
        <f>+H297</f>
        <v>0</v>
      </c>
      <c r="D304" s="224"/>
      <c r="E304" s="224"/>
      <c r="Q304" s="167"/>
    </row>
    <row r="305" spans="2:17" x14ac:dyDescent="0.2">
      <c r="Q305" s="167"/>
    </row>
    <row r="306" spans="2:17" x14ac:dyDescent="0.2">
      <c r="Q306" s="167"/>
    </row>
    <row r="307" spans="2:17" x14ac:dyDescent="0.2">
      <c r="B307" s="326" t="s">
        <v>66</v>
      </c>
      <c r="C307" s="327"/>
      <c r="D307" s="327"/>
      <c r="E307" s="327"/>
      <c r="F307" s="328"/>
      <c r="G307" s="328"/>
      <c r="H307" s="328"/>
      <c r="I307" s="328"/>
      <c r="J307" s="328"/>
      <c r="K307" s="328"/>
      <c r="L307" s="328"/>
      <c r="M307" s="328"/>
      <c r="Q307" s="167"/>
    </row>
    <row r="308" spans="2:17" x14ac:dyDescent="0.2">
      <c r="Q308" s="167"/>
    </row>
    <row r="309" spans="2:17" x14ac:dyDescent="0.2">
      <c r="B309" s="281" t="s">
        <v>172</v>
      </c>
      <c r="F309" s="1000">
        <v>2017</v>
      </c>
      <c r="Q309" s="167"/>
    </row>
    <row r="310" spans="2:17" x14ac:dyDescent="0.2">
      <c r="L310" s="212"/>
      <c r="Q310" s="167"/>
    </row>
    <row r="311" spans="2:17" ht="102" customHeight="1" x14ac:dyDescent="0.2">
      <c r="B311" s="1257" t="s">
        <v>173</v>
      </c>
      <c r="C311" s="1258"/>
      <c r="D311" s="1258"/>
      <c r="E311" s="1259"/>
      <c r="F311" s="282"/>
      <c r="G311" s="166" t="str">
        <f>"Nog af te bouwen regulatoir saldo einde "&amp;F309-1</f>
        <v>Nog af te bouwen regulatoir saldo einde 2016</v>
      </c>
      <c r="H311" s="166" t="str">
        <f>"Afbouw oudste openstaande regulatoir saldo vanaf boekjaar "&amp;F309-3&amp;" en vroeger, door aanwending van compensatie met regulatoir saldo ontstaan over boekjaar "&amp;F309-2</f>
        <v>Afbouw oudste openstaande regulatoir saldo vanaf boekjaar 2014 en vroeger, door aanwending van compensatie met regulatoir saldo ontstaan over boekjaar 2015</v>
      </c>
      <c r="I311" s="166" t="str">
        <f>"Nog af te bouwen regulatoir saldo na compensatie einde "&amp;F309-1</f>
        <v>Nog af te bouwen regulatoir saldo na compensatie einde 2016</v>
      </c>
      <c r="J311" s="166" t="str">
        <f>"Aanwending van 60% van het geaccumuleerd regulatoir saldo door te rekenen volgens de tariefmethodologie in het boekjaar "&amp;F309</f>
        <v>Aanwending van 60% van het geaccumuleerd regulatoir saldo door te rekenen volgens de tariefmethodologie in het boekjaar 2017</v>
      </c>
      <c r="K311" s="166" t="str">
        <f>"Nog af te bouwen regulatoir saldo einde "&amp;F309</f>
        <v>Nog af te bouwen regulatoir saldo einde 2017</v>
      </c>
      <c r="L311" s="212"/>
      <c r="Q311" s="167"/>
    </row>
    <row r="312" spans="2:17" x14ac:dyDescent="0.2">
      <c r="B312" s="1260">
        <v>2015</v>
      </c>
      <c r="C312" s="1261"/>
      <c r="D312" s="1261"/>
      <c r="E312" s="1262"/>
      <c r="F312" s="283"/>
      <c r="G312" s="177">
        <f>G140</f>
        <v>0</v>
      </c>
      <c r="H312" s="566">
        <v>0</v>
      </c>
      <c r="I312" s="177">
        <f>+G312+H312</f>
        <v>0</v>
      </c>
      <c r="J312" s="177">
        <f>-I312*0.6</f>
        <v>0</v>
      </c>
      <c r="K312" s="1001">
        <f>+J312+G312</f>
        <v>0</v>
      </c>
      <c r="L312" s="212"/>
      <c r="Q312" s="167"/>
    </row>
    <row r="313" spans="2:17" x14ac:dyDescent="0.2">
      <c r="L313" s="212"/>
      <c r="Q313" s="167"/>
    </row>
    <row r="314" spans="2:17" x14ac:dyDescent="0.2">
      <c r="B314" s="281" t="s">
        <v>172</v>
      </c>
      <c r="F314" s="1000">
        <v>2018</v>
      </c>
      <c r="Q314" s="167"/>
    </row>
    <row r="315" spans="2:17" x14ac:dyDescent="0.2">
      <c r="Q315" s="167"/>
    </row>
    <row r="316" spans="2:17" ht="102" customHeight="1" x14ac:dyDescent="0.2">
      <c r="B316" s="1257" t="s">
        <v>173</v>
      </c>
      <c r="C316" s="1258"/>
      <c r="D316" s="1258"/>
      <c r="E316" s="1259"/>
      <c r="F316" s="282"/>
      <c r="G316" s="166" t="str">
        <f>"Nog af te bouwen regulatoir saldo einde "&amp;F314-1</f>
        <v>Nog af te bouwen regulatoir saldo einde 2017</v>
      </c>
      <c r="H316" s="166" t="str">
        <f>"Afbouw oudste openstaande regulatoir saldo vanaf boekjaar "&amp;F314-3&amp;" en vroeger, door aanwending van compensatie met regulatoir saldo ontstaan over boekjaar "&amp;F314-2</f>
        <v>Afbouw oudste openstaande regulatoir saldo vanaf boekjaar 2015 en vroeger, door aanwending van compensatie met regulatoir saldo ontstaan over boekjaar 2016</v>
      </c>
      <c r="I316" s="166" t="str">
        <f>"Nog af te bouwen regulatoir saldo na compensatie einde "&amp;F314-1</f>
        <v>Nog af te bouwen regulatoir saldo na compensatie einde 2017</v>
      </c>
      <c r="J316" s="166" t="str">
        <f>"60% van het geaccumuleerd regulatoir saldo door te rekenen volgens de tariefmethodologie in het boekjaar "&amp;F314</f>
        <v>60% van het geaccumuleerd regulatoir saldo door te rekenen volgens de tariefmethodologie in het boekjaar 2018</v>
      </c>
      <c r="K316" s="166" t="str">
        <f>"Aanwending van het 60% van het geaccumuleerd regulatoir saldo door te rekenen volgens de tariefmethodologie in het boekjaar "&amp;F314</f>
        <v>Aanwending van het 60% van het geaccumuleerd regulatoir saldo door te rekenen volgens de tariefmethodologie in het boekjaar 2018</v>
      </c>
      <c r="L316" s="166" t="str">
        <f>"Totale afbouw over "&amp;F314</f>
        <v>Totale afbouw over 2018</v>
      </c>
      <c r="M316" s="166" t="str">
        <f>"Nog af te bouwen regulatoir saldo einde "&amp;F314</f>
        <v>Nog af te bouwen regulatoir saldo einde 2018</v>
      </c>
      <c r="N316" s="212"/>
      <c r="Q316" s="167"/>
    </row>
    <row r="317" spans="2:17" x14ac:dyDescent="0.2">
      <c r="B317" s="1260">
        <v>2015</v>
      </c>
      <c r="C317" s="1261"/>
      <c r="D317" s="1261"/>
      <c r="E317" s="1262"/>
      <c r="F317" s="283"/>
      <c r="G317" s="177">
        <f>K312</f>
        <v>0</v>
      </c>
      <c r="H317" s="566">
        <f>IF(SIGN(G318*K312)&lt;0,IF(G317&lt;&gt;0,-SIGN(G317)*MIN(ABS(G318),ABS(G317)),0),0)</f>
        <v>0</v>
      </c>
      <c r="I317" s="177">
        <f>+G317+H317</f>
        <v>0</v>
      </c>
      <c r="J317" s="995"/>
      <c r="K317" s="566">
        <f>-MIN(ABS(I317),ABS(J319))*SIGN(I317)</f>
        <v>0</v>
      </c>
      <c r="L317" s="1003">
        <f>+K317+H317</f>
        <v>0</v>
      </c>
      <c r="M317" s="177">
        <f>+I317+K317</f>
        <v>0</v>
      </c>
      <c r="N317" s="212"/>
      <c r="Q317" s="167"/>
    </row>
    <row r="318" spans="2:17" x14ac:dyDescent="0.2">
      <c r="B318" s="1260">
        <v>2016</v>
      </c>
      <c r="C318" s="1261"/>
      <c r="D318" s="1261"/>
      <c r="E318" s="1262"/>
      <c r="F318" s="283"/>
      <c r="G318" s="177">
        <f>H141</f>
        <v>0</v>
      </c>
      <c r="H318" s="1003">
        <f>IF(SIGN(G318*K312)&lt;0,-H317,0)</f>
        <v>0</v>
      </c>
      <c r="I318" s="177">
        <f>+G318+H318</f>
        <v>0</v>
      </c>
      <c r="J318" s="995"/>
      <c r="K318" s="566">
        <f>-MIN(ABS(I318),ABS(J319-K317))*SIGN(I318)</f>
        <v>0</v>
      </c>
      <c r="L318" s="1003">
        <f>+K318+H318</f>
        <v>0</v>
      </c>
      <c r="M318" s="177">
        <f>+I318+K318</f>
        <v>0</v>
      </c>
      <c r="N318" s="212"/>
      <c r="Q318" s="167"/>
    </row>
    <row r="319" spans="2:17" s="281" customFormat="1" x14ac:dyDescent="0.2">
      <c r="G319" s="284">
        <f>SUM(G317:G318)</f>
        <v>0</v>
      </c>
      <c r="H319" s="169">
        <f>SUM(H317:H318)</f>
        <v>0</v>
      </c>
      <c r="I319" s="284">
        <f>SUM(I317:I318)</f>
        <v>0</v>
      </c>
      <c r="J319" s="284">
        <f>-I319*0.6</f>
        <v>0</v>
      </c>
      <c r="K319" s="169">
        <f>SUM(K317:K318)</f>
        <v>0</v>
      </c>
      <c r="L319" s="570"/>
      <c r="M319" s="284">
        <f>SUM(M317:M318)</f>
        <v>0</v>
      </c>
    </row>
    <row r="320" spans="2:17" x14ac:dyDescent="0.2">
      <c r="Q320" s="167"/>
    </row>
    <row r="321" spans="2:17" x14ac:dyDescent="0.2">
      <c r="B321" s="281" t="s">
        <v>172</v>
      </c>
      <c r="F321" s="1000">
        <v>2019</v>
      </c>
      <c r="Q321" s="167"/>
    </row>
    <row r="322" spans="2:17" x14ac:dyDescent="0.2">
      <c r="Q322" s="167"/>
    </row>
    <row r="323" spans="2:17" ht="102" customHeight="1" x14ac:dyDescent="0.2">
      <c r="B323" s="1257" t="s">
        <v>173</v>
      </c>
      <c r="C323" s="1258"/>
      <c r="D323" s="1258"/>
      <c r="E323" s="1259"/>
      <c r="F323" s="282"/>
      <c r="G323" s="166" t="str">
        <f>"Nog af te bouwen regulatoir saldo einde "&amp;F321-1</f>
        <v>Nog af te bouwen regulatoir saldo einde 2018</v>
      </c>
      <c r="H323" s="166" t="str">
        <f>"Afbouw oudste openstaande regulatoir saldo vanaf boekjaar "&amp;F321-3&amp;" en vroeger, door aanwending van compensatie met regulatoir saldo ontstaan over boekjaar "&amp;F321-2</f>
        <v>Afbouw oudste openstaande regulatoir saldo vanaf boekjaar 2016 en vroeger, door aanwending van compensatie met regulatoir saldo ontstaan over boekjaar 2017</v>
      </c>
      <c r="I323" s="166" t="str">
        <f>"Nog af te bouwen regulatoir saldo na compensatie einde "&amp;F321-1</f>
        <v>Nog af te bouwen regulatoir saldo na compensatie einde 2018</v>
      </c>
      <c r="J323" s="166" t="str">
        <f>"60% van het geaccumuleerd regulatoir saldo door te rekenen volgens de tariefmethodologie in het boekjaar "&amp;F321</f>
        <v>60% van het geaccumuleerd regulatoir saldo door te rekenen volgens de tariefmethodologie in het boekjaar 2019</v>
      </c>
      <c r="K323" s="166" t="str">
        <f>"Aanwending van het 60% van het geaccumuleerd regulatoir saldo door te rekenen volgens de tariefmethodologie in het boekjaar "&amp;F321</f>
        <v>Aanwending van het 60% van het geaccumuleerd regulatoir saldo door te rekenen volgens de tariefmethodologie in het boekjaar 2019</v>
      </c>
      <c r="L323" s="166" t="str">
        <f>"Totale afbouw over "&amp;F321</f>
        <v>Totale afbouw over 2019</v>
      </c>
      <c r="M323" s="166" t="str">
        <f>"Nog af te bouwen regulatoir saldo einde "&amp;F321</f>
        <v>Nog af te bouwen regulatoir saldo einde 2019</v>
      </c>
      <c r="N323" s="212"/>
      <c r="Q323" s="167"/>
    </row>
    <row r="324" spans="2:17" x14ac:dyDescent="0.2">
      <c r="B324" s="1260">
        <v>2015</v>
      </c>
      <c r="C324" s="1261"/>
      <c r="D324" s="1261"/>
      <c r="E324" s="1262"/>
      <c r="F324" s="283"/>
      <c r="G324" s="177">
        <f>+M317</f>
        <v>0</v>
      </c>
      <c r="H324" s="1003">
        <f>IF(SIGN(G326*M319)&lt;0,IF(G324&lt;&gt;0,-SIGN(G324)*MIN(ABS(G326),ABS(G324)),0),0)</f>
        <v>0</v>
      </c>
      <c r="I324" s="177">
        <f>+G324+H324</f>
        <v>0</v>
      </c>
      <c r="J324" s="995"/>
      <c r="K324" s="566">
        <f>-MIN(ABS(I324),ABS(J327))*SIGN(I324)</f>
        <v>0</v>
      </c>
      <c r="L324" s="1003">
        <f>+K324+H324</f>
        <v>0</v>
      </c>
      <c r="M324" s="177">
        <f>+I324+K324</f>
        <v>0</v>
      </c>
      <c r="N324" s="212"/>
      <c r="Q324" s="167"/>
    </row>
    <row r="325" spans="2:17" x14ac:dyDescent="0.2">
      <c r="B325" s="1260">
        <v>2016</v>
      </c>
      <c r="C325" s="1261"/>
      <c r="D325" s="1261">
        <v>2016</v>
      </c>
      <c r="E325" s="1262"/>
      <c r="F325" s="283"/>
      <c r="G325" s="177">
        <f>+M318</f>
        <v>0</v>
      </c>
      <c r="H325" s="1003">
        <f>IF(SIGN(G326*M319)&lt;0,IF(G325&lt;&gt;0,-SIGN(G325)*MIN(ABS(G326-H324),ABS(G325)),0),0)</f>
        <v>0</v>
      </c>
      <c r="I325" s="177">
        <f>+G325+H325</f>
        <v>0</v>
      </c>
      <c r="J325" s="995"/>
      <c r="K325" s="566">
        <f>-MIN(ABS(I325),ABS(J327-K324))*SIGN(I325)</f>
        <v>0</v>
      </c>
      <c r="L325" s="1003">
        <f>+K325+H325</f>
        <v>0</v>
      </c>
      <c r="M325" s="177">
        <f>+I325+K325</f>
        <v>0</v>
      </c>
      <c r="N325" s="212"/>
      <c r="Q325" s="167"/>
    </row>
    <row r="326" spans="2:17" x14ac:dyDescent="0.2">
      <c r="B326" s="1260">
        <v>2017</v>
      </c>
      <c r="C326" s="1261"/>
      <c r="D326" s="1261"/>
      <c r="E326" s="1262"/>
      <c r="F326" s="283"/>
      <c r="G326" s="177">
        <f>I142</f>
        <v>0</v>
      </c>
      <c r="H326" s="1003">
        <f>IF(SIGN(G326*M319)&lt;0,-SUM(H324:H325),0)</f>
        <v>0</v>
      </c>
      <c r="I326" s="177">
        <f>+G326+H326</f>
        <v>0</v>
      </c>
      <c r="J326" s="995"/>
      <c r="K326" s="566">
        <f>-MIN(ABS(I326),ABS(J327-K324-K325))*SIGN(I326)</f>
        <v>0</v>
      </c>
      <c r="L326" s="1003">
        <f>+K326+H326</f>
        <v>0</v>
      </c>
      <c r="M326" s="177">
        <f>+I326+K326</f>
        <v>0</v>
      </c>
      <c r="N326" s="212"/>
      <c r="Q326" s="167"/>
    </row>
    <row r="327" spans="2:17" s="281" customFormat="1" x14ac:dyDescent="0.2">
      <c r="G327" s="284">
        <f>SUM(G324:G326)</f>
        <v>0</v>
      </c>
      <c r="H327" s="169">
        <f>SUM(H324:H326)</f>
        <v>0</v>
      </c>
      <c r="I327" s="284">
        <f>SUM(I324:I326)</f>
        <v>0</v>
      </c>
      <c r="J327" s="284">
        <f>-I327*0.6</f>
        <v>0</v>
      </c>
      <c r="K327" s="169">
        <f>SUM(K324:K326)</f>
        <v>0</v>
      </c>
      <c r="L327" s="570"/>
      <c r="M327" s="284">
        <f>SUM(M324:M326)</f>
        <v>0</v>
      </c>
    </row>
    <row r="328" spans="2:17" x14ac:dyDescent="0.2">
      <c r="H328" s="221"/>
      <c r="Q328" s="167"/>
    </row>
    <row r="329" spans="2:17" x14ac:dyDescent="0.2">
      <c r="B329" s="281" t="s">
        <v>172</v>
      </c>
      <c r="F329" s="1000">
        <v>2020</v>
      </c>
      <c r="Q329" s="167"/>
    </row>
    <row r="330" spans="2:17" x14ac:dyDescent="0.2">
      <c r="Q330" s="167"/>
    </row>
    <row r="331" spans="2:17" ht="102" customHeight="1" x14ac:dyDescent="0.2">
      <c r="B331" s="1257" t="s">
        <v>173</v>
      </c>
      <c r="C331" s="1258"/>
      <c r="D331" s="1258"/>
      <c r="E331" s="1259"/>
      <c r="F331" s="282"/>
      <c r="G331" s="166" t="str">
        <f>"Nog af te bouwen regulatoir saldo einde "&amp;F329-1</f>
        <v>Nog af te bouwen regulatoir saldo einde 2019</v>
      </c>
      <c r="H331" s="166" t="str">
        <f>"Afbouw oudste openstaande regulatoir saldo vanaf boekjaar "&amp;F329-3&amp;" en vroeger, door aanwending van compensatie met regulatoir saldo ontstaan over boekjaar "&amp;F329-2</f>
        <v>Afbouw oudste openstaande regulatoir saldo vanaf boekjaar 2017 en vroeger, door aanwending van compensatie met regulatoir saldo ontstaan over boekjaar 2018</v>
      </c>
      <c r="I331" s="166" t="str">
        <f>"Nog af te bouwen regulatoir saldo na compensatie einde "&amp;F329-1</f>
        <v>Nog af te bouwen regulatoir saldo na compensatie einde 2019</v>
      </c>
      <c r="J331" s="166" t="str">
        <f>"60% van het geaccumuleerd regulatoir saldo door te rekenen volgens de tariefmethodologie in het boekjaar "&amp;F329</f>
        <v>60% van het geaccumuleerd regulatoir saldo door te rekenen volgens de tariefmethodologie in het boekjaar 2020</v>
      </c>
      <c r="K331" s="166" t="str">
        <f>"Aanwending van het 60% van het geaccumuleerd regulatoir saldo door te rekenen volgens de tariefmethodologie in het boekjaar "&amp;F329</f>
        <v>Aanwending van het 60% van het geaccumuleerd regulatoir saldo door te rekenen volgens de tariefmethodologie in het boekjaar 2020</v>
      </c>
      <c r="L331" s="166" t="str">
        <f>"Totale afbouw over "&amp;F329</f>
        <v>Totale afbouw over 2020</v>
      </c>
      <c r="M331" s="166" t="str">
        <f>"Nog af te bouwen regulatoir saldo einde "&amp;F329</f>
        <v>Nog af te bouwen regulatoir saldo einde 2020</v>
      </c>
      <c r="N331" s="212"/>
      <c r="Q331" s="167"/>
    </row>
    <row r="332" spans="2:17" x14ac:dyDescent="0.2">
      <c r="B332" s="1260">
        <v>2015</v>
      </c>
      <c r="C332" s="1261"/>
      <c r="D332" s="1261"/>
      <c r="E332" s="1262"/>
      <c r="F332" s="283"/>
      <c r="G332" s="177">
        <f>+M324</f>
        <v>0</v>
      </c>
      <c r="H332" s="1003">
        <f>IF(SIGN(G335*M327)&lt;0,IF(G332&lt;&gt;0,-SIGN(G332)*MIN(ABS(G335),ABS(G332)),0),0)</f>
        <v>0</v>
      </c>
      <c r="I332" s="177">
        <f>+G332+H332</f>
        <v>0</v>
      </c>
      <c r="J332" s="995"/>
      <c r="K332" s="566">
        <f>-MIN(ABS(I332),ABS(J336))*SIGN(I332)</f>
        <v>0</v>
      </c>
      <c r="L332" s="1003">
        <f>+K332+H332</f>
        <v>0</v>
      </c>
      <c r="M332" s="177">
        <f>+I332+K332</f>
        <v>0</v>
      </c>
      <c r="N332" s="212"/>
      <c r="Q332" s="167"/>
    </row>
    <row r="333" spans="2:17" x14ac:dyDescent="0.2">
      <c r="B333" s="1260">
        <v>2016</v>
      </c>
      <c r="C333" s="1261"/>
      <c r="D333" s="1261"/>
      <c r="E333" s="1262"/>
      <c r="F333" s="283"/>
      <c r="G333" s="177">
        <f>+M325</f>
        <v>0</v>
      </c>
      <c r="H333" s="1003">
        <f>IF(SIGN(G335*M327)&lt;0,IF(G333&lt;&gt;0,-SIGN(G333)*MIN(ABS(G335-H332),ABS(G333)),0),0)</f>
        <v>0</v>
      </c>
      <c r="I333" s="177">
        <f>+G333+H333</f>
        <v>0</v>
      </c>
      <c r="J333" s="995"/>
      <c r="K333" s="566">
        <f>-MIN(ABS(I333),ABS(J336-K332))*SIGN(I333)</f>
        <v>0</v>
      </c>
      <c r="L333" s="1003">
        <f>+K333+H333</f>
        <v>0</v>
      </c>
      <c r="M333" s="177">
        <f>+I333+K333</f>
        <v>0</v>
      </c>
      <c r="N333" s="212"/>
      <c r="Q333" s="167"/>
    </row>
    <row r="334" spans="2:17" x14ac:dyDescent="0.2">
      <c r="B334" s="1260">
        <v>2017</v>
      </c>
      <c r="C334" s="1261"/>
      <c r="D334" s="1261">
        <v>2016</v>
      </c>
      <c r="E334" s="1262"/>
      <c r="F334" s="283"/>
      <c r="G334" s="177">
        <f>+M326</f>
        <v>0</v>
      </c>
      <c r="H334" s="1003">
        <f>IF(SIGN(G335*M327)&lt;0,IF(G334&lt;&gt;0,-SIGN(G334)*MIN(ABS(G335-H332-H333),ABS(G334)),0),0)</f>
        <v>0</v>
      </c>
      <c r="I334" s="177">
        <f>+G334+H334</f>
        <v>0</v>
      </c>
      <c r="J334" s="995"/>
      <c r="K334" s="566">
        <f>-MIN(ABS(I334),ABS(J336-K332-K333))*SIGN(I334)</f>
        <v>0</v>
      </c>
      <c r="L334" s="1003">
        <f>+K334+H334</f>
        <v>0</v>
      </c>
      <c r="M334" s="177">
        <f>+I334+K334</f>
        <v>0</v>
      </c>
      <c r="N334" s="212"/>
      <c r="Q334" s="167"/>
    </row>
    <row r="335" spans="2:17" x14ac:dyDescent="0.2">
      <c r="B335" s="1260">
        <v>2018</v>
      </c>
      <c r="C335" s="1261"/>
      <c r="D335" s="1261"/>
      <c r="E335" s="1262"/>
      <c r="F335" s="283"/>
      <c r="G335" s="177">
        <f>J143</f>
        <v>0</v>
      </c>
      <c r="H335" s="1003">
        <f>IF(SIGN(G335*M327)&lt;0,-SUM(H332:H334),0)</f>
        <v>0</v>
      </c>
      <c r="I335" s="177">
        <f>+G335+H335</f>
        <v>0</v>
      </c>
      <c r="J335" s="995"/>
      <c r="K335" s="566">
        <f>-MIN(ABS(I335),ABS(J336-K332-K333-K334))*SIGN(I335)</f>
        <v>0</v>
      </c>
      <c r="L335" s="1003">
        <f>+K335+H335</f>
        <v>0</v>
      </c>
      <c r="M335" s="177">
        <f>+I335+K335</f>
        <v>0</v>
      </c>
      <c r="N335" s="212"/>
      <c r="Q335" s="167"/>
    </row>
    <row r="336" spans="2:17" s="281" customFormat="1" x14ac:dyDescent="0.2">
      <c r="G336" s="284">
        <f>SUM(G332:G335)</f>
        <v>0</v>
      </c>
      <c r="H336" s="169">
        <f>SUM(H332:H335)</f>
        <v>0</v>
      </c>
      <c r="I336" s="284">
        <f>SUM(I332:I335)</f>
        <v>0</v>
      </c>
      <c r="J336" s="284">
        <f>-I336*0.6</f>
        <v>0</v>
      </c>
      <c r="K336" s="169">
        <f>SUM(K332:K335)</f>
        <v>0</v>
      </c>
      <c r="L336" s="169"/>
      <c r="M336" s="284">
        <f>SUM(M332:M335)</f>
        <v>0</v>
      </c>
    </row>
    <row r="337" spans="2:17" x14ac:dyDescent="0.2">
      <c r="Q337" s="167"/>
    </row>
    <row r="338" spans="2:17" x14ac:dyDescent="0.2">
      <c r="B338" s="281" t="s">
        <v>172</v>
      </c>
      <c r="F338" s="1000">
        <v>2021</v>
      </c>
      <c r="Q338" s="167"/>
    </row>
    <row r="339" spans="2:17" x14ac:dyDescent="0.2">
      <c r="Q339" s="167"/>
    </row>
    <row r="340" spans="2:17" ht="102" customHeight="1" x14ac:dyDescent="0.2">
      <c r="B340" s="1257" t="s">
        <v>173</v>
      </c>
      <c r="C340" s="1258"/>
      <c r="D340" s="1258"/>
      <c r="E340" s="1259"/>
      <c r="F340" s="282"/>
      <c r="G340" s="166" t="str">
        <f>"Nog af te bouwen regulatoir saldo einde "&amp;F338-1</f>
        <v>Nog af te bouwen regulatoir saldo einde 2020</v>
      </c>
      <c r="H340" s="166" t="str">
        <f>"50% van oorspronkelijk saldo door te rekenen volgens de tariefmethodologie in het boekjaar "&amp;F338</f>
        <v>50% van oorspronkelijk saldo door te rekenen volgens de tariefmethodologie in het boekjaar 2021</v>
      </c>
      <c r="I340" s="166" t="str">
        <f>"Nog af te bouwen regulatoir saldo einde "&amp;F338</f>
        <v>Nog af te bouwen regulatoir saldo einde 2021</v>
      </c>
      <c r="J340" s="212"/>
      <c r="Q340" s="167"/>
    </row>
    <row r="341" spans="2:17" x14ac:dyDescent="0.2">
      <c r="B341" s="1260">
        <v>2015</v>
      </c>
      <c r="C341" s="1261"/>
      <c r="D341" s="1261"/>
      <c r="E341" s="1262"/>
      <c r="F341" s="283"/>
      <c r="G341" s="177">
        <f>M332</f>
        <v>0</v>
      </c>
      <c r="H341" s="177">
        <f>-G341*0.5</f>
        <v>0</v>
      </c>
      <c r="I341" s="177">
        <f>+G341+H341</f>
        <v>0</v>
      </c>
      <c r="J341" s="212"/>
      <c r="Q341" s="167"/>
    </row>
    <row r="342" spans="2:17" x14ac:dyDescent="0.2">
      <c r="B342" s="1260">
        <v>2016</v>
      </c>
      <c r="C342" s="1261"/>
      <c r="D342" s="1261"/>
      <c r="E342" s="1262"/>
      <c r="F342" s="283"/>
      <c r="G342" s="177">
        <f t="shared" ref="G342:G344" si="57">M333</f>
        <v>0</v>
      </c>
      <c r="H342" s="177">
        <f t="shared" ref="H342:H345" si="58">-G342*0.5</f>
        <v>0</v>
      </c>
      <c r="I342" s="177">
        <f t="shared" ref="I342:I345" si="59">+G342+H342</f>
        <v>0</v>
      </c>
      <c r="J342" s="212"/>
      <c r="Q342" s="167"/>
    </row>
    <row r="343" spans="2:17" x14ac:dyDescent="0.2">
      <c r="B343" s="1260">
        <v>2017</v>
      </c>
      <c r="C343" s="1261"/>
      <c r="D343" s="1261">
        <v>2016</v>
      </c>
      <c r="E343" s="1262"/>
      <c r="F343" s="283"/>
      <c r="G343" s="177">
        <f t="shared" si="57"/>
        <v>0</v>
      </c>
      <c r="H343" s="177">
        <f t="shared" si="58"/>
        <v>0</v>
      </c>
      <c r="I343" s="177">
        <f t="shared" si="59"/>
        <v>0</v>
      </c>
      <c r="J343" s="212"/>
      <c r="Q343" s="167"/>
    </row>
    <row r="344" spans="2:17" x14ac:dyDescent="0.2">
      <c r="B344" s="1260">
        <v>2018</v>
      </c>
      <c r="C344" s="1261"/>
      <c r="D344" s="1261"/>
      <c r="E344" s="1262"/>
      <c r="F344" s="283"/>
      <c r="G344" s="177">
        <f t="shared" si="57"/>
        <v>0</v>
      </c>
      <c r="H344" s="177">
        <f t="shared" si="58"/>
        <v>0</v>
      </c>
      <c r="I344" s="177">
        <f t="shared" si="59"/>
        <v>0</v>
      </c>
      <c r="J344" s="212"/>
      <c r="Q344" s="167"/>
    </row>
    <row r="345" spans="2:17" x14ac:dyDescent="0.2">
      <c r="B345" s="1260">
        <v>2019</v>
      </c>
      <c r="C345" s="1261"/>
      <c r="D345" s="1261"/>
      <c r="E345" s="1262"/>
      <c r="F345" s="283"/>
      <c r="G345" s="177">
        <f>K144</f>
        <v>0</v>
      </c>
      <c r="H345" s="177">
        <f t="shared" si="58"/>
        <v>0</v>
      </c>
      <c r="I345" s="177">
        <f t="shared" si="59"/>
        <v>0</v>
      </c>
      <c r="J345" s="212"/>
      <c r="Q345" s="167"/>
    </row>
    <row r="346" spans="2:17" s="281" customFormat="1" x14ac:dyDescent="0.2">
      <c r="G346" s="284">
        <f>SUM(G341:G345)</f>
        <v>0</v>
      </c>
      <c r="H346" s="284">
        <f>SUM(H341:H345)</f>
        <v>0</v>
      </c>
      <c r="I346" s="284">
        <f>SUM(I341:I345)</f>
        <v>0</v>
      </c>
    </row>
    <row r="347" spans="2:17" x14ac:dyDescent="0.2">
      <c r="Q347" s="167"/>
    </row>
    <row r="348" spans="2:17" x14ac:dyDescent="0.2">
      <c r="B348" s="847" t="s">
        <v>172</v>
      </c>
      <c r="C348" s="842"/>
      <c r="D348" s="842"/>
      <c r="E348" s="842"/>
      <c r="F348" s="1004">
        <v>2022</v>
      </c>
      <c r="G348" s="842"/>
      <c r="H348" s="842"/>
      <c r="I348" s="842"/>
      <c r="Q348" s="167"/>
    </row>
    <row r="349" spans="2:17" x14ac:dyDescent="0.2">
      <c r="B349" s="842"/>
      <c r="C349" s="842"/>
      <c r="D349" s="842"/>
      <c r="E349" s="842"/>
      <c r="F349" s="842"/>
      <c r="G349" s="842"/>
      <c r="H349" s="842"/>
      <c r="I349" s="842"/>
      <c r="Q349" s="167"/>
    </row>
    <row r="350" spans="2:17" ht="102" customHeight="1" x14ac:dyDescent="0.2">
      <c r="B350" s="1254" t="s">
        <v>173</v>
      </c>
      <c r="C350" s="1255"/>
      <c r="D350" s="1255"/>
      <c r="E350" s="1256"/>
      <c r="F350" s="848"/>
      <c r="G350" s="837" t="str">
        <f>"Nog af te bouwen regulatoir saldo einde "&amp;F348-1</f>
        <v>Nog af te bouwen regulatoir saldo einde 2021</v>
      </c>
      <c r="H350" s="837" t="str">
        <f>"50% van oorspronkelijk saldo door te rekenen volgens de tariefmethodologie in het boekjaar "&amp;F348</f>
        <v>50% van oorspronkelijk saldo door te rekenen volgens de tariefmethodologie in het boekjaar 2022</v>
      </c>
      <c r="I350" s="837" t="str">
        <f>"Nog af te bouwen regulatoir saldo einde "&amp;F348</f>
        <v>Nog af te bouwen regulatoir saldo einde 2022</v>
      </c>
      <c r="J350" s="212"/>
      <c r="Q350" s="167"/>
    </row>
    <row r="351" spans="2:17" x14ac:dyDescent="0.2">
      <c r="B351" s="1251">
        <v>2015</v>
      </c>
      <c r="C351" s="1252"/>
      <c r="D351" s="1252"/>
      <c r="E351" s="1253"/>
      <c r="F351" s="341"/>
      <c r="G351" s="339">
        <f>+I341</f>
        <v>0</v>
      </c>
      <c r="H351" s="339">
        <f>-G341*0.5</f>
        <v>0</v>
      </c>
      <c r="I351" s="339">
        <f>+G351+H351</f>
        <v>0</v>
      </c>
      <c r="J351" s="212"/>
      <c r="Q351" s="167"/>
    </row>
    <row r="352" spans="2:17" x14ac:dyDescent="0.2">
      <c r="B352" s="1251">
        <v>2016</v>
      </c>
      <c r="C352" s="1252"/>
      <c r="D352" s="1252"/>
      <c r="E352" s="1253"/>
      <c r="F352" s="341"/>
      <c r="G352" s="339">
        <f t="shared" ref="G352:G355" si="60">+I342</f>
        <v>0</v>
      </c>
      <c r="H352" s="339">
        <f t="shared" ref="H352:H355" si="61">-G342*0.5</f>
        <v>0</v>
      </c>
      <c r="I352" s="339">
        <f t="shared" ref="I352:I356" si="62">+G352+H352</f>
        <v>0</v>
      </c>
      <c r="J352" s="212"/>
      <c r="Q352" s="167"/>
    </row>
    <row r="353" spans="2:17" x14ac:dyDescent="0.2">
      <c r="B353" s="1251">
        <v>2017</v>
      </c>
      <c r="C353" s="1252"/>
      <c r="D353" s="1252">
        <v>2016</v>
      </c>
      <c r="E353" s="1253"/>
      <c r="F353" s="341"/>
      <c r="G353" s="339">
        <f t="shared" si="60"/>
        <v>0</v>
      </c>
      <c r="H353" s="339">
        <f t="shared" si="61"/>
        <v>0</v>
      </c>
      <c r="I353" s="339">
        <f t="shared" si="62"/>
        <v>0</v>
      </c>
      <c r="J353" s="212"/>
      <c r="Q353" s="167"/>
    </row>
    <row r="354" spans="2:17" x14ac:dyDescent="0.2">
      <c r="B354" s="1251">
        <v>2018</v>
      </c>
      <c r="C354" s="1252"/>
      <c r="D354" s="1252"/>
      <c r="E354" s="1253"/>
      <c r="F354" s="341"/>
      <c r="G354" s="339">
        <f t="shared" si="60"/>
        <v>0</v>
      </c>
      <c r="H354" s="339">
        <f t="shared" si="61"/>
        <v>0</v>
      </c>
      <c r="I354" s="339">
        <f t="shared" si="62"/>
        <v>0</v>
      </c>
      <c r="J354" s="212"/>
      <c r="Q354" s="167"/>
    </row>
    <row r="355" spans="2:17" x14ac:dyDescent="0.2">
      <c r="B355" s="1251">
        <v>2019</v>
      </c>
      <c r="C355" s="1252"/>
      <c r="D355" s="1252"/>
      <c r="E355" s="1253"/>
      <c r="F355" s="341"/>
      <c r="G355" s="339">
        <f t="shared" si="60"/>
        <v>0</v>
      </c>
      <c r="H355" s="339">
        <f t="shared" si="61"/>
        <v>0</v>
      </c>
      <c r="I355" s="339">
        <f t="shared" si="62"/>
        <v>0</v>
      </c>
      <c r="J355" s="212"/>
      <c r="Q355" s="167"/>
    </row>
    <row r="356" spans="2:17" x14ac:dyDescent="0.2">
      <c r="B356" s="1251">
        <v>2020</v>
      </c>
      <c r="C356" s="1252"/>
      <c r="D356" s="1252"/>
      <c r="E356" s="1253"/>
      <c r="F356" s="341"/>
      <c r="G356" s="339">
        <f>L145</f>
        <v>0</v>
      </c>
      <c r="H356" s="339">
        <f t="shared" ref="H356" si="63">-G356*0.5</f>
        <v>0</v>
      </c>
      <c r="I356" s="339">
        <f t="shared" si="62"/>
        <v>0</v>
      </c>
      <c r="J356" s="212"/>
      <c r="Q356" s="167"/>
    </row>
    <row r="357" spans="2:17" s="281" customFormat="1" x14ac:dyDescent="0.2">
      <c r="B357" s="847"/>
      <c r="C357" s="847"/>
      <c r="D357" s="847"/>
      <c r="E357" s="847"/>
      <c r="F357" s="847"/>
      <c r="G357" s="849">
        <f>SUM(G351:G356)</f>
        <v>0</v>
      </c>
      <c r="H357" s="849">
        <f t="shared" ref="H357" si="64">SUM(H351:H356)</f>
        <v>0</v>
      </c>
      <c r="I357" s="849">
        <f t="shared" ref="I357" si="65">SUM(I351:I356)</f>
        <v>0</v>
      </c>
    </row>
    <row r="358" spans="2:17" x14ac:dyDescent="0.2">
      <c r="B358" s="842"/>
      <c r="C358" s="842"/>
      <c r="D358" s="842"/>
      <c r="E358" s="842"/>
      <c r="F358" s="842"/>
      <c r="G358" s="842"/>
      <c r="H358" s="842"/>
      <c r="I358" s="842"/>
      <c r="Q358" s="167"/>
    </row>
    <row r="359" spans="2:17" x14ac:dyDescent="0.2">
      <c r="B359" s="847" t="s">
        <v>172</v>
      </c>
      <c r="C359" s="842"/>
      <c r="D359" s="842"/>
      <c r="E359" s="842"/>
      <c r="F359" s="1004">
        <v>2023</v>
      </c>
      <c r="G359" s="842"/>
      <c r="H359" s="842"/>
      <c r="I359" s="842"/>
      <c r="Q359" s="167"/>
    </row>
    <row r="360" spans="2:17" x14ac:dyDescent="0.2">
      <c r="B360" s="842"/>
      <c r="C360" s="842"/>
      <c r="D360" s="842"/>
      <c r="E360" s="842"/>
      <c r="F360" s="842"/>
      <c r="G360" s="842"/>
      <c r="H360" s="842"/>
      <c r="I360" s="842"/>
      <c r="Q360" s="167"/>
    </row>
    <row r="361" spans="2:17" ht="102" customHeight="1" x14ac:dyDescent="0.2">
      <c r="B361" s="1254" t="s">
        <v>173</v>
      </c>
      <c r="C361" s="1255"/>
      <c r="D361" s="1255"/>
      <c r="E361" s="1256"/>
      <c r="F361" s="848"/>
      <c r="G361" s="837" t="str">
        <f>"Nog af te bouwen regulatoir saldo einde "&amp;F359-1</f>
        <v>Nog af te bouwen regulatoir saldo einde 2022</v>
      </c>
      <c r="H361" s="837" t="str">
        <f>"50% van oorspronkelijk saldo door te rekenen volgens de tariefmethodologie in het boekjaar "&amp;F359</f>
        <v>50% van oorspronkelijk saldo door te rekenen volgens de tariefmethodologie in het boekjaar 2023</v>
      </c>
      <c r="I361" s="837" t="str">
        <f>"Nog af te bouwen regulatoir saldo einde "&amp;F359</f>
        <v>Nog af te bouwen regulatoir saldo einde 2023</v>
      </c>
      <c r="J361" s="212"/>
      <c r="Q361" s="167"/>
    </row>
    <row r="362" spans="2:17" x14ac:dyDescent="0.2">
      <c r="B362" s="1251">
        <v>2020</v>
      </c>
      <c r="C362" s="1252"/>
      <c r="D362" s="1252"/>
      <c r="E362" s="1253"/>
      <c r="F362" s="341"/>
      <c r="G362" s="339">
        <f>+I356</f>
        <v>0</v>
      </c>
      <c r="H362" s="339">
        <f>-G356*0.5</f>
        <v>0</v>
      </c>
      <c r="I362" s="339">
        <f t="shared" ref="I362:I363" si="66">+G362+H362</f>
        <v>0</v>
      </c>
      <c r="J362" s="212"/>
      <c r="Q362" s="167"/>
    </row>
    <row r="363" spans="2:17" x14ac:dyDescent="0.2">
      <c r="B363" s="1251">
        <v>2021</v>
      </c>
      <c r="C363" s="1252"/>
      <c r="D363" s="1252"/>
      <c r="E363" s="1253"/>
      <c r="F363" s="341"/>
      <c r="G363" s="339">
        <f>M146</f>
        <v>0</v>
      </c>
      <c r="H363" s="339">
        <f t="shared" ref="H363" si="67">-G363*0.5</f>
        <v>0</v>
      </c>
      <c r="I363" s="339">
        <f t="shared" si="66"/>
        <v>0</v>
      </c>
      <c r="J363" s="212"/>
      <c r="Q363" s="167"/>
    </row>
    <row r="364" spans="2:17" s="281" customFormat="1" x14ac:dyDescent="0.2">
      <c r="B364" s="847"/>
      <c r="C364" s="847"/>
      <c r="D364" s="847"/>
      <c r="E364" s="847"/>
      <c r="F364" s="847"/>
      <c r="G364" s="849">
        <f>SUM(G362:G363)</f>
        <v>0</v>
      </c>
      <c r="H364" s="849">
        <f>SUM(H362:H363)</f>
        <v>0</v>
      </c>
      <c r="I364" s="849">
        <f>SUM(I362:I363)</f>
        <v>0</v>
      </c>
    </row>
    <row r="365" spans="2:17" x14ac:dyDescent="0.2">
      <c r="B365" s="842"/>
      <c r="C365" s="842"/>
      <c r="D365" s="842"/>
      <c r="E365" s="842"/>
      <c r="F365" s="842"/>
      <c r="G365" s="842"/>
      <c r="H365" s="842"/>
      <c r="I365" s="842"/>
      <c r="Q365" s="167"/>
    </row>
    <row r="366" spans="2:17" x14ac:dyDescent="0.2">
      <c r="B366" s="847" t="s">
        <v>172</v>
      </c>
      <c r="C366" s="842"/>
      <c r="D366" s="842"/>
      <c r="E366" s="842"/>
      <c r="F366" s="1004">
        <v>2024</v>
      </c>
      <c r="G366" s="842"/>
      <c r="H366" s="842"/>
      <c r="I366" s="842"/>
      <c r="Q366" s="167"/>
    </row>
    <row r="367" spans="2:17" x14ac:dyDescent="0.2">
      <c r="B367" s="842"/>
      <c r="C367" s="842"/>
      <c r="D367" s="842"/>
      <c r="E367" s="842"/>
      <c r="F367" s="842"/>
      <c r="G367" s="842"/>
      <c r="H367" s="842"/>
      <c r="I367" s="842"/>
      <c r="Q367" s="167"/>
    </row>
    <row r="368" spans="2:17" ht="102" customHeight="1" x14ac:dyDescent="0.2">
      <c r="B368" s="1254" t="s">
        <v>173</v>
      </c>
      <c r="C368" s="1255"/>
      <c r="D368" s="1255"/>
      <c r="E368" s="1256"/>
      <c r="F368" s="848"/>
      <c r="G368" s="837" t="str">
        <f>"Nog af te bouwen regulatoir saldo einde "&amp;F366-1</f>
        <v>Nog af te bouwen regulatoir saldo einde 2023</v>
      </c>
      <c r="H368" s="837" t="str">
        <f>"50% van oorspronkelijk saldo door te rekenen volgens de tariefmethodologie in het boekjaar "&amp;F366</f>
        <v>50% van oorspronkelijk saldo door te rekenen volgens de tariefmethodologie in het boekjaar 2024</v>
      </c>
      <c r="I368" s="837" t="str">
        <f>"Nog af te bouwen regulatoir saldo einde "&amp;F366</f>
        <v>Nog af te bouwen regulatoir saldo einde 2024</v>
      </c>
      <c r="J368" s="212"/>
      <c r="Q368" s="167"/>
    </row>
    <row r="369" spans="2:17" x14ac:dyDescent="0.2">
      <c r="B369" s="1251">
        <v>2021</v>
      </c>
      <c r="C369" s="1252"/>
      <c r="D369" s="1252"/>
      <c r="E369" s="1253"/>
      <c r="F369" s="341"/>
      <c r="G369" s="339">
        <f>+I363</f>
        <v>0</v>
      </c>
      <c r="H369" s="339">
        <f>-G363*0.5</f>
        <v>0</v>
      </c>
      <c r="I369" s="339">
        <f t="shared" ref="I369:I370" si="68">+G369+H369</f>
        <v>0</v>
      </c>
      <c r="J369" s="212"/>
      <c r="Q369" s="167"/>
    </row>
    <row r="370" spans="2:17" x14ac:dyDescent="0.2">
      <c r="B370" s="1251">
        <v>2022</v>
      </c>
      <c r="C370" s="1252"/>
      <c r="D370" s="1252"/>
      <c r="E370" s="1253"/>
      <c r="F370" s="341"/>
      <c r="G370" s="339">
        <f>N147</f>
        <v>0</v>
      </c>
      <c r="H370" s="339">
        <f>-G370*0.5</f>
        <v>0</v>
      </c>
      <c r="I370" s="339">
        <f t="shared" si="68"/>
        <v>0</v>
      </c>
      <c r="J370" s="212"/>
      <c r="Q370" s="167"/>
    </row>
    <row r="371" spans="2:17" s="281" customFormat="1" x14ac:dyDescent="0.2">
      <c r="B371" s="847"/>
      <c r="C371" s="847"/>
      <c r="D371" s="847"/>
      <c r="E371" s="847"/>
      <c r="F371" s="847"/>
      <c r="G371" s="849">
        <f>SUM(G369:G370)</f>
        <v>0</v>
      </c>
      <c r="H371" s="849">
        <f>SUM(H369:H370)</f>
        <v>0</v>
      </c>
      <c r="I371" s="849">
        <f>SUM(I369:I370)</f>
        <v>0</v>
      </c>
    </row>
    <row r="372" spans="2:17" x14ac:dyDescent="0.2">
      <c r="Q372" s="167"/>
    </row>
    <row r="373" spans="2:17" x14ac:dyDescent="0.2">
      <c r="B373" s="281" t="str">
        <f>B307</f>
        <v>Het tarief voor het systeembeheer</v>
      </c>
      <c r="Q373" s="167"/>
    </row>
    <row r="374" spans="2:17" x14ac:dyDescent="0.2">
      <c r="B374" s="281" t="s">
        <v>174</v>
      </c>
      <c r="C374" s="224"/>
      <c r="D374" s="224"/>
      <c r="E374" s="224"/>
      <c r="Q374" s="167"/>
    </row>
    <row r="375" spans="2:17" x14ac:dyDescent="0.2">
      <c r="C375" s="224"/>
      <c r="D375" s="224"/>
      <c r="E375" s="224"/>
      <c r="Q375" s="167"/>
    </row>
    <row r="376" spans="2:17" x14ac:dyDescent="0.2">
      <c r="B376" s="283">
        <v>2021</v>
      </c>
      <c r="C376" s="287">
        <f>+H346</f>
        <v>0</v>
      </c>
      <c r="D376" s="224"/>
      <c r="E376" s="224"/>
      <c r="Q376" s="167"/>
    </row>
    <row r="377" spans="2:17" x14ac:dyDescent="0.2">
      <c r="B377" s="341">
        <v>2022</v>
      </c>
      <c r="C377" s="342">
        <f>+H357</f>
        <v>0</v>
      </c>
      <c r="D377" s="224"/>
      <c r="E377" s="224"/>
      <c r="Q377" s="167"/>
    </row>
    <row r="378" spans="2:17" x14ac:dyDescent="0.2">
      <c r="B378" s="341">
        <v>2023</v>
      </c>
      <c r="C378" s="342">
        <f>+H364</f>
        <v>0</v>
      </c>
      <c r="D378" s="224"/>
      <c r="E378" s="224"/>
      <c r="Q378" s="167"/>
    </row>
    <row r="379" spans="2:17" x14ac:dyDescent="0.2">
      <c r="B379" s="341">
        <v>2024</v>
      </c>
      <c r="C379" s="342">
        <f>+H371</f>
        <v>0</v>
      </c>
      <c r="D379" s="224"/>
      <c r="E379" s="224"/>
      <c r="Q379" s="167"/>
    </row>
    <row r="380" spans="2:17" x14ac:dyDescent="0.2">
      <c r="Q380" s="167"/>
    </row>
    <row r="381" spans="2:17" x14ac:dyDescent="0.2">
      <c r="Q381" s="167"/>
    </row>
    <row r="382" spans="2:17" x14ac:dyDescent="0.2">
      <c r="B382" s="326" t="s">
        <v>205</v>
      </c>
      <c r="C382" s="327"/>
      <c r="D382" s="327"/>
      <c r="E382" s="327"/>
      <c r="F382" s="328"/>
      <c r="G382" s="328"/>
      <c r="H382" s="328"/>
      <c r="I382" s="328"/>
      <c r="J382" s="328"/>
      <c r="K382" s="328"/>
      <c r="L382" s="328"/>
      <c r="M382" s="328"/>
      <c r="Q382" s="167"/>
    </row>
    <row r="383" spans="2:17" x14ac:dyDescent="0.2">
      <c r="Q383" s="167"/>
    </row>
    <row r="384" spans="2:17" x14ac:dyDescent="0.2">
      <c r="B384" s="281" t="s">
        <v>172</v>
      </c>
      <c r="F384" s="1000">
        <v>2017</v>
      </c>
      <c r="Q384" s="167"/>
    </row>
    <row r="385" spans="2:17" x14ac:dyDescent="0.2">
      <c r="L385" s="212"/>
      <c r="Q385" s="167"/>
    </row>
    <row r="386" spans="2:17" ht="102" customHeight="1" x14ac:dyDescent="0.2">
      <c r="B386" s="1257" t="s">
        <v>173</v>
      </c>
      <c r="C386" s="1258"/>
      <c r="D386" s="1258"/>
      <c r="E386" s="1259"/>
      <c r="F386" s="282"/>
      <c r="G386" s="166" t="str">
        <f>"Nog af te bouwen regulatoir saldo einde "&amp;F384-1</f>
        <v>Nog af te bouwen regulatoir saldo einde 2016</v>
      </c>
      <c r="H386" s="166" t="str">
        <f>"Afbouw oudste openstaande regulatoir saldo vanaf boekjaar "&amp;F384-3&amp;" en vroeger, door aanwending van compensatie met regulatoir saldo ontstaan over boekjaar "&amp;F384-2</f>
        <v>Afbouw oudste openstaande regulatoir saldo vanaf boekjaar 2014 en vroeger, door aanwending van compensatie met regulatoir saldo ontstaan over boekjaar 2015</v>
      </c>
      <c r="I386" s="166" t="str">
        <f>"Nog af te bouwen regulatoir saldo na compensatie einde "&amp;F384-1</f>
        <v>Nog af te bouwen regulatoir saldo na compensatie einde 2016</v>
      </c>
      <c r="J386" s="166" t="str">
        <f>"Aanwending van 60% van het geaccumuleerd regulatoir saldo door te rekenen volgens de tariefmethodologie in het boekjaar "&amp;F384</f>
        <v>Aanwending van 60% van het geaccumuleerd regulatoir saldo door te rekenen volgens de tariefmethodologie in het boekjaar 2017</v>
      </c>
      <c r="K386" s="166" t="str">
        <f>"Nog af te bouwen regulatoir saldo einde "&amp;F384</f>
        <v>Nog af te bouwen regulatoir saldo einde 2017</v>
      </c>
      <c r="L386" s="212"/>
      <c r="Q386" s="167"/>
    </row>
    <row r="387" spans="2:17" x14ac:dyDescent="0.2">
      <c r="B387" s="1260">
        <v>2015</v>
      </c>
      <c r="C387" s="1261"/>
      <c r="D387" s="1261"/>
      <c r="E387" s="1262"/>
      <c r="F387" s="283"/>
      <c r="G387" s="177">
        <f>G151</f>
        <v>0</v>
      </c>
      <c r="H387" s="566">
        <v>0</v>
      </c>
      <c r="I387" s="177">
        <f>+G387+H387</f>
        <v>0</v>
      </c>
      <c r="J387" s="177">
        <f>-I387*0.6</f>
        <v>0</v>
      </c>
      <c r="K387" s="1001">
        <f>+J387+G387</f>
        <v>0</v>
      </c>
      <c r="L387" s="212"/>
      <c r="Q387" s="167"/>
    </row>
    <row r="388" spans="2:17" x14ac:dyDescent="0.2">
      <c r="L388" s="212"/>
      <c r="Q388" s="167"/>
    </row>
    <row r="389" spans="2:17" x14ac:dyDescent="0.2">
      <c r="B389" s="281" t="s">
        <v>172</v>
      </c>
      <c r="F389" s="1000">
        <v>2018</v>
      </c>
      <c r="Q389" s="167"/>
    </row>
    <row r="390" spans="2:17" x14ac:dyDescent="0.2">
      <c r="Q390" s="167"/>
    </row>
    <row r="391" spans="2:17" ht="102" customHeight="1" x14ac:dyDescent="0.2">
      <c r="B391" s="1257" t="s">
        <v>173</v>
      </c>
      <c r="C391" s="1258"/>
      <c r="D391" s="1258"/>
      <c r="E391" s="1259"/>
      <c r="F391" s="282"/>
      <c r="G391" s="166" t="str">
        <f>"Nog af te bouwen regulatoir saldo einde "&amp;F389-1</f>
        <v>Nog af te bouwen regulatoir saldo einde 2017</v>
      </c>
      <c r="H391" s="166" t="str">
        <f>"Afbouw oudste openstaande regulatoir saldo vanaf boekjaar "&amp;F389-3&amp;" en vroeger, door aanwending van compensatie met regulatoir saldo ontstaan over boekjaar "&amp;F389-2</f>
        <v>Afbouw oudste openstaande regulatoir saldo vanaf boekjaar 2015 en vroeger, door aanwending van compensatie met regulatoir saldo ontstaan over boekjaar 2016</v>
      </c>
      <c r="I391" s="166" t="str">
        <f>"Nog af te bouwen regulatoir saldo na compensatie einde "&amp;F389-1</f>
        <v>Nog af te bouwen regulatoir saldo na compensatie einde 2017</v>
      </c>
      <c r="J391" s="166" t="str">
        <f>"60% van het geaccumuleerd regulatoir saldo door te rekenen volgens de tariefmethodologie in het boekjaar "&amp;F389</f>
        <v>60% van het geaccumuleerd regulatoir saldo door te rekenen volgens de tariefmethodologie in het boekjaar 2018</v>
      </c>
      <c r="K391" s="166" t="str">
        <f>"Aanwending van 60% van het geaccumuleerd regulatoir saldo door te rekenen volgens de tariefmethodologie in het boekjaar "&amp;F389</f>
        <v>Aanwending van 60% van het geaccumuleerd regulatoir saldo door te rekenen volgens de tariefmethodologie in het boekjaar 2018</v>
      </c>
      <c r="L391" s="166" t="str">
        <f>"Totale afbouw over "&amp;F389</f>
        <v>Totale afbouw over 2018</v>
      </c>
      <c r="M391" s="166" t="str">
        <f>"Nog af te bouwen regulatoir saldo einde "&amp;F389</f>
        <v>Nog af te bouwen regulatoir saldo einde 2018</v>
      </c>
      <c r="N391" s="212"/>
      <c r="Q391" s="167"/>
    </row>
    <row r="392" spans="2:17" x14ac:dyDescent="0.2">
      <c r="B392" s="1260">
        <v>2015</v>
      </c>
      <c r="C392" s="1261"/>
      <c r="D392" s="1261"/>
      <c r="E392" s="1262"/>
      <c r="F392" s="283"/>
      <c r="G392" s="177">
        <f>K387</f>
        <v>0</v>
      </c>
      <c r="H392" s="566">
        <f>IF(SIGN(G393*K387)&lt;0,IF(G392&lt;&gt;0,-SIGN(G392)*MIN(ABS(G393),ABS(G392)),0),0)</f>
        <v>0</v>
      </c>
      <c r="I392" s="177">
        <f>+G392+H392</f>
        <v>0</v>
      </c>
      <c r="J392" s="995"/>
      <c r="K392" s="566">
        <f>-MIN(ABS(I392),ABS(J394))*SIGN(I392)</f>
        <v>0</v>
      </c>
      <c r="L392" s="1003">
        <f>+K392+H392</f>
        <v>0</v>
      </c>
      <c r="M392" s="177">
        <f>+I392+K392</f>
        <v>0</v>
      </c>
      <c r="N392" s="212"/>
      <c r="Q392" s="167"/>
    </row>
    <row r="393" spans="2:17" x14ac:dyDescent="0.2">
      <c r="B393" s="1260">
        <v>2016</v>
      </c>
      <c r="C393" s="1261"/>
      <c r="D393" s="1261"/>
      <c r="E393" s="1262"/>
      <c r="F393" s="283"/>
      <c r="G393" s="177">
        <f>H152</f>
        <v>0</v>
      </c>
      <c r="H393" s="1003">
        <f>IF(SIGN(G393*K387)&lt;0,-H392,0)</f>
        <v>0</v>
      </c>
      <c r="I393" s="177">
        <f>+G393+H393</f>
        <v>0</v>
      </c>
      <c r="J393" s="995"/>
      <c r="K393" s="566">
        <f>-MIN(ABS(I393),ABS(J394-K392))*SIGN(I393)</f>
        <v>0</v>
      </c>
      <c r="L393" s="1003">
        <f>+K393+H393</f>
        <v>0</v>
      </c>
      <c r="M393" s="177">
        <f>+I393+K393</f>
        <v>0</v>
      </c>
      <c r="N393" s="212"/>
      <c r="Q393" s="167"/>
    </row>
    <row r="394" spans="2:17" s="281" customFormat="1" x14ac:dyDescent="0.2">
      <c r="G394" s="284">
        <f>SUM(G392:G393)</f>
        <v>0</v>
      </c>
      <c r="H394" s="169">
        <f>SUM(H392:H393)</f>
        <v>0</v>
      </c>
      <c r="I394" s="284">
        <f>SUM(I392:I393)</f>
        <v>0</v>
      </c>
      <c r="J394" s="284">
        <f>-I394*0.6</f>
        <v>0</v>
      </c>
      <c r="K394" s="169">
        <f>SUM(K392:K393)</f>
        <v>0</v>
      </c>
      <c r="L394" s="570"/>
      <c r="M394" s="284">
        <f>SUM(M392:M393)</f>
        <v>0</v>
      </c>
    </row>
    <row r="395" spans="2:17" x14ac:dyDescent="0.2">
      <c r="H395" s="221"/>
      <c r="Q395" s="167"/>
    </row>
    <row r="396" spans="2:17" x14ac:dyDescent="0.2">
      <c r="B396" s="281" t="s">
        <v>172</v>
      </c>
      <c r="F396" s="1000">
        <v>2019</v>
      </c>
      <c r="Q396" s="167"/>
    </row>
    <row r="397" spans="2:17" x14ac:dyDescent="0.2">
      <c r="Q397" s="167"/>
    </row>
    <row r="398" spans="2:17" ht="102" customHeight="1" x14ac:dyDescent="0.2">
      <c r="B398" s="1257" t="s">
        <v>173</v>
      </c>
      <c r="C398" s="1258"/>
      <c r="D398" s="1258"/>
      <c r="E398" s="1259"/>
      <c r="F398" s="282"/>
      <c r="G398" s="166" t="str">
        <f>"Nog af te bouwen regulatoir saldo einde "&amp;F396-1</f>
        <v>Nog af te bouwen regulatoir saldo einde 2018</v>
      </c>
      <c r="H398" s="166" t="str">
        <f>"Afbouw oudste openstaande regulatoir saldo vanaf boekjaar "&amp;F396-3&amp;" en vroeger, door aanwending van compensatie met regulatoir saldo ontstaan over boekjaar "&amp;F396-2</f>
        <v>Afbouw oudste openstaande regulatoir saldo vanaf boekjaar 2016 en vroeger, door aanwending van compensatie met regulatoir saldo ontstaan over boekjaar 2017</v>
      </c>
      <c r="I398" s="166" t="str">
        <f>"Nog af te bouwen regulatoir saldo na compensatie einde "&amp;F396-1</f>
        <v>Nog af te bouwen regulatoir saldo na compensatie einde 2018</v>
      </c>
      <c r="J398" s="166" t="str">
        <f>"60% van het geaccumuleerd regulatoir saldo door te rekenen volgens de tariefmethodologie in het boekjaar "&amp;F396</f>
        <v>60% van het geaccumuleerd regulatoir saldo door te rekenen volgens de tariefmethodologie in het boekjaar 2019</v>
      </c>
      <c r="K398" s="166" t="str">
        <f>"Aanwending van het 60% van het geaccumuleerd regulatoir saldo door te rekenen volgens de tariefmethodologie in het boekjaar "&amp;F396</f>
        <v>Aanwending van het 60% van het geaccumuleerd regulatoir saldo door te rekenen volgens de tariefmethodologie in het boekjaar 2019</v>
      </c>
      <c r="L398" s="166" t="str">
        <f>"Totale afbouw over "&amp;F396</f>
        <v>Totale afbouw over 2019</v>
      </c>
      <c r="M398" s="166" t="str">
        <f>"Nog af te bouwen regulatoir saldo einde "&amp;F396</f>
        <v>Nog af te bouwen regulatoir saldo einde 2019</v>
      </c>
      <c r="N398" s="212"/>
      <c r="Q398" s="167"/>
    </row>
    <row r="399" spans="2:17" x14ac:dyDescent="0.2">
      <c r="B399" s="1260">
        <v>2015</v>
      </c>
      <c r="C399" s="1261"/>
      <c r="D399" s="1261"/>
      <c r="E399" s="1262"/>
      <c r="F399" s="283"/>
      <c r="G399" s="177">
        <f>+M392</f>
        <v>0</v>
      </c>
      <c r="H399" s="1003">
        <f>IF(SIGN(G401*M394)&lt;0,IF(G399&lt;&gt;0,-SIGN(G399)*MIN(ABS(G401),ABS(G399)),0),0)</f>
        <v>0</v>
      </c>
      <c r="I399" s="177">
        <f>+G399+H399</f>
        <v>0</v>
      </c>
      <c r="J399" s="995"/>
      <c r="K399" s="566">
        <f>-MIN(ABS(I399),ABS(J402))*SIGN(I399)</f>
        <v>0</v>
      </c>
      <c r="L399" s="1003">
        <f>+K399+H399</f>
        <v>0</v>
      </c>
      <c r="M399" s="177">
        <f>+I399+K399</f>
        <v>0</v>
      </c>
      <c r="N399" s="212"/>
      <c r="Q399" s="167"/>
    </row>
    <row r="400" spans="2:17" x14ac:dyDescent="0.2">
      <c r="B400" s="1260">
        <v>2016</v>
      </c>
      <c r="C400" s="1261"/>
      <c r="D400" s="1261">
        <v>2016</v>
      </c>
      <c r="E400" s="1262"/>
      <c r="F400" s="283"/>
      <c r="G400" s="177">
        <f>+M393</f>
        <v>0</v>
      </c>
      <c r="H400" s="1003">
        <f>IF(SIGN(G401*M394)&lt;0,IF(G400&lt;&gt;0,-SIGN(G400)*MIN(ABS(G401-H399),ABS(G400)),0),0)</f>
        <v>0</v>
      </c>
      <c r="I400" s="177">
        <f>+G400+H400</f>
        <v>0</v>
      </c>
      <c r="J400" s="995"/>
      <c r="K400" s="566">
        <f>-MIN(ABS(I400),ABS(J402-K399))*SIGN(I400)</f>
        <v>0</v>
      </c>
      <c r="L400" s="1003">
        <f>+K400+H400</f>
        <v>0</v>
      </c>
      <c r="M400" s="177">
        <f>+I400+K400</f>
        <v>0</v>
      </c>
      <c r="N400" s="212"/>
      <c r="Q400" s="167"/>
    </row>
    <row r="401" spans="2:17" x14ac:dyDescent="0.2">
      <c r="B401" s="1260">
        <v>2017</v>
      </c>
      <c r="C401" s="1261"/>
      <c r="D401" s="1261"/>
      <c r="E401" s="1262"/>
      <c r="F401" s="283"/>
      <c r="G401" s="177">
        <f>I153</f>
        <v>0</v>
      </c>
      <c r="H401" s="1003">
        <f>IF(SIGN(G401*M394)&lt;0,-SUM(H399:H400),0)</f>
        <v>0</v>
      </c>
      <c r="I401" s="177">
        <f>+G401+H401</f>
        <v>0</v>
      </c>
      <c r="J401" s="995"/>
      <c r="K401" s="566">
        <f>-MIN(ABS(I401),ABS(J402-K399-K400))*SIGN(I401)</f>
        <v>0</v>
      </c>
      <c r="L401" s="1003">
        <f>+K401+H401</f>
        <v>0</v>
      </c>
      <c r="M401" s="177">
        <f>+I401+K401</f>
        <v>0</v>
      </c>
      <c r="N401" s="212"/>
      <c r="Q401" s="167"/>
    </row>
    <row r="402" spans="2:17" s="281" customFormat="1" x14ac:dyDescent="0.2">
      <c r="G402" s="284">
        <f>SUM(G399:G401)</f>
        <v>0</v>
      </c>
      <c r="H402" s="169">
        <f>SUM(H399:H401)</f>
        <v>0</v>
      </c>
      <c r="I402" s="284">
        <f>SUM(I399:I401)</f>
        <v>0</v>
      </c>
      <c r="J402" s="284">
        <f>-I402*0.6</f>
        <v>0</v>
      </c>
      <c r="K402" s="169">
        <f>SUM(K399:K401)</f>
        <v>0</v>
      </c>
      <c r="L402" s="570"/>
      <c r="M402" s="284">
        <f>SUM(M399:M401)</f>
        <v>0</v>
      </c>
    </row>
    <row r="403" spans="2:17" x14ac:dyDescent="0.2">
      <c r="H403" s="221"/>
      <c r="Q403" s="167"/>
    </row>
    <row r="404" spans="2:17" x14ac:dyDescent="0.2">
      <c r="B404" s="281" t="s">
        <v>172</v>
      </c>
      <c r="F404" s="1000">
        <v>2020</v>
      </c>
      <c r="Q404" s="167"/>
    </row>
    <row r="405" spans="2:17" x14ac:dyDescent="0.2">
      <c r="Q405" s="167"/>
    </row>
    <row r="406" spans="2:17" ht="102" customHeight="1" x14ac:dyDescent="0.2">
      <c r="B406" s="1257" t="s">
        <v>173</v>
      </c>
      <c r="C406" s="1258"/>
      <c r="D406" s="1258"/>
      <c r="E406" s="1259"/>
      <c r="F406" s="282"/>
      <c r="G406" s="166" t="str">
        <f>"Nog af te bouwen regulatoir saldo einde "&amp;F404-1</f>
        <v>Nog af te bouwen regulatoir saldo einde 2019</v>
      </c>
      <c r="H406" s="166" t="str">
        <f>"Afbouw oudste openstaande regulatoir saldo vanaf boekjaar "&amp;F404-3&amp;" en vroeger, door aanwending van compensatie met regulatoir saldo ontstaan over boekjaar "&amp;F404-2</f>
        <v>Afbouw oudste openstaande regulatoir saldo vanaf boekjaar 2017 en vroeger, door aanwending van compensatie met regulatoir saldo ontstaan over boekjaar 2018</v>
      </c>
      <c r="I406" s="166" t="str">
        <f>"Nog af te bouwen regulatoir saldo na compensatie einde "&amp;F404-1</f>
        <v>Nog af te bouwen regulatoir saldo na compensatie einde 2019</v>
      </c>
      <c r="J406" s="166" t="str">
        <f>"60% van het geaccumuleerd regulatoir saldo door te rekenen volgens de tariefmethodologie in het boekjaar "&amp;F404</f>
        <v>60% van het geaccumuleerd regulatoir saldo door te rekenen volgens de tariefmethodologie in het boekjaar 2020</v>
      </c>
      <c r="K406" s="166" t="str">
        <f>"Aanwending van het 60% van het geaccumuleerd regulatoir saldo door te rekenen volgens de tariefmethodologie in het boekjaar "&amp;F404</f>
        <v>Aanwending van het 60% van het geaccumuleerd regulatoir saldo door te rekenen volgens de tariefmethodologie in het boekjaar 2020</v>
      </c>
      <c r="L406" s="166" t="str">
        <f>"Totale afbouw over "&amp;F404</f>
        <v>Totale afbouw over 2020</v>
      </c>
      <c r="M406" s="166" t="str">
        <f>"Nog af te bouwen regulatoir saldo einde "&amp;F404</f>
        <v>Nog af te bouwen regulatoir saldo einde 2020</v>
      </c>
      <c r="N406" s="212"/>
      <c r="Q406" s="167"/>
    </row>
    <row r="407" spans="2:17" x14ac:dyDescent="0.2">
      <c r="B407" s="1260">
        <v>2015</v>
      </c>
      <c r="C407" s="1261"/>
      <c r="D407" s="1261"/>
      <c r="E407" s="1262"/>
      <c r="F407" s="283"/>
      <c r="G407" s="177">
        <f>+M399</f>
        <v>0</v>
      </c>
      <c r="H407" s="1003">
        <f>IF(SIGN(G410*M402)&lt;0,IF(G407&lt;&gt;0,-SIGN(G407)*MIN(ABS(G410),ABS(G407)),0),0)</f>
        <v>0</v>
      </c>
      <c r="I407" s="177">
        <f>+G407+H407</f>
        <v>0</v>
      </c>
      <c r="J407" s="995"/>
      <c r="K407" s="566">
        <f>-MIN(ABS(I407),ABS(J411))*SIGN(I407)</f>
        <v>0</v>
      </c>
      <c r="L407" s="1003">
        <f>+K407+H407</f>
        <v>0</v>
      </c>
      <c r="M407" s="177">
        <f>+I407+K407</f>
        <v>0</v>
      </c>
      <c r="N407" s="212"/>
      <c r="Q407" s="167"/>
    </row>
    <row r="408" spans="2:17" x14ac:dyDescent="0.2">
      <c r="B408" s="1260">
        <v>2016</v>
      </c>
      <c r="C408" s="1261"/>
      <c r="D408" s="1261"/>
      <c r="E408" s="1262"/>
      <c r="F408" s="283"/>
      <c r="G408" s="177">
        <f>+M400</f>
        <v>0</v>
      </c>
      <c r="H408" s="1003">
        <f>IF(SIGN(G410*M402)&lt;0,IF(G408&lt;&gt;0,-SIGN(G408)*MIN(ABS(G410-H407),ABS(G408)),0),0)</f>
        <v>0</v>
      </c>
      <c r="I408" s="177">
        <f>+G408+H408</f>
        <v>0</v>
      </c>
      <c r="J408" s="995"/>
      <c r="K408" s="566">
        <f>-MIN(ABS(I408),ABS(J411-K407))*SIGN(I408)</f>
        <v>0</v>
      </c>
      <c r="L408" s="1003">
        <f>+K408+H408</f>
        <v>0</v>
      </c>
      <c r="M408" s="177">
        <f>+I408+K408</f>
        <v>0</v>
      </c>
      <c r="N408" s="212"/>
      <c r="Q408" s="167"/>
    </row>
    <row r="409" spans="2:17" x14ac:dyDescent="0.2">
      <c r="B409" s="1260">
        <v>2017</v>
      </c>
      <c r="C409" s="1261"/>
      <c r="D409" s="1261">
        <v>2016</v>
      </c>
      <c r="E409" s="1262"/>
      <c r="F409" s="283"/>
      <c r="G409" s="177">
        <f>+M401</f>
        <v>0</v>
      </c>
      <c r="H409" s="1003">
        <f>IF(SIGN(G410*M402)&lt;0,IF(G409&lt;&gt;0,-SIGN(G409)*MIN(ABS(G410-H407-H408),ABS(G409)),0),0)</f>
        <v>0</v>
      </c>
      <c r="I409" s="177">
        <f>+G409+H409</f>
        <v>0</v>
      </c>
      <c r="J409" s="995"/>
      <c r="K409" s="566">
        <f>-MIN(ABS(I409),ABS(J411-K407-K408))*SIGN(I409)</f>
        <v>0</v>
      </c>
      <c r="L409" s="1003">
        <f>+K409+H409</f>
        <v>0</v>
      </c>
      <c r="M409" s="177">
        <f>+I409+K409</f>
        <v>0</v>
      </c>
      <c r="N409" s="212"/>
      <c r="Q409" s="167"/>
    </row>
    <row r="410" spans="2:17" x14ac:dyDescent="0.2">
      <c r="B410" s="1260">
        <v>2018</v>
      </c>
      <c r="C410" s="1261"/>
      <c r="D410" s="1261"/>
      <c r="E410" s="1262"/>
      <c r="F410" s="283"/>
      <c r="G410" s="177">
        <f>J154</f>
        <v>0</v>
      </c>
      <c r="H410" s="1003">
        <f>IF(SIGN(G410*M402)&lt;0,-SUM(H407:H409),0)</f>
        <v>0</v>
      </c>
      <c r="I410" s="177">
        <f>+G410+H410</f>
        <v>0</v>
      </c>
      <c r="J410" s="995"/>
      <c r="K410" s="566">
        <f>-MIN(ABS(I410),ABS(J411-K407-K408-K409))*SIGN(I410)</f>
        <v>0</v>
      </c>
      <c r="L410" s="1003">
        <f>+K410+H410</f>
        <v>0</v>
      </c>
      <c r="M410" s="177">
        <f>+I410+K410</f>
        <v>0</v>
      </c>
      <c r="N410" s="212"/>
      <c r="Q410" s="167"/>
    </row>
    <row r="411" spans="2:17" s="281" customFormat="1" x14ac:dyDescent="0.2">
      <c r="G411" s="284">
        <f>SUM(G407:G410)</f>
        <v>0</v>
      </c>
      <c r="H411" s="169">
        <f>SUM(H407:H410)</f>
        <v>0</v>
      </c>
      <c r="I411" s="284">
        <f>SUM(I407:I410)</f>
        <v>0</v>
      </c>
      <c r="J411" s="284">
        <f>-I411*0.6</f>
        <v>0</v>
      </c>
      <c r="K411" s="169">
        <f>SUM(K407:K410)</f>
        <v>0</v>
      </c>
      <c r="L411" s="169"/>
      <c r="M411" s="284">
        <f>SUM(M407:M410)</f>
        <v>0</v>
      </c>
    </row>
    <row r="412" spans="2:17" x14ac:dyDescent="0.2">
      <c r="Q412" s="167"/>
    </row>
    <row r="413" spans="2:17" x14ac:dyDescent="0.2">
      <c r="B413" s="281" t="s">
        <v>172</v>
      </c>
      <c r="F413" s="1000">
        <v>2021</v>
      </c>
      <c r="Q413" s="167"/>
    </row>
    <row r="414" spans="2:17" x14ac:dyDescent="0.2">
      <c r="Q414" s="167"/>
    </row>
    <row r="415" spans="2:17" ht="102" customHeight="1" x14ac:dyDescent="0.2">
      <c r="B415" s="1257" t="s">
        <v>173</v>
      </c>
      <c r="C415" s="1258"/>
      <c r="D415" s="1258"/>
      <c r="E415" s="1259"/>
      <c r="F415" s="282"/>
      <c r="G415" s="166" t="str">
        <f>"Nog af te bouwen regulatoir saldo einde "&amp;F413-1</f>
        <v>Nog af te bouwen regulatoir saldo einde 2020</v>
      </c>
      <c r="H415" s="166" t="str">
        <f>"50% van oorspronkelijk saldo door te rekenen volgens de tariefmethodologie in het boekjaar "&amp;F413</f>
        <v>50% van oorspronkelijk saldo door te rekenen volgens de tariefmethodologie in het boekjaar 2021</v>
      </c>
      <c r="I415" s="166" t="str">
        <f>"Nog af te bouwen regulatoir saldo einde "&amp;F413</f>
        <v>Nog af te bouwen regulatoir saldo einde 2021</v>
      </c>
      <c r="J415" s="212"/>
      <c r="Q415" s="167"/>
    </row>
    <row r="416" spans="2:17" x14ac:dyDescent="0.2">
      <c r="B416" s="1260">
        <v>2015</v>
      </c>
      <c r="C416" s="1261"/>
      <c r="D416" s="1261"/>
      <c r="E416" s="1262"/>
      <c r="F416" s="283"/>
      <c r="G416" s="177">
        <f>M407</f>
        <v>0</v>
      </c>
      <c r="H416" s="177">
        <f>-G416*0.5</f>
        <v>0</v>
      </c>
      <c r="I416" s="177">
        <f>+G416+H416</f>
        <v>0</v>
      </c>
      <c r="J416" s="212"/>
      <c r="Q416" s="167"/>
    </row>
    <row r="417" spans="2:17" x14ac:dyDescent="0.2">
      <c r="B417" s="1260">
        <v>2016</v>
      </c>
      <c r="C417" s="1261"/>
      <c r="D417" s="1261"/>
      <c r="E417" s="1262"/>
      <c r="F417" s="283"/>
      <c r="G417" s="177">
        <f t="shared" ref="G417:G419" si="69">M408</f>
        <v>0</v>
      </c>
      <c r="H417" s="177">
        <f t="shared" ref="H417:H420" si="70">-G417*0.5</f>
        <v>0</v>
      </c>
      <c r="I417" s="177">
        <f t="shared" ref="I417:I420" si="71">+G417+H417</f>
        <v>0</v>
      </c>
      <c r="J417" s="212"/>
      <c r="Q417" s="167"/>
    </row>
    <row r="418" spans="2:17" x14ac:dyDescent="0.2">
      <c r="B418" s="1260">
        <v>2017</v>
      </c>
      <c r="C418" s="1261"/>
      <c r="D418" s="1261">
        <v>2016</v>
      </c>
      <c r="E418" s="1262"/>
      <c r="F418" s="283"/>
      <c r="G418" s="177">
        <f t="shared" si="69"/>
        <v>0</v>
      </c>
      <c r="H418" s="177">
        <f t="shared" si="70"/>
        <v>0</v>
      </c>
      <c r="I418" s="177">
        <f t="shared" si="71"/>
        <v>0</v>
      </c>
      <c r="J418" s="212"/>
      <c r="Q418" s="167"/>
    </row>
    <row r="419" spans="2:17" x14ac:dyDescent="0.2">
      <c r="B419" s="1260">
        <v>2018</v>
      </c>
      <c r="C419" s="1261"/>
      <c r="D419" s="1261"/>
      <c r="E419" s="1262"/>
      <c r="F419" s="283"/>
      <c r="G419" s="177">
        <f t="shared" si="69"/>
        <v>0</v>
      </c>
      <c r="H419" s="177">
        <f t="shared" si="70"/>
        <v>0</v>
      </c>
      <c r="I419" s="177">
        <f t="shared" si="71"/>
        <v>0</v>
      </c>
      <c r="J419" s="212"/>
      <c r="Q419" s="167"/>
    </row>
    <row r="420" spans="2:17" x14ac:dyDescent="0.2">
      <c r="B420" s="1260">
        <v>2019</v>
      </c>
      <c r="C420" s="1261"/>
      <c r="D420" s="1261"/>
      <c r="E420" s="1262"/>
      <c r="F420" s="283"/>
      <c r="G420" s="177">
        <f>K155</f>
        <v>0</v>
      </c>
      <c r="H420" s="177">
        <f t="shared" si="70"/>
        <v>0</v>
      </c>
      <c r="I420" s="177">
        <f t="shared" si="71"/>
        <v>0</v>
      </c>
      <c r="J420" s="212"/>
      <c r="Q420" s="167"/>
    </row>
    <row r="421" spans="2:17" s="281" customFormat="1" x14ac:dyDescent="0.2">
      <c r="G421" s="284">
        <f>SUM(G416:G420)</f>
        <v>0</v>
      </c>
      <c r="H421" s="284">
        <f>SUM(H416:H420)</f>
        <v>0</v>
      </c>
      <c r="I421" s="284">
        <f>SUM(I416:I420)</f>
        <v>0</v>
      </c>
    </row>
    <row r="422" spans="2:17" x14ac:dyDescent="0.2">
      <c r="Q422" s="167"/>
    </row>
    <row r="423" spans="2:17" x14ac:dyDescent="0.2">
      <c r="B423" s="847" t="s">
        <v>172</v>
      </c>
      <c r="C423" s="842"/>
      <c r="D423" s="842"/>
      <c r="E423" s="842"/>
      <c r="F423" s="1004">
        <v>2022</v>
      </c>
      <c r="G423" s="842"/>
      <c r="H423" s="842"/>
      <c r="I423" s="842"/>
      <c r="Q423" s="167"/>
    </row>
    <row r="424" spans="2:17" x14ac:dyDescent="0.2">
      <c r="B424" s="842"/>
      <c r="C424" s="842"/>
      <c r="D424" s="842"/>
      <c r="E424" s="842"/>
      <c r="F424" s="842"/>
      <c r="G424" s="842"/>
      <c r="H424" s="842"/>
      <c r="I424" s="842"/>
      <c r="Q424" s="167"/>
    </row>
    <row r="425" spans="2:17" ht="102" customHeight="1" x14ac:dyDescent="0.2">
      <c r="B425" s="1254" t="s">
        <v>173</v>
      </c>
      <c r="C425" s="1255"/>
      <c r="D425" s="1255"/>
      <c r="E425" s="1256"/>
      <c r="F425" s="848"/>
      <c r="G425" s="837" t="str">
        <f>"Nog af te bouwen regulatoir saldo einde "&amp;F423-1</f>
        <v>Nog af te bouwen regulatoir saldo einde 2021</v>
      </c>
      <c r="H425" s="837" t="str">
        <f>"50% van oorspronkelijk saldo door te rekenen volgens de tariefmethodologie in het boekjaar "&amp;F423</f>
        <v>50% van oorspronkelijk saldo door te rekenen volgens de tariefmethodologie in het boekjaar 2022</v>
      </c>
      <c r="I425" s="837" t="str">
        <f>"Nog af te bouwen regulatoir saldo einde "&amp;F423</f>
        <v>Nog af te bouwen regulatoir saldo einde 2022</v>
      </c>
      <c r="J425" s="212"/>
      <c r="Q425" s="167"/>
    </row>
    <row r="426" spans="2:17" x14ac:dyDescent="0.2">
      <c r="B426" s="1251">
        <v>2015</v>
      </c>
      <c r="C426" s="1252"/>
      <c r="D426" s="1252"/>
      <c r="E426" s="1253"/>
      <c r="F426" s="341"/>
      <c r="G426" s="339">
        <f>+I416</f>
        <v>0</v>
      </c>
      <c r="H426" s="339">
        <f>-G416*0.5</f>
        <v>0</v>
      </c>
      <c r="I426" s="339">
        <f>+G426+H426</f>
        <v>0</v>
      </c>
      <c r="J426" s="212"/>
      <c r="Q426" s="167"/>
    </row>
    <row r="427" spans="2:17" x14ac:dyDescent="0.2">
      <c r="B427" s="1251">
        <v>2016</v>
      </c>
      <c r="C427" s="1252"/>
      <c r="D427" s="1252"/>
      <c r="E427" s="1253"/>
      <c r="F427" s="341"/>
      <c r="G427" s="339">
        <f t="shared" ref="G427:G430" si="72">+I417</f>
        <v>0</v>
      </c>
      <c r="H427" s="339">
        <f t="shared" ref="H427:H430" si="73">-G417*0.5</f>
        <v>0</v>
      </c>
      <c r="I427" s="339">
        <f t="shared" ref="I427:I431" si="74">+G427+H427</f>
        <v>0</v>
      </c>
      <c r="J427" s="212"/>
      <c r="Q427" s="167"/>
    </row>
    <row r="428" spans="2:17" x14ac:dyDescent="0.2">
      <c r="B428" s="1251">
        <v>2017</v>
      </c>
      <c r="C428" s="1252"/>
      <c r="D428" s="1252">
        <v>2016</v>
      </c>
      <c r="E428" s="1253"/>
      <c r="F428" s="341"/>
      <c r="G428" s="339">
        <f t="shared" si="72"/>
        <v>0</v>
      </c>
      <c r="H428" s="339">
        <f t="shared" si="73"/>
        <v>0</v>
      </c>
      <c r="I428" s="339">
        <f t="shared" si="74"/>
        <v>0</v>
      </c>
      <c r="J428" s="212"/>
      <c r="Q428" s="167"/>
    </row>
    <row r="429" spans="2:17" x14ac:dyDescent="0.2">
      <c r="B429" s="1251">
        <v>2018</v>
      </c>
      <c r="C429" s="1252"/>
      <c r="D429" s="1252"/>
      <c r="E429" s="1253"/>
      <c r="F429" s="341"/>
      <c r="G429" s="339">
        <f t="shared" si="72"/>
        <v>0</v>
      </c>
      <c r="H429" s="339">
        <f t="shared" si="73"/>
        <v>0</v>
      </c>
      <c r="I429" s="339">
        <f t="shared" si="74"/>
        <v>0</v>
      </c>
      <c r="J429" s="212"/>
      <c r="Q429" s="167"/>
    </row>
    <row r="430" spans="2:17" x14ac:dyDescent="0.2">
      <c r="B430" s="1251">
        <v>2019</v>
      </c>
      <c r="C430" s="1252"/>
      <c r="D430" s="1252"/>
      <c r="E430" s="1253"/>
      <c r="F430" s="341"/>
      <c r="G430" s="339">
        <f t="shared" si="72"/>
        <v>0</v>
      </c>
      <c r="H430" s="339">
        <f t="shared" si="73"/>
        <v>0</v>
      </c>
      <c r="I430" s="339">
        <f t="shared" si="74"/>
        <v>0</v>
      </c>
      <c r="J430" s="212"/>
      <c r="Q430" s="167"/>
    </row>
    <row r="431" spans="2:17" x14ac:dyDescent="0.2">
      <c r="B431" s="1251">
        <v>2020</v>
      </c>
      <c r="C431" s="1252"/>
      <c r="D431" s="1252"/>
      <c r="E431" s="1253"/>
      <c r="F431" s="341"/>
      <c r="G431" s="339">
        <f>L156</f>
        <v>0</v>
      </c>
      <c r="H431" s="339">
        <f t="shared" ref="H431" si="75">-G431*0.5</f>
        <v>0</v>
      </c>
      <c r="I431" s="339">
        <f t="shared" si="74"/>
        <v>0</v>
      </c>
      <c r="J431" s="212"/>
      <c r="Q431" s="167"/>
    </row>
    <row r="432" spans="2:17" s="281" customFormat="1" x14ac:dyDescent="0.2">
      <c r="B432" s="847"/>
      <c r="C432" s="847"/>
      <c r="D432" s="847"/>
      <c r="E432" s="847"/>
      <c r="F432" s="847"/>
      <c r="G432" s="849">
        <f>SUM(G426:G431)</f>
        <v>0</v>
      </c>
      <c r="H432" s="849">
        <f t="shared" ref="H432" si="76">SUM(H426:H431)</f>
        <v>0</v>
      </c>
      <c r="I432" s="849">
        <f t="shared" ref="I432" si="77">SUM(I426:I431)</f>
        <v>0</v>
      </c>
    </row>
    <row r="433" spans="2:17" x14ac:dyDescent="0.2">
      <c r="B433" s="842"/>
      <c r="C433" s="842"/>
      <c r="D433" s="842"/>
      <c r="E433" s="842"/>
      <c r="F433" s="842"/>
      <c r="G433" s="842"/>
      <c r="H433" s="842"/>
      <c r="I433" s="842"/>
      <c r="Q433" s="167"/>
    </row>
    <row r="434" spans="2:17" x14ac:dyDescent="0.2">
      <c r="B434" s="847" t="s">
        <v>172</v>
      </c>
      <c r="C434" s="842"/>
      <c r="D434" s="842"/>
      <c r="E434" s="842"/>
      <c r="F434" s="1004">
        <v>2023</v>
      </c>
      <c r="G434" s="842"/>
      <c r="H434" s="842"/>
      <c r="I434" s="842"/>
      <c r="Q434" s="167"/>
    </row>
    <row r="435" spans="2:17" x14ac:dyDescent="0.2">
      <c r="B435" s="842"/>
      <c r="C435" s="842"/>
      <c r="D435" s="842"/>
      <c r="E435" s="842"/>
      <c r="F435" s="842"/>
      <c r="G435" s="842"/>
      <c r="H435" s="842"/>
      <c r="I435" s="842"/>
      <c r="Q435" s="167"/>
    </row>
    <row r="436" spans="2:17" ht="102" customHeight="1" x14ac:dyDescent="0.2">
      <c r="B436" s="1254" t="s">
        <v>173</v>
      </c>
      <c r="C436" s="1255"/>
      <c r="D436" s="1255"/>
      <c r="E436" s="1256"/>
      <c r="F436" s="848"/>
      <c r="G436" s="837" t="str">
        <f>"Nog af te bouwen regulatoir saldo einde "&amp;F434-1</f>
        <v>Nog af te bouwen regulatoir saldo einde 2022</v>
      </c>
      <c r="H436" s="837" t="str">
        <f>"50% van oorspronkelijk saldo door te rekenen volgens de tariefmethodologie in het boekjaar "&amp;F434</f>
        <v>50% van oorspronkelijk saldo door te rekenen volgens de tariefmethodologie in het boekjaar 2023</v>
      </c>
      <c r="I436" s="837" t="str">
        <f>"Nog af te bouwen regulatoir saldo einde "&amp;F434</f>
        <v>Nog af te bouwen regulatoir saldo einde 2023</v>
      </c>
      <c r="J436" s="212"/>
      <c r="Q436" s="167"/>
    </row>
    <row r="437" spans="2:17" x14ac:dyDescent="0.2">
      <c r="B437" s="1251">
        <v>2020</v>
      </c>
      <c r="C437" s="1252"/>
      <c r="D437" s="1252"/>
      <c r="E437" s="1253"/>
      <c r="F437" s="341"/>
      <c r="G437" s="339">
        <f>+I431</f>
        <v>0</v>
      </c>
      <c r="H437" s="339">
        <f>-G431*0.5</f>
        <v>0</v>
      </c>
      <c r="I437" s="339">
        <f t="shared" ref="I437" si="78">+G437+H437</f>
        <v>0</v>
      </c>
      <c r="J437" s="212"/>
      <c r="Q437" s="167"/>
    </row>
    <row r="438" spans="2:17" s="281" customFormat="1" x14ac:dyDescent="0.2">
      <c r="B438" s="847"/>
      <c r="C438" s="847"/>
      <c r="D438" s="847"/>
      <c r="E438" s="847"/>
      <c r="F438" s="847"/>
      <c r="G438" s="849">
        <f>SUM(G437:G437)</f>
        <v>0</v>
      </c>
      <c r="H438" s="849">
        <f>SUM(H437:H437)</f>
        <v>0</v>
      </c>
      <c r="I438" s="849">
        <f>SUM(I437:I437)</f>
        <v>0</v>
      </c>
    </row>
    <row r="439" spans="2:17" x14ac:dyDescent="0.2">
      <c r="Q439" s="167"/>
    </row>
    <row r="440" spans="2:17" x14ac:dyDescent="0.2">
      <c r="B440" s="281" t="str">
        <f>B382</f>
        <v>Het tarief voor het databeheer</v>
      </c>
      <c r="Q440" s="167"/>
    </row>
    <row r="441" spans="2:17" x14ac:dyDescent="0.2">
      <c r="B441" s="281" t="s">
        <v>174</v>
      </c>
      <c r="C441" s="224"/>
      <c r="D441" s="224"/>
      <c r="E441" s="224"/>
      <c r="Q441" s="167"/>
    </row>
    <row r="442" spans="2:17" x14ac:dyDescent="0.2">
      <c r="C442" s="224"/>
      <c r="D442" s="224"/>
      <c r="E442" s="224"/>
      <c r="Q442" s="167"/>
    </row>
    <row r="443" spans="2:17" x14ac:dyDescent="0.2">
      <c r="B443" s="283">
        <v>2021</v>
      </c>
      <c r="C443" s="287">
        <f>+H421</f>
        <v>0</v>
      </c>
      <c r="D443" s="224"/>
      <c r="E443" s="224"/>
      <c r="Q443" s="167"/>
    </row>
    <row r="444" spans="2:17" x14ac:dyDescent="0.2">
      <c r="B444" s="341">
        <v>2022</v>
      </c>
      <c r="C444" s="342">
        <f>+H432</f>
        <v>0</v>
      </c>
      <c r="D444" s="224"/>
      <c r="E444" s="224"/>
      <c r="Q444" s="167"/>
    </row>
    <row r="445" spans="2:17" x14ac:dyDescent="0.2">
      <c r="B445" s="341">
        <v>2023</v>
      </c>
      <c r="C445" s="342">
        <f>+H438</f>
        <v>0</v>
      </c>
      <c r="D445" s="224"/>
      <c r="E445" s="224"/>
      <c r="Q445" s="167"/>
    </row>
    <row r="446" spans="2:17" x14ac:dyDescent="0.2">
      <c r="B446" s="341">
        <v>2024</v>
      </c>
      <c r="C446" s="342">
        <v>0</v>
      </c>
      <c r="D446" s="224"/>
      <c r="E446" s="224"/>
      <c r="Q446" s="167"/>
    </row>
    <row r="447" spans="2:17" x14ac:dyDescent="0.2">
      <c r="Q447" s="167"/>
    </row>
    <row r="448" spans="2:17" x14ac:dyDescent="0.2">
      <c r="Q448" s="167"/>
    </row>
    <row r="449" spans="2:17" x14ac:dyDescent="0.2">
      <c r="B449" s="326" t="s">
        <v>67</v>
      </c>
      <c r="C449" s="327"/>
      <c r="D449" s="327"/>
      <c r="E449" s="327"/>
      <c r="F449" s="328"/>
      <c r="G449" s="328"/>
      <c r="H449" s="328"/>
      <c r="I449" s="328"/>
      <c r="J449" s="328"/>
      <c r="K449" s="328"/>
      <c r="L449" s="328"/>
      <c r="M449" s="328"/>
      <c r="Q449" s="167"/>
    </row>
    <row r="450" spans="2:17" x14ac:dyDescent="0.2">
      <c r="Q450" s="167"/>
    </row>
    <row r="451" spans="2:17" x14ac:dyDescent="0.2">
      <c r="B451" s="281" t="s">
        <v>172</v>
      </c>
      <c r="F451" s="1000">
        <v>2017</v>
      </c>
      <c r="Q451" s="167"/>
    </row>
    <row r="452" spans="2:17" x14ac:dyDescent="0.2">
      <c r="L452" s="212"/>
      <c r="Q452" s="167"/>
    </row>
    <row r="453" spans="2:17" ht="102" customHeight="1" x14ac:dyDescent="0.2">
      <c r="B453" s="1257" t="s">
        <v>173</v>
      </c>
      <c r="C453" s="1258"/>
      <c r="D453" s="1258"/>
      <c r="E453" s="1259"/>
      <c r="F453" s="282"/>
      <c r="G453" s="166" t="str">
        <f>"Nog af te bouwen regulatoir saldo einde "&amp;F451-1</f>
        <v>Nog af te bouwen regulatoir saldo einde 2016</v>
      </c>
      <c r="H453" s="166" t="str">
        <f>"Afbouw oudste openstaande regulatoir saldo vanaf boekjaar "&amp;F451-3&amp;" en vroeger, door aanwending van compensatie met regulatoir saldo ontstaan over boekjaar "&amp;F451-2</f>
        <v>Afbouw oudste openstaande regulatoir saldo vanaf boekjaar 2014 en vroeger, door aanwending van compensatie met regulatoir saldo ontstaan over boekjaar 2015</v>
      </c>
      <c r="I453" s="166" t="str">
        <f>"Nog af te bouwen regulatoir saldo na compensatie einde "&amp;F451-1</f>
        <v>Nog af te bouwen regulatoir saldo na compensatie einde 2016</v>
      </c>
      <c r="J453" s="166" t="str">
        <f>"Aanwending van 60% van het geaccumuleerd regulatoir saldo door te rekenen volgens de tariefmethodologie in het boekjaar "&amp;F451</f>
        <v>Aanwending van 60% van het geaccumuleerd regulatoir saldo door te rekenen volgens de tariefmethodologie in het boekjaar 2017</v>
      </c>
      <c r="K453" s="166" t="str">
        <f>"Nog af te bouwen regulatoir saldo einde "&amp;F451</f>
        <v>Nog af te bouwen regulatoir saldo einde 2017</v>
      </c>
      <c r="L453" s="212"/>
      <c r="Q453" s="167"/>
    </row>
    <row r="454" spans="2:17" x14ac:dyDescent="0.2">
      <c r="B454" s="1260">
        <v>2015</v>
      </c>
      <c r="C454" s="1261"/>
      <c r="D454" s="1261"/>
      <c r="E454" s="1262"/>
      <c r="F454" s="283"/>
      <c r="G454" s="177">
        <f>G162</f>
        <v>0</v>
      </c>
      <c r="H454" s="566">
        <v>0</v>
      </c>
      <c r="I454" s="177">
        <f>+G454+H454</f>
        <v>0</v>
      </c>
      <c r="J454" s="177">
        <f>-I454*0.6</f>
        <v>0</v>
      </c>
      <c r="K454" s="1001">
        <f>+J454+G454</f>
        <v>0</v>
      </c>
      <c r="L454" s="212"/>
      <c r="Q454" s="167"/>
    </row>
    <row r="455" spans="2:17" x14ac:dyDescent="0.2">
      <c r="L455" s="212"/>
      <c r="Q455" s="167"/>
    </row>
    <row r="456" spans="2:17" x14ac:dyDescent="0.2">
      <c r="B456" s="281" t="s">
        <v>172</v>
      </c>
      <c r="F456" s="1000">
        <v>2018</v>
      </c>
      <c r="Q456" s="167"/>
    </row>
    <row r="457" spans="2:17" x14ac:dyDescent="0.2">
      <c r="Q457" s="167"/>
    </row>
    <row r="458" spans="2:17" ht="102" customHeight="1" x14ac:dyDescent="0.2">
      <c r="B458" s="1257" t="s">
        <v>173</v>
      </c>
      <c r="C458" s="1258"/>
      <c r="D458" s="1258"/>
      <c r="E458" s="1259"/>
      <c r="F458" s="282"/>
      <c r="G458" s="166" t="str">
        <f>"Nog af te bouwen regulatoir saldo einde "&amp;F456-1</f>
        <v>Nog af te bouwen regulatoir saldo einde 2017</v>
      </c>
      <c r="H458" s="166" t="str">
        <f>"Afbouw oudste openstaande regulatoir saldo vanaf boekjaar "&amp;F456-3&amp;" en vroeger, door aanwending van compensatie met regulatoir saldo ontstaan over boekjaar "&amp;F456-2</f>
        <v>Afbouw oudste openstaande regulatoir saldo vanaf boekjaar 2015 en vroeger, door aanwending van compensatie met regulatoir saldo ontstaan over boekjaar 2016</v>
      </c>
      <c r="I458" s="166" t="str">
        <f>"Nog af te bouwen regulatoir saldo na compensatie einde "&amp;F456-1</f>
        <v>Nog af te bouwen regulatoir saldo na compensatie einde 2017</v>
      </c>
      <c r="J458" s="166" t="str">
        <f>"60% van het geaccumuleerd regulatoir saldo door te rekenen volgens de tariefmethodologie in het boekjaar "&amp;F456</f>
        <v>60% van het geaccumuleerd regulatoir saldo door te rekenen volgens de tariefmethodologie in het boekjaar 2018</v>
      </c>
      <c r="K458" s="166" t="str">
        <f>"Aanwending van 60% van het geaccumuleerd regulatoir saldo door te rekenen volgens de tariefmethodologie in het boekjaar "&amp;F456</f>
        <v>Aanwending van 60% van het geaccumuleerd regulatoir saldo door te rekenen volgens de tariefmethodologie in het boekjaar 2018</v>
      </c>
      <c r="L458" s="166" t="str">
        <f>"Totale afbouw over "&amp;F456</f>
        <v>Totale afbouw over 2018</v>
      </c>
      <c r="M458" s="166" t="str">
        <f>"Nog af te bouwen regulatoir saldo einde "&amp;F456</f>
        <v>Nog af te bouwen regulatoir saldo einde 2018</v>
      </c>
      <c r="N458" s="212"/>
      <c r="Q458" s="167"/>
    </row>
    <row r="459" spans="2:17" x14ac:dyDescent="0.2">
      <c r="B459" s="1260">
        <v>2015</v>
      </c>
      <c r="C459" s="1261"/>
      <c r="D459" s="1261"/>
      <c r="E459" s="1262"/>
      <c r="F459" s="283"/>
      <c r="G459" s="177">
        <f>K454</f>
        <v>0</v>
      </c>
      <c r="H459" s="566">
        <f>IF(SIGN(G460*K454)&lt;0,IF(G459&lt;&gt;0,-SIGN(G459)*MIN(ABS(G460),ABS(G459)),0),0)</f>
        <v>0</v>
      </c>
      <c r="I459" s="177">
        <f>+G459+H459</f>
        <v>0</v>
      </c>
      <c r="J459" s="995"/>
      <c r="K459" s="566">
        <f>-MIN(ABS(I459),ABS(J461))*SIGN(I459)</f>
        <v>0</v>
      </c>
      <c r="L459" s="1003">
        <f>+K459+H459</f>
        <v>0</v>
      </c>
      <c r="M459" s="177">
        <f>+I459+K459</f>
        <v>0</v>
      </c>
      <c r="N459" s="212"/>
      <c r="Q459" s="167"/>
    </row>
    <row r="460" spans="2:17" x14ac:dyDescent="0.2">
      <c r="B460" s="1260">
        <v>2016</v>
      </c>
      <c r="C460" s="1261"/>
      <c r="D460" s="1261"/>
      <c r="E460" s="1262"/>
      <c r="F460" s="283"/>
      <c r="G460" s="177">
        <f>H163</f>
        <v>0</v>
      </c>
      <c r="H460" s="1003">
        <f>IF(SIGN(G460*K454)&lt;0,-H459,0)</f>
        <v>0</v>
      </c>
      <c r="I460" s="177">
        <f>+G460+H460</f>
        <v>0</v>
      </c>
      <c r="J460" s="995"/>
      <c r="K460" s="566">
        <f>-MIN(ABS(I460),ABS(J461-K459))*SIGN(I460)</f>
        <v>0</v>
      </c>
      <c r="L460" s="1003">
        <f>+K460+H460</f>
        <v>0</v>
      </c>
      <c r="M460" s="177">
        <f>+I460+K460</f>
        <v>0</v>
      </c>
      <c r="N460" s="212"/>
      <c r="Q460" s="167"/>
    </row>
    <row r="461" spans="2:17" s="281" customFormat="1" x14ac:dyDescent="0.2">
      <c r="G461" s="284">
        <f>SUM(G459:G460)</f>
        <v>0</v>
      </c>
      <c r="H461" s="169">
        <f>SUM(H459:H460)</f>
        <v>0</v>
      </c>
      <c r="I461" s="284">
        <f>SUM(I459:I460)</f>
        <v>0</v>
      </c>
      <c r="J461" s="284">
        <f>-I461*0.6</f>
        <v>0</v>
      </c>
      <c r="K461" s="169">
        <f>SUM(K459:K460)</f>
        <v>0</v>
      </c>
      <c r="L461" s="570"/>
      <c r="M461" s="284">
        <f>SUM(M459:M460)</f>
        <v>0</v>
      </c>
    </row>
    <row r="462" spans="2:17" x14ac:dyDescent="0.2">
      <c r="K462" s="221"/>
      <c r="L462" s="221"/>
      <c r="Q462" s="167"/>
    </row>
    <row r="463" spans="2:17" x14ac:dyDescent="0.2">
      <c r="B463" s="281" t="s">
        <v>172</v>
      </c>
      <c r="F463" s="1000">
        <v>2019</v>
      </c>
      <c r="Q463" s="167"/>
    </row>
    <row r="464" spans="2:17" x14ac:dyDescent="0.2">
      <c r="Q464" s="167"/>
    </row>
    <row r="465" spans="2:17" ht="102" customHeight="1" x14ac:dyDescent="0.2">
      <c r="B465" s="1257" t="s">
        <v>173</v>
      </c>
      <c r="C465" s="1258"/>
      <c r="D465" s="1258"/>
      <c r="E465" s="1259"/>
      <c r="F465" s="282"/>
      <c r="G465" s="166" t="str">
        <f>"Nog af te bouwen regulatoir saldo einde "&amp;F463-1</f>
        <v>Nog af te bouwen regulatoir saldo einde 2018</v>
      </c>
      <c r="H465" s="166" t="str">
        <f>"Afbouw oudste openstaande regulatoir saldo vanaf boekjaar "&amp;F463-3&amp;" en vroeger, door aanwending van compensatie met regulatoir saldo ontstaan over boekjaar "&amp;F463-2</f>
        <v>Afbouw oudste openstaande regulatoir saldo vanaf boekjaar 2016 en vroeger, door aanwending van compensatie met regulatoir saldo ontstaan over boekjaar 2017</v>
      </c>
      <c r="I465" s="166" t="str">
        <f>"Nog af te bouwen regulatoir saldo na compensatie einde "&amp;F463-1</f>
        <v>Nog af te bouwen regulatoir saldo na compensatie einde 2018</v>
      </c>
      <c r="J465" s="166" t="str">
        <f>"60% van het geaccumuleerd regulatoir saldo door te rekenen volgens de tariefmethodologie in het boekjaar "&amp;F463</f>
        <v>60% van het geaccumuleerd regulatoir saldo door te rekenen volgens de tariefmethodologie in het boekjaar 2019</v>
      </c>
      <c r="K465" s="166" t="str">
        <f>"Aanwending van het 60% van het geaccumuleerd regulatoir saldo door te rekenen volgens de tariefmethodologie in het boekjaar "&amp;F463</f>
        <v>Aanwending van het 60% van het geaccumuleerd regulatoir saldo door te rekenen volgens de tariefmethodologie in het boekjaar 2019</v>
      </c>
      <c r="L465" s="166" t="str">
        <f>"Totale afbouw over "&amp;F463</f>
        <v>Totale afbouw over 2019</v>
      </c>
      <c r="M465" s="166" t="str">
        <f>"Nog af te bouwen regulatoir saldo einde "&amp;F463</f>
        <v>Nog af te bouwen regulatoir saldo einde 2019</v>
      </c>
      <c r="N465" s="212"/>
      <c r="Q465" s="167"/>
    </row>
    <row r="466" spans="2:17" x14ac:dyDescent="0.2">
      <c r="B466" s="1260">
        <v>2015</v>
      </c>
      <c r="C466" s="1261"/>
      <c r="D466" s="1261"/>
      <c r="E466" s="1262"/>
      <c r="F466" s="283"/>
      <c r="G466" s="177">
        <f>+M459</f>
        <v>0</v>
      </c>
      <c r="H466" s="1003">
        <f>IF(SIGN(G468*M461)&lt;0,IF(G466&lt;&gt;0,-SIGN(G466)*MIN(ABS(G468),ABS(G466)),0),0)</f>
        <v>0</v>
      </c>
      <c r="I466" s="177">
        <f>+G466+H466</f>
        <v>0</v>
      </c>
      <c r="J466" s="995"/>
      <c r="K466" s="566">
        <f>-MIN(ABS(I466),ABS(J469))*SIGN(I466)</f>
        <v>0</v>
      </c>
      <c r="L466" s="1003">
        <f>+K466+H466</f>
        <v>0</v>
      </c>
      <c r="M466" s="177">
        <f>+I466+K466</f>
        <v>0</v>
      </c>
      <c r="N466" s="212"/>
      <c r="Q466" s="167"/>
    </row>
    <row r="467" spans="2:17" x14ac:dyDescent="0.2">
      <c r="B467" s="1260">
        <v>2016</v>
      </c>
      <c r="C467" s="1261"/>
      <c r="D467" s="1261">
        <v>2016</v>
      </c>
      <c r="E467" s="1262"/>
      <c r="F467" s="283"/>
      <c r="G467" s="177">
        <f>+M460</f>
        <v>0</v>
      </c>
      <c r="H467" s="1003">
        <f>IF(SIGN(G468*M461)&lt;0,IF(G467&lt;&gt;0,-SIGN(G467)*MIN(ABS(G468-H466),ABS(G467)),0),0)</f>
        <v>0</v>
      </c>
      <c r="I467" s="177">
        <f>+G467+H467</f>
        <v>0</v>
      </c>
      <c r="J467" s="995"/>
      <c r="K467" s="566">
        <f>-MIN(ABS(I467),ABS(J469-K466))*SIGN(I467)</f>
        <v>0</v>
      </c>
      <c r="L467" s="1003">
        <f>+K467+H467</f>
        <v>0</v>
      </c>
      <c r="M467" s="177">
        <f>+I467+K467</f>
        <v>0</v>
      </c>
      <c r="N467" s="212"/>
      <c r="Q467" s="167"/>
    </row>
    <row r="468" spans="2:17" x14ac:dyDescent="0.2">
      <c r="B468" s="1260">
        <v>2017</v>
      </c>
      <c r="C468" s="1261"/>
      <c r="D468" s="1261"/>
      <c r="E468" s="1262"/>
      <c r="F468" s="283"/>
      <c r="G468" s="177">
        <f>I164</f>
        <v>0</v>
      </c>
      <c r="H468" s="1003">
        <f>IF(SIGN(G468*M461)&lt;0,-SUM(H466:H467),0)</f>
        <v>0</v>
      </c>
      <c r="I468" s="177">
        <f>+G468+H468</f>
        <v>0</v>
      </c>
      <c r="J468" s="995"/>
      <c r="K468" s="566">
        <f>-MIN(ABS(I468),ABS(J469-K466-K467))*SIGN(I468)</f>
        <v>0</v>
      </c>
      <c r="L468" s="1003">
        <f>+K468+H468</f>
        <v>0</v>
      </c>
      <c r="M468" s="177">
        <f>+I468+K468</f>
        <v>0</v>
      </c>
      <c r="N468" s="212"/>
      <c r="Q468" s="167"/>
    </row>
    <row r="469" spans="2:17" s="281" customFormat="1" x14ac:dyDescent="0.2">
      <c r="G469" s="284">
        <f>SUM(G466:G468)</f>
        <v>0</v>
      </c>
      <c r="H469" s="169">
        <f>SUM(H466:H468)</f>
        <v>0</v>
      </c>
      <c r="I469" s="284">
        <f>SUM(I466:I468)</f>
        <v>0</v>
      </c>
      <c r="J469" s="284">
        <f>-I469*0.6</f>
        <v>0</v>
      </c>
      <c r="K469" s="169">
        <f>SUM(K466:K468)</f>
        <v>0</v>
      </c>
      <c r="L469" s="570"/>
      <c r="M469" s="284">
        <f>SUM(M466:M468)</f>
        <v>0</v>
      </c>
    </row>
    <row r="470" spans="2:17" x14ac:dyDescent="0.2">
      <c r="H470" s="221"/>
      <c r="Q470" s="167"/>
    </row>
    <row r="471" spans="2:17" x14ac:dyDescent="0.2">
      <c r="B471" s="281" t="s">
        <v>172</v>
      </c>
      <c r="F471" s="1000">
        <v>2020</v>
      </c>
      <c r="Q471" s="167"/>
    </row>
    <row r="472" spans="2:17" x14ac:dyDescent="0.2">
      <c r="Q472" s="167"/>
    </row>
    <row r="473" spans="2:17" ht="102" customHeight="1" x14ac:dyDescent="0.2">
      <c r="B473" s="1257" t="s">
        <v>173</v>
      </c>
      <c r="C473" s="1258"/>
      <c r="D473" s="1258"/>
      <c r="E473" s="1259"/>
      <c r="F473" s="282"/>
      <c r="G473" s="166" t="str">
        <f>"Nog af te bouwen regulatoir saldo einde "&amp;F471-1</f>
        <v>Nog af te bouwen regulatoir saldo einde 2019</v>
      </c>
      <c r="H473" s="166" t="str">
        <f>"Afbouw oudste openstaande regulatoir saldo vanaf boekjaar "&amp;F471-3&amp;" en vroeger, door aanwending van compensatie met regulatoir saldo ontstaan over boekjaar "&amp;F471-2</f>
        <v>Afbouw oudste openstaande regulatoir saldo vanaf boekjaar 2017 en vroeger, door aanwending van compensatie met regulatoir saldo ontstaan over boekjaar 2018</v>
      </c>
      <c r="I473" s="166" t="str">
        <f>"Nog af te bouwen regulatoir saldo na compensatie einde "&amp;F471-1</f>
        <v>Nog af te bouwen regulatoir saldo na compensatie einde 2019</v>
      </c>
      <c r="J473" s="166" t="str">
        <f>"60% van het geaccumuleerd regulatoir saldo door te rekenen volgens de tariefmethodologie in het boekjaar "&amp;F471</f>
        <v>60% van het geaccumuleerd regulatoir saldo door te rekenen volgens de tariefmethodologie in het boekjaar 2020</v>
      </c>
      <c r="K473" s="166" t="str">
        <f>"Aanwending van het 60% van het geaccumuleerd regulatoir saldo door te rekenen volgens de tariefmethodologie in het boekjaar "&amp;F471</f>
        <v>Aanwending van het 60% van het geaccumuleerd regulatoir saldo door te rekenen volgens de tariefmethodologie in het boekjaar 2020</v>
      </c>
      <c r="L473" s="166" t="str">
        <f>"Totale afbouw over "&amp;F471</f>
        <v>Totale afbouw over 2020</v>
      </c>
      <c r="M473" s="166" t="str">
        <f>"Nog af te bouwen regulatoir saldo einde "&amp;F471</f>
        <v>Nog af te bouwen regulatoir saldo einde 2020</v>
      </c>
      <c r="N473" s="212"/>
      <c r="Q473" s="167"/>
    </row>
    <row r="474" spans="2:17" x14ac:dyDescent="0.2">
      <c r="B474" s="1260">
        <v>2015</v>
      </c>
      <c r="C474" s="1261"/>
      <c r="D474" s="1261"/>
      <c r="E474" s="1262"/>
      <c r="F474" s="283"/>
      <c r="G474" s="177">
        <f>+M466</f>
        <v>0</v>
      </c>
      <c r="H474" s="1003">
        <f>IF(SIGN(G477*M469)&lt;0,IF(G474&lt;&gt;0,-SIGN(G474)*MIN(ABS(G477),ABS(G474)),0),0)</f>
        <v>0</v>
      </c>
      <c r="I474" s="177">
        <f>+G474+H474</f>
        <v>0</v>
      </c>
      <c r="J474" s="995"/>
      <c r="K474" s="566">
        <f>-MIN(ABS(I474),ABS(J478))*SIGN(I474)</f>
        <v>0</v>
      </c>
      <c r="L474" s="1003">
        <f>+K474+H474</f>
        <v>0</v>
      </c>
      <c r="M474" s="177">
        <f>+I474+K474</f>
        <v>0</v>
      </c>
      <c r="N474" s="212"/>
      <c r="Q474" s="167"/>
    </row>
    <row r="475" spans="2:17" x14ac:dyDescent="0.2">
      <c r="B475" s="1260">
        <v>2016</v>
      </c>
      <c r="C475" s="1261"/>
      <c r="D475" s="1261"/>
      <c r="E475" s="1262"/>
      <c r="F475" s="283"/>
      <c r="G475" s="177">
        <f>+M467</f>
        <v>0</v>
      </c>
      <c r="H475" s="1003">
        <f>IF(SIGN(G477*M469)&lt;0,IF(G475&lt;&gt;0,-SIGN(G475)*MIN(ABS(G477-H474),ABS(G475)),0),0)</f>
        <v>0</v>
      </c>
      <c r="I475" s="177">
        <f>+G475+H475</f>
        <v>0</v>
      </c>
      <c r="J475" s="995"/>
      <c r="K475" s="566">
        <f>-MIN(ABS(I475),ABS(J478-K474))*SIGN(I475)</f>
        <v>0</v>
      </c>
      <c r="L475" s="1003">
        <f>+K475+H475</f>
        <v>0</v>
      </c>
      <c r="M475" s="177">
        <f>+I475+K475</f>
        <v>0</v>
      </c>
      <c r="N475" s="212"/>
      <c r="Q475" s="167"/>
    </row>
    <row r="476" spans="2:17" x14ac:dyDescent="0.2">
      <c r="B476" s="1260">
        <v>2017</v>
      </c>
      <c r="C476" s="1261"/>
      <c r="D476" s="1261">
        <v>2016</v>
      </c>
      <c r="E476" s="1262"/>
      <c r="F476" s="283"/>
      <c r="G476" s="177">
        <f>+M468</f>
        <v>0</v>
      </c>
      <c r="H476" s="1003">
        <f>IF(SIGN(G477*M469)&lt;0,IF(G476&lt;&gt;0,-SIGN(G476)*MIN(ABS(G477-H474-H475),ABS(G476)),0),0)</f>
        <v>0</v>
      </c>
      <c r="I476" s="177">
        <f>+G476+H476</f>
        <v>0</v>
      </c>
      <c r="J476" s="995"/>
      <c r="K476" s="566">
        <f>-MIN(ABS(I476),ABS(J478-K474-K475))*SIGN(I476)</f>
        <v>0</v>
      </c>
      <c r="L476" s="1003">
        <f>+K476+H476</f>
        <v>0</v>
      </c>
      <c r="M476" s="177">
        <f>+I476+K476</f>
        <v>0</v>
      </c>
      <c r="N476" s="212"/>
      <c r="Q476" s="167"/>
    </row>
    <row r="477" spans="2:17" x14ac:dyDescent="0.2">
      <c r="B477" s="1260">
        <v>2018</v>
      </c>
      <c r="C477" s="1261"/>
      <c r="D477" s="1261"/>
      <c r="E477" s="1262"/>
      <c r="F477" s="283"/>
      <c r="G477" s="177">
        <f>J165</f>
        <v>0</v>
      </c>
      <c r="H477" s="1003">
        <f>IF(SIGN(G477*M469)&lt;0,-SUM(H474:H476),0)</f>
        <v>0</v>
      </c>
      <c r="I477" s="177">
        <f>+G477+H477</f>
        <v>0</v>
      </c>
      <c r="J477" s="995"/>
      <c r="K477" s="566">
        <f>-MIN(ABS(I477),ABS(J478-K474-K475-K476))*SIGN(I477)</f>
        <v>0</v>
      </c>
      <c r="L477" s="1003">
        <f>+K477+H477</f>
        <v>0</v>
      </c>
      <c r="M477" s="177">
        <f>+I477+K477</f>
        <v>0</v>
      </c>
      <c r="N477" s="212"/>
      <c r="Q477" s="167"/>
    </row>
    <row r="478" spans="2:17" s="281" customFormat="1" x14ac:dyDescent="0.2">
      <c r="G478" s="284">
        <f>SUM(G474:G477)</f>
        <v>0</v>
      </c>
      <c r="H478" s="169">
        <f>SUM(H474:H477)</f>
        <v>0</v>
      </c>
      <c r="I478" s="284">
        <f>SUM(I474:I477)</f>
        <v>0</v>
      </c>
      <c r="J478" s="284">
        <f>-I478*0.6</f>
        <v>0</v>
      </c>
      <c r="K478" s="169">
        <f>SUM(K474:K477)</f>
        <v>0</v>
      </c>
      <c r="L478" s="169"/>
      <c r="M478" s="284">
        <f>SUM(M474:M477)</f>
        <v>0</v>
      </c>
    </row>
    <row r="479" spans="2:17" x14ac:dyDescent="0.2">
      <c r="Q479" s="167"/>
    </row>
    <row r="480" spans="2:17" x14ac:dyDescent="0.2">
      <c r="B480" s="281" t="s">
        <v>172</v>
      </c>
      <c r="F480" s="1000">
        <v>2021</v>
      </c>
      <c r="Q480" s="167"/>
    </row>
    <row r="481" spans="2:17" x14ac:dyDescent="0.2">
      <c r="Q481" s="167"/>
    </row>
    <row r="482" spans="2:17" ht="102" customHeight="1" x14ac:dyDescent="0.2">
      <c r="B482" s="1257" t="s">
        <v>173</v>
      </c>
      <c r="C482" s="1258"/>
      <c r="D482" s="1258"/>
      <c r="E482" s="1259"/>
      <c r="F482" s="282"/>
      <c r="G482" s="166" t="str">
        <f>"Nog af te bouwen regulatoir saldo einde "&amp;F480-1</f>
        <v>Nog af te bouwen regulatoir saldo einde 2020</v>
      </c>
      <c r="H482" s="166" t="str">
        <f>"50% van oorspronkelijk regulatoir saldo door te rekenen volgens de tariefmethodologie in het boekjaar "&amp;F480</f>
        <v>50% van oorspronkelijk regulatoir saldo door te rekenen volgens de tariefmethodologie in het boekjaar 2021</v>
      </c>
      <c r="I482" s="166" t="str">
        <f>"Nog af te bouwen regulatoir saldo einde "&amp;F480</f>
        <v>Nog af te bouwen regulatoir saldo einde 2021</v>
      </c>
      <c r="J482" s="212"/>
      <c r="Q482" s="167"/>
    </row>
    <row r="483" spans="2:17" x14ac:dyDescent="0.2">
      <c r="B483" s="1260">
        <v>2015</v>
      </c>
      <c r="C483" s="1261"/>
      <c r="D483" s="1261"/>
      <c r="E483" s="1262"/>
      <c r="F483" s="283"/>
      <c r="G483" s="177">
        <f>M474</f>
        <v>0</v>
      </c>
      <c r="H483" s="177">
        <f>-G483*0.5</f>
        <v>0</v>
      </c>
      <c r="I483" s="177">
        <f>+G483+H483</f>
        <v>0</v>
      </c>
      <c r="J483" s="212"/>
      <c r="Q483" s="167"/>
    </row>
    <row r="484" spans="2:17" x14ac:dyDescent="0.2">
      <c r="B484" s="1260">
        <v>2016</v>
      </c>
      <c r="C484" s="1261"/>
      <c r="D484" s="1261"/>
      <c r="E484" s="1262"/>
      <c r="F484" s="283"/>
      <c r="G484" s="177">
        <f t="shared" ref="G484:G486" si="79">M475</f>
        <v>0</v>
      </c>
      <c r="H484" s="177">
        <f t="shared" ref="H484:H487" si="80">-G484*0.5</f>
        <v>0</v>
      </c>
      <c r="I484" s="177">
        <f t="shared" ref="I484:I487" si="81">+G484+H484</f>
        <v>0</v>
      </c>
      <c r="J484" s="212"/>
      <c r="Q484" s="167"/>
    </row>
    <row r="485" spans="2:17" x14ac:dyDescent="0.2">
      <c r="B485" s="1260">
        <v>2017</v>
      </c>
      <c r="C485" s="1261"/>
      <c r="D485" s="1261">
        <v>2016</v>
      </c>
      <c r="E485" s="1262"/>
      <c r="F485" s="283"/>
      <c r="G485" s="177">
        <f t="shared" si="79"/>
        <v>0</v>
      </c>
      <c r="H485" s="177">
        <f t="shared" si="80"/>
        <v>0</v>
      </c>
      <c r="I485" s="177">
        <f t="shared" si="81"/>
        <v>0</v>
      </c>
      <c r="J485" s="212"/>
      <c r="Q485" s="167"/>
    </row>
    <row r="486" spans="2:17" x14ac:dyDescent="0.2">
      <c r="B486" s="1260">
        <v>2018</v>
      </c>
      <c r="C486" s="1261"/>
      <c r="D486" s="1261"/>
      <c r="E486" s="1262"/>
      <c r="F486" s="283"/>
      <c r="G486" s="177">
        <f t="shared" si="79"/>
        <v>0</v>
      </c>
      <c r="H486" s="177">
        <f t="shared" si="80"/>
        <v>0</v>
      </c>
      <c r="I486" s="177">
        <f t="shared" si="81"/>
        <v>0</v>
      </c>
      <c r="J486" s="212"/>
      <c r="Q486" s="167"/>
    </row>
    <row r="487" spans="2:17" x14ac:dyDescent="0.2">
      <c r="B487" s="1260">
        <v>2019</v>
      </c>
      <c r="C487" s="1261"/>
      <c r="D487" s="1261"/>
      <c r="E487" s="1262"/>
      <c r="F487" s="283"/>
      <c r="G487" s="177">
        <f>K166</f>
        <v>0</v>
      </c>
      <c r="H487" s="177">
        <f t="shared" si="80"/>
        <v>0</v>
      </c>
      <c r="I487" s="177">
        <f t="shared" si="81"/>
        <v>0</v>
      </c>
      <c r="J487" s="212"/>
      <c r="Q487" s="167"/>
    </row>
    <row r="488" spans="2:17" s="281" customFormat="1" x14ac:dyDescent="0.2">
      <c r="G488" s="284">
        <f>SUM(G483:G487)</f>
        <v>0</v>
      </c>
      <c r="H488" s="284">
        <f>SUM(H483:H487)</f>
        <v>0</v>
      </c>
      <c r="I488" s="284">
        <f>SUM(I483:I487)</f>
        <v>0</v>
      </c>
    </row>
    <row r="489" spans="2:17" x14ac:dyDescent="0.2">
      <c r="Q489" s="167"/>
    </row>
    <row r="490" spans="2:17" x14ac:dyDescent="0.2">
      <c r="B490" s="847" t="s">
        <v>172</v>
      </c>
      <c r="C490" s="842"/>
      <c r="D490" s="842"/>
      <c r="E490" s="842"/>
      <c r="F490" s="1004">
        <v>2022</v>
      </c>
      <c r="G490" s="842"/>
      <c r="H490" s="842"/>
      <c r="I490" s="842"/>
      <c r="Q490" s="167"/>
    </row>
    <row r="491" spans="2:17" x14ac:dyDescent="0.2">
      <c r="B491" s="842"/>
      <c r="C491" s="842"/>
      <c r="D491" s="842"/>
      <c r="E491" s="842"/>
      <c r="F491" s="842"/>
      <c r="G491" s="842"/>
      <c r="H491" s="842"/>
      <c r="I491" s="842"/>
      <c r="Q491" s="167"/>
    </row>
    <row r="492" spans="2:17" ht="102" customHeight="1" x14ac:dyDescent="0.2">
      <c r="B492" s="1254" t="s">
        <v>173</v>
      </c>
      <c r="C492" s="1255"/>
      <c r="D492" s="1255"/>
      <c r="E492" s="1256"/>
      <c r="F492" s="848"/>
      <c r="G492" s="837" t="str">
        <f>"Nog af te bouwen regulatoir saldo einde "&amp;F490-1</f>
        <v>Nog af te bouwen regulatoir saldo einde 2021</v>
      </c>
      <c r="H492" s="837" t="str">
        <f>"50% van oorspronkelijk saldo door te rekenen volgens de tariefmethodologie in het boekjaar "&amp;F490</f>
        <v>50% van oorspronkelijk saldo door te rekenen volgens de tariefmethodologie in het boekjaar 2022</v>
      </c>
      <c r="I492" s="837" t="str">
        <f>"Nog af te bouwen regulatoir saldo einde "&amp;F490</f>
        <v>Nog af te bouwen regulatoir saldo einde 2022</v>
      </c>
      <c r="J492" s="212"/>
      <c r="Q492" s="167"/>
    </row>
    <row r="493" spans="2:17" x14ac:dyDescent="0.2">
      <c r="B493" s="1251">
        <v>2015</v>
      </c>
      <c r="C493" s="1252"/>
      <c r="D493" s="1252"/>
      <c r="E493" s="1253"/>
      <c r="F493" s="341"/>
      <c r="G493" s="339">
        <f>+I483</f>
        <v>0</v>
      </c>
      <c r="H493" s="339">
        <f>-G483*0.5</f>
        <v>0</v>
      </c>
      <c r="I493" s="339">
        <f>+G493+H493</f>
        <v>0</v>
      </c>
      <c r="J493" s="212"/>
      <c r="Q493" s="167"/>
    </row>
    <row r="494" spans="2:17" x14ac:dyDescent="0.2">
      <c r="B494" s="1251">
        <v>2016</v>
      </c>
      <c r="C494" s="1252"/>
      <c r="D494" s="1252"/>
      <c r="E494" s="1253"/>
      <c r="F494" s="341"/>
      <c r="G494" s="339">
        <f t="shared" ref="G494:G497" si="82">+I484</f>
        <v>0</v>
      </c>
      <c r="H494" s="339">
        <f t="shared" ref="H494:H497" si="83">-G484*0.5</f>
        <v>0</v>
      </c>
      <c r="I494" s="339">
        <f t="shared" ref="I494:I498" si="84">+G494+H494</f>
        <v>0</v>
      </c>
      <c r="J494" s="212"/>
      <c r="Q494" s="167"/>
    </row>
    <row r="495" spans="2:17" x14ac:dyDescent="0.2">
      <c r="B495" s="1251">
        <v>2017</v>
      </c>
      <c r="C495" s="1252"/>
      <c r="D495" s="1252">
        <v>2016</v>
      </c>
      <c r="E495" s="1253"/>
      <c r="F495" s="341"/>
      <c r="G495" s="339">
        <f t="shared" si="82"/>
        <v>0</v>
      </c>
      <c r="H495" s="339">
        <f t="shared" si="83"/>
        <v>0</v>
      </c>
      <c r="I495" s="339">
        <f t="shared" si="84"/>
        <v>0</v>
      </c>
      <c r="J495" s="212"/>
      <c r="Q495" s="167"/>
    </row>
    <row r="496" spans="2:17" x14ac:dyDescent="0.2">
      <c r="B496" s="1251">
        <v>2018</v>
      </c>
      <c r="C496" s="1252"/>
      <c r="D496" s="1252"/>
      <c r="E496" s="1253"/>
      <c r="F496" s="341"/>
      <c r="G496" s="339">
        <f t="shared" si="82"/>
        <v>0</v>
      </c>
      <c r="H496" s="339">
        <f t="shared" si="83"/>
        <v>0</v>
      </c>
      <c r="I496" s="339">
        <f t="shared" si="84"/>
        <v>0</v>
      </c>
      <c r="J496" s="212"/>
      <c r="Q496" s="167"/>
    </row>
    <row r="497" spans="2:17" x14ac:dyDescent="0.2">
      <c r="B497" s="1251">
        <v>2019</v>
      </c>
      <c r="C497" s="1252"/>
      <c r="D497" s="1252"/>
      <c r="E497" s="1253"/>
      <c r="F497" s="341"/>
      <c r="G497" s="339">
        <f t="shared" si="82"/>
        <v>0</v>
      </c>
      <c r="H497" s="339">
        <f t="shared" si="83"/>
        <v>0</v>
      </c>
      <c r="I497" s="339">
        <f t="shared" si="84"/>
        <v>0</v>
      </c>
      <c r="J497" s="212"/>
      <c r="Q497" s="167"/>
    </row>
    <row r="498" spans="2:17" x14ac:dyDescent="0.2">
      <c r="B498" s="1251">
        <v>2020</v>
      </c>
      <c r="C498" s="1252"/>
      <c r="D498" s="1252"/>
      <c r="E498" s="1253"/>
      <c r="F498" s="341"/>
      <c r="G498" s="339">
        <f>L167</f>
        <v>0</v>
      </c>
      <c r="H498" s="339">
        <f t="shared" ref="H498" si="85">-G498*0.5</f>
        <v>0</v>
      </c>
      <c r="I498" s="339">
        <f t="shared" si="84"/>
        <v>0</v>
      </c>
      <c r="J498" s="212"/>
      <c r="Q498" s="167"/>
    </row>
    <row r="499" spans="2:17" s="281" customFormat="1" x14ac:dyDescent="0.2">
      <c r="B499" s="847"/>
      <c r="C499" s="847"/>
      <c r="D499" s="847"/>
      <c r="E499" s="847"/>
      <c r="F499" s="847"/>
      <c r="G499" s="849">
        <f>SUM(G493:G498)</f>
        <v>0</v>
      </c>
      <c r="H499" s="849">
        <f t="shared" ref="H499" si="86">SUM(H493:H498)</f>
        <v>0</v>
      </c>
      <c r="I499" s="849">
        <f t="shared" ref="I499" si="87">SUM(I493:I498)</f>
        <v>0</v>
      </c>
    </row>
    <row r="500" spans="2:17" x14ac:dyDescent="0.2">
      <c r="B500" s="842"/>
      <c r="C500" s="842"/>
      <c r="D500" s="842"/>
      <c r="E500" s="842"/>
      <c r="F500" s="842"/>
      <c r="G500" s="842"/>
      <c r="H500" s="842"/>
      <c r="I500" s="842"/>
      <c r="Q500" s="167"/>
    </row>
    <row r="501" spans="2:17" x14ac:dyDescent="0.2">
      <c r="B501" s="847" t="s">
        <v>172</v>
      </c>
      <c r="C501" s="842"/>
      <c r="D501" s="842"/>
      <c r="E501" s="842"/>
      <c r="F501" s="1004">
        <v>2023</v>
      </c>
      <c r="G501" s="842"/>
      <c r="H501" s="842"/>
      <c r="I501" s="842"/>
      <c r="Q501" s="167"/>
    </row>
    <row r="502" spans="2:17" x14ac:dyDescent="0.2">
      <c r="B502" s="842"/>
      <c r="C502" s="842"/>
      <c r="D502" s="842"/>
      <c r="E502" s="842"/>
      <c r="F502" s="842"/>
      <c r="G502" s="842"/>
      <c r="H502" s="842"/>
      <c r="I502" s="842"/>
      <c r="Q502" s="167"/>
    </row>
    <row r="503" spans="2:17" ht="102" customHeight="1" x14ac:dyDescent="0.2">
      <c r="B503" s="1254" t="s">
        <v>173</v>
      </c>
      <c r="C503" s="1255"/>
      <c r="D503" s="1255"/>
      <c r="E503" s="1256"/>
      <c r="F503" s="848"/>
      <c r="G503" s="837" t="str">
        <f>"Nog af te bouwen regulatoir saldo einde "&amp;F501-1</f>
        <v>Nog af te bouwen regulatoir saldo einde 2022</v>
      </c>
      <c r="H503" s="837" t="str">
        <f>"50% van oorspronkelijk saldo door te rekenen volgens de tariefmethodologie in het boekjaar "&amp;F501</f>
        <v>50% van oorspronkelijk saldo door te rekenen volgens de tariefmethodologie in het boekjaar 2023</v>
      </c>
      <c r="I503" s="837" t="str">
        <f>"Nog af te bouwen regulatoir saldo einde "&amp;F501</f>
        <v>Nog af te bouwen regulatoir saldo einde 2023</v>
      </c>
      <c r="J503" s="212"/>
      <c r="Q503" s="167"/>
    </row>
    <row r="504" spans="2:17" x14ac:dyDescent="0.2">
      <c r="B504" s="1251">
        <v>2020</v>
      </c>
      <c r="C504" s="1252"/>
      <c r="D504" s="1252"/>
      <c r="E504" s="1253"/>
      <c r="F504" s="341"/>
      <c r="G504" s="339">
        <f>+I498</f>
        <v>0</v>
      </c>
      <c r="H504" s="339">
        <f>-G498*0.5</f>
        <v>0</v>
      </c>
      <c r="I504" s="339">
        <f t="shared" ref="I504:I505" si="88">+G504+H504</f>
        <v>0</v>
      </c>
      <c r="J504" s="212"/>
      <c r="Q504" s="167"/>
    </row>
    <row r="505" spans="2:17" x14ac:dyDescent="0.2">
      <c r="B505" s="1251">
        <v>2021</v>
      </c>
      <c r="C505" s="1252"/>
      <c r="D505" s="1252"/>
      <c r="E505" s="1253"/>
      <c r="F505" s="341"/>
      <c r="G505" s="339">
        <f>M168</f>
        <v>0</v>
      </c>
      <c r="H505" s="339">
        <f t="shared" ref="H505" si="89">-G505*0.5</f>
        <v>0</v>
      </c>
      <c r="I505" s="339">
        <f t="shared" si="88"/>
        <v>0</v>
      </c>
      <c r="J505" s="212"/>
      <c r="Q505" s="167"/>
    </row>
    <row r="506" spans="2:17" s="281" customFormat="1" x14ac:dyDescent="0.2">
      <c r="B506" s="847"/>
      <c r="C506" s="847"/>
      <c r="D506" s="847"/>
      <c r="E506" s="847"/>
      <c r="F506" s="847"/>
      <c r="G506" s="849">
        <f>SUM(G504:G505)</f>
        <v>0</v>
      </c>
      <c r="H506" s="849">
        <f>SUM(H504:H505)</f>
        <v>0</v>
      </c>
      <c r="I506" s="849">
        <f>SUM(I504:I505)</f>
        <v>0</v>
      </c>
    </row>
    <row r="507" spans="2:17" x14ac:dyDescent="0.2">
      <c r="B507" s="842"/>
      <c r="C507" s="842"/>
      <c r="D507" s="842"/>
      <c r="E507" s="842"/>
      <c r="F507" s="842"/>
      <c r="G507" s="842"/>
      <c r="H507" s="842"/>
      <c r="I507" s="842"/>
      <c r="Q507" s="167"/>
    </row>
    <row r="508" spans="2:17" x14ac:dyDescent="0.2">
      <c r="B508" s="847" t="s">
        <v>172</v>
      </c>
      <c r="C508" s="842"/>
      <c r="D508" s="842"/>
      <c r="E508" s="842"/>
      <c r="F508" s="1004">
        <v>2024</v>
      </c>
      <c r="G508" s="842"/>
      <c r="H508" s="842"/>
      <c r="I508" s="842"/>
      <c r="Q508" s="167"/>
    </row>
    <row r="509" spans="2:17" x14ac:dyDescent="0.2">
      <c r="B509" s="842"/>
      <c r="C509" s="842"/>
      <c r="D509" s="842"/>
      <c r="E509" s="842"/>
      <c r="F509" s="842"/>
      <c r="G509" s="842"/>
      <c r="H509" s="842"/>
      <c r="I509" s="842"/>
      <c r="Q509" s="167"/>
    </row>
    <row r="510" spans="2:17" ht="102" customHeight="1" x14ac:dyDescent="0.2">
      <c r="B510" s="1254" t="s">
        <v>173</v>
      </c>
      <c r="C510" s="1255"/>
      <c r="D510" s="1255"/>
      <c r="E510" s="1256"/>
      <c r="F510" s="848"/>
      <c r="G510" s="837" t="str">
        <f>"Nog af te bouwen regulatoir saldo einde "&amp;F508-1</f>
        <v>Nog af te bouwen regulatoir saldo einde 2023</v>
      </c>
      <c r="H510" s="837" t="str">
        <f>"50% van oorspronkelijk saldo door te rekenen volgens de tariefmethodologie in het boekjaar "&amp;F508</f>
        <v>50% van oorspronkelijk saldo door te rekenen volgens de tariefmethodologie in het boekjaar 2024</v>
      </c>
      <c r="I510" s="837" t="str">
        <f>"Nog af te bouwen regulatoir saldo einde "&amp;F508</f>
        <v>Nog af te bouwen regulatoir saldo einde 2024</v>
      </c>
      <c r="J510" s="212"/>
      <c r="Q510" s="167"/>
    </row>
    <row r="511" spans="2:17" x14ac:dyDescent="0.2">
      <c r="B511" s="1251">
        <v>2021</v>
      </c>
      <c r="C511" s="1252"/>
      <c r="D511" s="1252"/>
      <c r="E511" s="1253"/>
      <c r="F511" s="341"/>
      <c r="G511" s="339">
        <f>+I505</f>
        <v>0</v>
      </c>
      <c r="H511" s="339">
        <f>-G505*0.5</f>
        <v>0</v>
      </c>
      <c r="I511" s="339">
        <f t="shared" ref="I511:I512" si="90">+G511+H511</f>
        <v>0</v>
      </c>
      <c r="J511" s="212"/>
      <c r="Q511" s="167"/>
    </row>
    <row r="512" spans="2:17" x14ac:dyDescent="0.2">
      <c r="B512" s="1251">
        <v>2022</v>
      </c>
      <c r="C512" s="1252"/>
      <c r="D512" s="1252"/>
      <c r="E512" s="1253"/>
      <c r="F512" s="341"/>
      <c r="G512" s="339">
        <f>N169</f>
        <v>0</v>
      </c>
      <c r="H512" s="339">
        <f t="shared" ref="H512" si="91">-G512*0.5</f>
        <v>0</v>
      </c>
      <c r="I512" s="339">
        <f t="shared" si="90"/>
        <v>0</v>
      </c>
      <c r="J512" s="212"/>
      <c r="Q512" s="167"/>
    </row>
    <row r="513" spans="2:17" s="281" customFormat="1" x14ac:dyDescent="0.2">
      <c r="B513" s="847"/>
      <c r="C513" s="847"/>
      <c r="D513" s="847"/>
      <c r="E513" s="847"/>
      <c r="F513" s="847"/>
      <c r="G513" s="849">
        <f>SUM(G511:G512)</f>
        <v>0</v>
      </c>
      <c r="H513" s="849">
        <f>SUM(H511:H512)</f>
        <v>0</v>
      </c>
      <c r="I513" s="849">
        <f>SUM(I511:I512)</f>
        <v>0</v>
      </c>
    </row>
    <row r="514" spans="2:17" x14ac:dyDescent="0.2">
      <c r="Q514" s="167"/>
    </row>
    <row r="515" spans="2:17" x14ac:dyDescent="0.2">
      <c r="B515" s="281" t="str">
        <f>B449</f>
        <v>Het tarief voor openbare dienstverplichtingen</v>
      </c>
      <c r="Q515" s="167"/>
    </row>
    <row r="516" spans="2:17" x14ac:dyDescent="0.2">
      <c r="B516" s="281" t="s">
        <v>174</v>
      </c>
      <c r="C516" s="224"/>
      <c r="D516" s="224"/>
      <c r="E516" s="224"/>
      <c r="Q516" s="167"/>
    </row>
    <row r="517" spans="2:17" x14ac:dyDescent="0.2">
      <c r="C517" s="224"/>
      <c r="D517" s="224"/>
      <c r="E517" s="224"/>
      <c r="Q517" s="167"/>
    </row>
    <row r="518" spans="2:17" x14ac:dyDescent="0.2">
      <c r="B518" s="283">
        <v>2021</v>
      </c>
      <c r="C518" s="287">
        <f>+H488</f>
        <v>0</v>
      </c>
      <c r="D518" s="224"/>
      <c r="E518" s="224"/>
      <c r="Q518" s="167"/>
    </row>
    <row r="519" spans="2:17" x14ac:dyDescent="0.2">
      <c r="B519" s="341">
        <v>2022</v>
      </c>
      <c r="C519" s="342">
        <f>+H499</f>
        <v>0</v>
      </c>
      <c r="D519" s="224"/>
      <c r="E519" s="224"/>
      <c r="Q519" s="167"/>
    </row>
    <row r="520" spans="2:17" x14ac:dyDescent="0.2">
      <c r="B520" s="341">
        <v>2023</v>
      </c>
      <c r="C520" s="342">
        <f>+H506</f>
        <v>0</v>
      </c>
      <c r="D520" s="224"/>
      <c r="E520" s="224"/>
      <c r="Q520" s="167"/>
    </row>
    <row r="521" spans="2:17" x14ac:dyDescent="0.2">
      <c r="B521" s="341">
        <v>2024</v>
      </c>
      <c r="C521" s="342">
        <f>+H513</f>
        <v>0</v>
      </c>
      <c r="D521" s="224"/>
      <c r="E521" s="224"/>
      <c r="Q521" s="167"/>
    </row>
    <row r="522" spans="2:17" x14ac:dyDescent="0.2">
      <c r="Q522" s="167"/>
    </row>
    <row r="523" spans="2:17" x14ac:dyDescent="0.2">
      <c r="Q523" s="167"/>
    </row>
    <row r="524" spans="2:17" x14ac:dyDescent="0.2">
      <c r="B524" s="326" t="s">
        <v>119</v>
      </c>
      <c r="C524" s="327"/>
      <c r="D524" s="327"/>
      <c r="E524" s="327"/>
      <c r="F524" s="328"/>
      <c r="G524" s="328"/>
      <c r="H524" s="328"/>
      <c r="I524" s="328"/>
      <c r="J524" s="328"/>
      <c r="K524" s="328"/>
      <c r="L524" s="328"/>
      <c r="M524" s="328"/>
      <c r="Q524" s="167"/>
    </row>
    <row r="525" spans="2:17" x14ac:dyDescent="0.2">
      <c r="Q525" s="167"/>
    </row>
    <row r="526" spans="2:17" x14ac:dyDescent="0.2">
      <c r="B526" s="281" t="s">
        <v>172</v>
      </c>
      <c r="F526" s="1000">
        <v>2017</v>
      </c>
      <c r="Q526" s="167"/>
    </row>
    <row r="527" spans="2:17" x14ac:dyDescent="0.2">
      <c r="L527" s="212"/>
      <c r="Q527" s="167"/>
    </row>
    <row r="528" spans="2:17" ht="102" customHeight="1" x14ac:dyDescent="0.2">
      <c r="B528" s="1257" t="s">
        <v>173</v>
      </c>
      <c r="C528" s="1258"/>
      <c r="D528" s="1258"/>
      <c r="E528" s="1259"/>
      <c r="F528" s="282"/>
      <c r="G528" s="166" t="str">
        <f>"Nog af te bouwen regulatoir saldo einde "&amp;F526-1</f>
        <v>Nog af te bouwen regulatoir saldo einde 2016</v>
      </c>
      <c r="H528" s="166" t="str">
        <f>"Afbouw oudste openstaande regulatoir saldo vanaf boekjaar "&amp;F526-3&amp;" en vroeger, door aanwending van compensatie met regulatoir saldo ontstaan over boekjaar "&amp;F526-2</f>
        <v>Afbouw oudste openstaande regulatoir saldo vanaf boekjaar 2014 en vroeger, door aanwending van compensatie met regulatoir saldo ontstaan over boekjaar 2015</v>
      </c>
      <c r="I528" s="166" t="str">
        <f>"Nog af te bouwen regulatoir saldo na compensatie einde "&amp;F526-1</f>
        <v>Nog af te bouwen regulatoir saldo na compensatie einde 2016</v>
      </c>
      <c r="J528" s="166" t="str">
        <f>"Aanwending van 60% van het geaccumuleerd regulatoir saldo door te rekenen volgens de tariefmethodologie in het boekjaar "&amp;F526</f>
        <v>Aanwending van 60% van het geaccumuleerd regulatoir saldo door te rekenen volgens de tariefmethodologie in het boekjaar 2017</v>
      </c>
      <c r="K528" s="166" t="str">
        <f>"Nog af te bouwen regulatoir saldo einde "&amp;F526</f>
        <v>Nog af te bouwen regulatoir saldo einde 2017</v>
      </c>
      <c r="L528" s="212"/>
      <c r="Q528" s="167"/>
    </row>
    <row r="529" spans="2:17" x14ac:dyDescent="0.2">
      <c r="B529" s="1260">
        <v>2015</v>
      </c>
      <c r="C529" s="1261"/>
      <c r="D529" s="1261"/>
      <c r="E529" s="1262"/>
      <c r="F529" s="283"/>
      <c r="G529" s="177">
        <f>G173</f>
        <v>0</v>
      </c>
      <c r="H529" s="566">
        <v>0</v>
      </c>
      <c r="I529" s="177">
        <f>+G529+H529</f>
        <v>0</v>
      </c>
      <c r="J529" s="177">
        <f>-I529*0.6</f>
        <v>0</v>
      </c>
      <c r="K529" s="1001">
        <f>+J529+G529</f>
        <v>0</v>
      </c>
      <c r="L529" s="212"/>
      <c r="Q529" s="167"/>
    </row>
    <row r="530" spans="2:17" x14ac:dyDescent="0.2">
      <c r="L530" s="212"/>
      <c r="Q530" s="167"/>
    </row>
    <row r="531" spans="2:17" x14ac:dyDescent="0.2">
      <c r="B531" s="281" t="s">
        <v>172</v>
      </c>
      <c r="F531" s="1000">
        <v>2018</v>
      </c>
      <c r="Q531" s="167"/>
    </row>
    <row r="532" spans="2:17" x14ac:dyDescent="0.2">
      <c r="Q532" s="167"/>
    </row>
    <row r="533" spans="2:17" ht="102" customHeight="1" x14ac:dyDescent="0.2">
      <c r="B533" s="1257" t="s">
        <v>173</v>
      </c>
      <c r="C533" s="1258"/>
      <c r="D533" s="1258"/>
      <c r="E533" s="1259"/>
      <c r="F533" s="282"/>
      <c r="G533" s="166" t="str">
        <f>"Nog af te bouwen regulatoir saldo einde "&amp;F531-1</f>
        <v>Nog af te bouwen regulatoir saldo einde 2017</v>
      </c>
      <c r="H533" s="166" t="str">
        <f>"Afbouw oudste openstaande regulatoir saldo vanaf boekjaar "&amp;F531-3&amp;" en vroeger, door aanwending van compensatie met regulatoir saldo ontstaan over boekjaar "&amp;F531-2</f>
        <v>Afbouw oudste openstaande regulatoir saldo vanaf boekjaar 2015 en vroeger, door aanwending van compensatie met regulatoir saldo ontstaan over boekjaar 2016</v>
      </c>
      <c r="I533" s="166" t="str">
        <f>"Nog af te bouwen regulatoir saldo na compensatie einde "&amp;F531-1</f>
        <v>Nog af te bouwen regulatoir saldo na compensatie einde 2017</v>
      </c>
      <c r="J533" s="166" t="str">
        <f>"60% van het geaccumuleerd regulatoir saldo door te rekenen volgens de tariefmethodologie in het boekjaar "&amp;F531</f>
        <v>60% van het geaccumuleerd regulatoir saldo door te rekenen volgens de tariefmethodologie in het boekjaar 2018</v>
      </c>
      <c r="K533" s="166" t="str">
        <f>"Aanwending van 60% van het geaccumuleerd regulatoir saldo door te rekenen volgens de tariefmethodologie in het boekjaar "&amp;F531</f>
        <v>Aanwending van 60% van het geaccumuleerd regulatoir saldo door te rekenen volgens de tariefmethodologie in het boekjaar 2018</v>
      </c>
      <c r="L533" s="166" t="str">
        <f>"Totale afbouw over "&amp;F531</f>
        <v>Totale afbouw over 2018</v>
      </c>
      <c r="M533" s="166" t="str">
        <f>"Nog af te bouwen regulatoir saldo einde "&amp;F531</f>
        <v>Nog af te bouwen regulatoir saldo einde 2018</v>
      </c>
      <c r="N533" s="212"/>
      <c r="Q533" s="167"/>
    </row>
    <row r="534" spans="2:17" x14ac:dyDescent="0.2">
      <c r="B534" s="1260">
        <v>2015</v>
      </c>
      <c r="C534" s="1261"/>
      <c r="D534" s="1261"/>
      <c r="E534" s="1262"/>
      <c r="F534" s="283"/>
      <c r="G534" s="177">
        <f>K529</f>
        <v>0</v>
      </c>
      <c r="H534" s="566">
        <f>IF(SIGN(G535*K529)&lt;0,IF(G534&lt;&gt;0,-SIGN(G534)*MIN(ABS(G535),ABS(G534)),0),0)</f>
        <v>0</v>
      </c>
      <c r="I534" s="177">
        <f>+G534+H534</f>
        <v>0</v>
      </c>
      <c r="J534" s="995"/>
      <c r="K534" s="566">
        <f>-MIN(ABS(I534),ABS(J536))*SIGN(I534)</f>
        <v>0</v>
      </c>
      <c r="L534" s="1003">
        <f>+K534+H534</f>
        <v>0</v>
      </c>
      <c r="M534" s="177">
        <f>+I534+K534</f>
        <v>0</v>
      </c>
      <c r="N534" s="212"/>
      <c r="Q534" s="167"/>
    </row>
    <row r="535" spans="2:17" x14ac:dyDescent="0.2">
      <c r="B535" s="1260">
        <v>2016</v>
      </c>
      <c r="C535" s="1261"/>
      <c r="D535" s="1261"/>
      <c r="E535" s="1262"/>
      <c r="F535" s="283"/>
      <c r="G535" s="177">
        <f>H174</f>
        <v>0</v>
      </c>
      <c r="H535" s="1003">
        <f>IF(SIGN(G535*K529)&lt;0,-H534,0)</f>
        <v>0</v>
      </c>
      <c r="I535" s="177">
        <f>+G535+H535</f>
        <v>0</v>
      </c>
      <c r="J535" s="995"/>
      <c r="K535" s="566">
        <f>-MIN(ABS(I535),ABS(J536-K534))*SIGN(I535)</f>
        <v>0</v>
      </c>
      <c r="L535" s="1003">
        <f>+K535+H535</f>
        <v>0</v>
      </c>
      <c r="M535" s="177">
        <f>+I535+K535</f>
        <v>0</v>
      </c>
      <c r="N535" s="212"/>
      <c r="Q535" s="167"/>
    </row>
    <row r="536" spans="2:17" s="281" customFormat="1" x14ac:dyDescent="0.2">
      <c r="G536" s="284">
        <f>SUM(G534:G535)</f>
        <v>0</v>
      </c>
      <c r="H536" s="169">
        <f>SUM(H534:H535)</f>
        <v>0</v>
      </c>
      <c r="I536" s="284">
        <f>SUM(I534:I535)</f>
        <v>0</v>
      </c>
      <c r="J536" s="284">
        <f>-I536*0.6</f>
        <v>0</v>
      </c>
      <c r="K536" s="169">
        <f>SUM(K534:K535)</f>
        <v>0</v>
      </c>
      <c r="L536" s="570"/>
      <c r="M536" s="284">
        <f>SUM(M534:M535)</f>
        <v>0</v>
      </c>
    </row>
    <row r="537" spans="2:17" x14ac:dyDescent="0.2">
      <c r="K537" s="221"/>
      <c r="L537" s="221"/>
      <c r="Q537" s="167"/>
    </row>
    <row r="538" spans="2:17" x14ac:dyDescent="0.2">
      <c r="B538" s="281" t="s">
        <v>172</v>
      </c>
      <c r="F538" s="1000">
        <v>2019</v>
      </c>
      <c r="Q538" s="167"/>
    </row>
    <row r="539" spans="2:17" x14ac:dyDescent="0.2">
      <c r="Q539" s="167"/>
    </row>
    <row r="540" spans="2:17" ht="102" customHeight="1" x14ac:dyDescent="0.2">
      <c r="B540" s="1257" t="s">
        <v>173</v>
      </c>
      <c r="C540" s="1258"/>
      <c r="D540" s="1258"/>
      <c r="E540" s="1259"/>
      <c r="F540" s="282"/>
      <c r="G540" s="166" t="str">
        <f>"Nog af te bouwen regulatoir saldo einde "&amp;F538-1</f>
        <v>Nog af te bouwen regulatoir saldo einde 2018</v>
      </c>
      <c r="H540" s="166" t="str">
        <f>"Afbouw oudste openstaande regulatoir saldo vanaf boekjaar "&amp;F538-3&amp;" en vroeger, door aanwending van compensatie met regulatoir saldo ontstaan over boekjaar "&amp;F538-2</f>
        <v>Afbouw oudste openstaande regulatoir saldo vanaf boekjaar 2016 en vroeger, door aanwending van compensatie met regulatoir saldo ontstaan over boekjaar 2017</v>
      </c>
      <c r="I540" s="166" t="str">
        <f>"Nog af te bouwen regulatoir saldo na compensatie einde "&amp;F538-1</f>
        <v>Nog af te bouwen regulatoir saldo na compensatie einde 2018</v>
      </c>
      <c r="J540" s="166" t="str">
        <f>"60% van het geaccumuleerd regulatoir saldo door te rekenen volgens de tariefmethodologie in het boekjaar "&amp;F538</f>
        <v>60% van het geaccumuleerd regulatoir saldo door te rekenen volgens de tariefmethodologie in het boekjaar 2019</v>
      </c>
      <c r="K540" s="166" t="str">
        <f>"Aanwending van het 60% van het geaccumuleerd regulatoir saldo door te rekenen volgens de tariefmethodologie in het boekjaar "&amp;F538</f>
        <v>Aanwending van het 60% van het geaccumuleerd regulatoir saldo door te rekenen volgens de tariefmethodologie in het boekjaar 2019</v>
      </c>
      <c r="L540" s="166" t="str">
        <f>"Totale afbouw over "&amp;F538</f>
        <v>Totale afbouw over 2019</v>
      </c>
      <c r="M540" s="166" t="str">
        <f>"Nog af te bouwen regulatoir saldo einde "&amp;F538</f>
        <v>Nog af te bouwen regulatoir saldo einde 2019</v>
      </c>
      <c r="N540" s="212"/>
      <c r="Q540" s="167"/>
    </row>
    <row r="541" spans="2:17" x14ac:dyDescent="0.2">
      <c r="B541" s="1260">
        <v>2015</v>
      </c>
      <c r="C541" s="1261"/>
      <c r="D541" s="1261"/>
      <c r="E541" s="1262"/>
      <c r="F541" s="283"/>
      <c r="G541" s="177">
        <f>+M534</f>
        <v>0</v>
      </c>
      <c r="H541" s="1003">
        <f>IF(SIGN(G543*M536)&lt;0,IF(G541&lt;&gt;0,-SIGN(G541)*MIN(ABS(G543),ABS(G541)),0),0)</f>
        <v>0</v>
      </c>
      <c r="I541" s="177">
        <f>+G541+H541</f>
        <v>0</v>
      </c>
      <c r="J541" s="995"/>
      <c r="K541" s="566">
        <f>-MIN(ABS(I541),ABS(J544))*SIGN(I541)</f>
        <v>0</v>
      </c>
      <c r="L541" s="1003">
        <f>+K541+H541</f>
        <v>0</v>
      </c>
      <c r="M541" s="177">
        <f>+I541+K541</f>
        <v>0</v>
      </c>
      <c r="N541" s="212"/>
      <c r="Q541" s="167"/>
    </row>
    <row r="542" spans="2:17" x14ac:dyDescent="0.2">
      <c r="B542" s="1260">
        <v>2016</v>
      </c>
      <c r="C542" s="1261"/>
      <c r="D542" s="1261">
        <v>2016</v>
      </c>
      <c r="E542" s="1262"/>
      <c r="F542" s="283"/>
      <c r="G542" s="177">
        <f>+M535</f>
        <v>0</v>
      </c>
      <c r="H542" s="1003">
        <f>IF(SIGN(G543*M536)&lt;0,IF(G542&lt;&gt;0,-SIGN(G542)*MIN(ABS(G543-H541),ABS(G542)),0),0)</f>
        <v>0</v>
      </c>
      <c r="I542" s="177">
        <f>+G542+H542</f>
        <v>0</v>
      </c>
      <c r="J542" s="995"/>
      <c r="K542" s="566">
        <f>-MIN(ABS(I542),ABS(J544-K541))*SIGN(I542)</f>
        <v>0</v>
      </c>
      <c r="L542" s="1003">
        <f>+K542+H542</f>
        <v>0</v>
      </c>
      <c r="M542" s="177">
        <f>+I542+K542</f>
        <v>0</v>
      </c>
      <c r="N542" s="212"/>
      <c r="Q542" s="167"/>
    </row>
    <row r="543" spans="2:17" x14ac:dyDescent="0.2">
      <c r="B543" s="1260">
        <v>2017</v>
      </c>
      <c r="C543" s="1261"/>
      <c r="D543" s="1261"/>
      <c r="E543" s="1262"/>
      <c r="F543" s="283"/>
      <c r="G543" s="177">
        <f>I175</f>
        <v>0</v>
      </c>
      <c r="H543" s="1003">
        <f>IF(SIGN(G543*M536)&lt;0,-SUM(H541:H542),0)</f>
        <v>0</v>
      </c>
      <c r="I543" s="177">
        <f>+G543+H543</f>
        <v>0</v>
      </c>
      <c r="J543" s="995"/>
      <c r="K543" s="566">
        <f>-MIN(ABS(I543),ABS(J544-K541-K542))*SIGN(I543)</f>
        <v>0</v>
      </c>
      <c r="L543" s="1003">
        <f>+K543+H543</f>
        <v>0</v>
      </c>
      <c r="M543" s="177">
        <f>+I543+K543</f>
        <v>0</v>
      </c>
      <c r="N543" s="212"/>
      <c r="Q543" s="167"/>
    </row>
    <row r="544" spans="2:17" s="281" customFormat="1" x14ac:dyDescent="0.2">
      <c r="G544" s="284">
        <f>SUM(G541:G543)</f>
        <v>0</v>
      </c>
      <c r="H544" s="169">
        <f>SUM(H541:H543)</f>
        <v>0</v>
      </c>
      <c r="I544" s="284">
        <f>SUM(I541:I543)</f>
        <v>0</v>
      </c>
      <c r="J544" s="284">
        <f>-I544*0.6</f>
        <v>0</v>
      </c>
      <c r="K544" s="169">
        <f>SUM(K541:K543)</f>
        <v>0</v>
      </c>
      <c r="L544" s="570"/>
      <c r="M544" s="284">
        <f>SUM(M541:M543)</f>
        <v>0</v>
      </c>
    </row>
    <row r="545" spans="2:17" x14ac:dyDescent="0.2">
      <c r="Q545" s="167"/>
    </row>
    <row r="546" spans="2:17" x14ac:dyDescent="0.2">
      <c r="B546" s="281" t="s">
        <v>172</v>
      </c>
      <c r="F546" s="1000">
        <v>2020</v>
      </c>
      <c r="Q546" s="167"/>
    </row>
    <row r="547" spans="2:17" x14ac:dyDescent="0.2">
      <c r="Q547" s="167"/>
    </row>
    <row r="548" spans="2:17" ht="102" customHeight="1" x14ac:dyDescent="0.2">
      <c r="B548" s="1257" t="s">
        <v>173</v>
      </c>
      <c r="C548" s="1258"/>
      <c r="D548" s="1258"/>
      <c r="E548" s="1259"/>
      <c r="F548" s="282"/>
      <c r="G548" s="166" t="str">
        <f>"Nog af te bouwen regulatoir saldo einde "&amp;F546-1</f>
        <v>Nog af te bouwen regulatoir saldo einde 2019</v>
      </c>
      <c r="H548" s="166" t="str">
        <f>"Afbouw oudste openstaande regulatoir saldo vanaf boekjaar "&amp;F546-3&amp;" en vroeger, door aanwending van compensatie met regulatoir saldo ontstaan over boekjaar "&amp;F546-2</f>
        <v>Afbouw oudste openstaande regulatoir saldo vanaf boekjaar 2017 en vroeger, door aanwending van compensatie met regulatoir saldo ontstaan over boekjaar 2018</v>
      </c>
      <c r="I548" s="166" t="str">
        <f>"Nog af te bouwen regulatoir saldo na compensatie einde "&amp;F546-1</f>
        <v>Nog af te bouwen regulatoir saldo na compensatie einde 2019</v>
      </c>
      <c r="J548" s="166" t="str">
        <f>"60% van het geaccumuleerd regulatoir saldo door te rekenen volgens de tariefmethodologie in het boekjaar "&amp;F546</f>
        <v>60% van het geaccumuleerd regulatoir saldo door te rekenen volgens de tariefmethodologie in het boekjaar 2020</v>
      </c>
      <c r="K548" s="166" t="str">
        <f>"Aanwending van het 60% van het geaccumuleerd regulatoir saldo door te rekenen volgens de tariefmethodologie in het boekjaar "&amp;F546</f>
        <v>Aanwending van het 60% van het geaccumuleerd regulatoir saldo door te rekenen volgens de tariefmethodologie in het boekjaar 2020</v>
      </c>
      <c r="L548" s="166" t="str">
        <f>"Totale afbouw over "&amp;F546</f>
        <v>Totale afbouw over 2020</v>
      </c>
      <c r="M548" s="166" t="str">
        <f>"Nog af te bouwen regulatoir saldo einde "&amp;F546</f>
        <v>Nog af te bouwen regulatoir saldo einde 2020</v>
      </c>
      <c r="N548" s="212"/>
      <c r="Q548" s="167"/>
    </row>
    <row r="549" spans="2:17" x14ac:dyDescent="0.2">
      <c r="B549" s="1260">
        <v>2015</v>
      </c>
      <c r="C549" s="1261"/>
      <c r="D549" s="1261"/>
      <c r="E549" s="1262"/>
      <c r="F549" s="283"/>
      <c r="G549" s="177">
        <f>+M541</f>
        <v>0</v>
      </c>
      <c r="H549" s="1003">
        <f>IF(SIGN(G552*M544)&lt;0,IF(G549&lt;&gt;0,-SIGN(G549)*MIN(ABS(G552),ABS(G549)),0),0)</f>
        <v>0</v>
      </c>
      <c r="I549" s="177">
        <f>+G549+H549</f>
        <v>0</v>
      </c>
      <c r="J549" s="995"/>
      <c r="K549" s="566">
        <f>-MIN(ABS(I549),ABS(J553))*SIGN(I549)</f>
        <v>0</v>
      </c>
      <c r="L549" s="1003">
        <f>+K549+H549</f>
        <v>0</v>
      </c>
      <c r="M549" s="177">
        <f>+I549+K549</f>
        <v>0</v>
      </c>
      <c r="N549" s="212"/>
      <c r="Q549" s="167"/>
    </row>
    <row r="550" spans="2:17" x14ac:dyDescent="0.2">
      <c r="B550" s="1260">
        <v>2016</v>
      </c>
      <c r="C550" s="1261"/>
      <c r="D550" s="1261"/>
      <c r="E550" s="1262"/>
      <c r="F550" s="283"/>
      <c r="G550" s="177">
        <f>+M542</f>
        <v>0</v>
      </c>
      <c r="H550" s="1003">
        <f>IF(SIGN(G552*M544)&lt;0,IF(G550&lt;&gt;0,-SIGN(G550)*MIN(ABS(G552-H549),ABS(G550)),0),0)</f>
        <v>0</v>
      </c>
      <c r="I550" s="177">
        <f>+G550+H550</f>
        <v>0</v>
      </c>
      <c r="J550" s="995"/>
      <c r="K550" s="566">
        <f>-MIN(ABS(I550),ABS(J553-K549))*SIGN(I550)</f>
        <v>0</v>
      </c>
      <c r="L550" s="1003">
        <f>+K550+H550</f>
        <v>0</v>
      </c>
      <c r="M550" s="177">
        <f>+I550+K550</f>
        <v>0</v>
      </c>
      <c r="N550" s="212"/>
      <c r="Q550" s="167"/>
    </row>
    <row r="551" spans="2:17" x14ac:dyDescent="0.2">
      <c r="B551" s="1260">
        <v>2017</v>
      </c>
      <c r="C551" s="1261"/>
      <c r="D551" s="1261">
        <v>2016</v>
      </c>
      <c r="E551" s="1262"/>
      <c r="F551" s="283"/>
      <c r="G551" s="177">
        <f>+M543</f>
        <v>0</v>
      </c>
      <c r="H551" s="1003">
        <f>IF(SIGN(G552*M544)&lt;0,IF(G551&lt;&gt;0,-SIGN(G551)*MIN(ABS(G552-H549-H550),ABS(G551)),0),0)</f>
        <v>0</v>
      </c>
      <c r="I551" s="177">
        <f>+G551+H551</f>
        <v>0</v>
      </c>
      <c r="J551" s="995"/>
      <c r="K551" s="566">
        <f>-MIN(ABS(I551),ABS(J553-K549-K550))*SIGN(I551)</f>
        <v>0</v>
      </c>
      <c r="L551" s="1003">
        <f>+K551+H551</f>
        <v>0</v>
      </c>
      <c r="M551" s="177">
        <f>+I551+K551</f>
        <v>0</v>
      </c>
      <c r="N551" s="212"/>
      <c r="Q551" s="167"/>
    </row>
    <row r="552" spans="2:17" x14ac:dyDescent="0.2">
      <c r="B552" s="1260">
        <v>2018</v>
      </c>
      <c r="C552" s="1261"/>
      <c r="D552" s="1261"/>
      <c r="E552" s="1262"/>
      <c r="F552" s="283"/>
      <c r="G552" s="177">
        <f>J176</f>
        <v>0</v>
      </c>
      <c r="H552" s="1003">
        <f>IF(SIGN(G552*M544)&lt;0,-SUM(H549:H551),0)</f>
        <v>0</v>
      </c>
      <c r="I552" s="177">
        <f>+G552+H552</f>
        <v>0</v>
      </c>
      <c r="J552" s="995"/>
      <c r="K552" s="566">
        <f>-MIN(ABS(I552),ABS(J553-K549-K550-K551))*SIGN(I552)</f>
        <v>0</v>
      </c>
      <c r="L552" s="1003">
        <f>+K552+H552</f>
        <v>0</v>
      </c>
      <c r="M552" s="177">
        <f>+I552+K552</f>
        <v>0</v>
      </c>
      <c r="N552" s="212"/>
      <c r="Q552" s="167"/>
    </row>
    <row r="553" spans="2:17" s="281" customFormat="1" x14ac:dyDescent="0.2">
      <c r="G553" s="284">
        <f>SUM(G549:G552)</f>
        <v>0</v>
      </c>
      <c r="H553" s="169">
        <f>SUM(H549:H552)</f>
        <v>0</v>
      </c>
      <c r="I553" s="284">
        <f>SUM(I549:I552)</f>
        <v>0</v>
      </c>
      <c r="J553" s="284">
        <f>-I553*0.6</f>
        <v>0</v>
      </c>
      <c r="K553" s="169">
        <f>SUM(K549:K552)</f>
        <v>0</v>
      </c>
      <c r="L553" s="169"/>
      <c r="M553" s="284">
        <f>SUM(M549:M552)</f>
        <v>0</v>
      </c>
    </row>
    <row r="554" spans="2:17" x14ac:dyDescent="0.2">
      <c r="H554" s="221"/>
      <c r="Q554" s="167"/>
    </row>
    <row r="555" spans="2:17" x14ac:dyDescent="0.2">
      <c r="B555" s="281" t="s">
        <v>172</v>
      </c>
      <c r="F555" s="1000">
        <v>2021</v>
      </c>
      <c r="Q555" s="167"/>
    </row>
    <row r="556" spans="2:17" x14ac:dyDescent="0.2">
      <c r="Q556" s="167"/>
    </row>
    <row r="557" spans="2:17" ht="102" customHeight="1" x14ac:dyDescent="0.2">
      <c r="B557" s="1257" t="s">
        <v>173</v>
      </c>
      <c r="C557" s="1258"/>
      <c r="D557" s="1258"/>
      <c r="E557" s="1259"/>
      <c r="F557" s="282"/>
      <c r="G557" s="166" t="str">
        <f>"Nog af te bouwen regulatoir saldo einde "&amp;F555-1</f>
        <v>Nog af te bouwen regulatoir saldo einde 2020</v>
      </c>
      <c r="H557" s="166" t="str">
        <f>"50% van oorspronkelijk saldo door te rekenen volgens de tariefmethodologie in het boekjaar "&amp;F555</f>
        <v>50% van oorspronkelijk saldo door te rekenen volgens de tariefmethodologie in het boekjaar 2021</v>
      </c>
      <c r="I557" s="166" t="str">
        <f>"Nog af te bouwen regulatoir saldo einde "&amp;F555</f>
        <v>Nog af te bouwen regulatoir saldo einde 2021</v>
      </c>
      <c r="J557" s="212"/>
      <c r="Q557" s="167"/>
    </row>
    <row r="558" spans="2:17" x14ac:dyDescent="0.2">
      <c r="B558" s="1260">
        <v>2015</v>
      </c>
      <c r="C558" s="1261"/>
      <c r="D558" s="1261"/>
      <c r="E558" s="1262"/>
      <c r="F558" s="283"/>
      <c r="G558" s="177">
        <f>M549</f>
        <v>0</v>
      </c>
      <c r="H558" s="177">
        <f>-G558*0.5</f>
        <v>0</v>
      </c>
      <c r="I558" s="177">
        <f>+G558+H558</f>
        <v>0</v>
      </c>
      <c r="J558" s="212"/>
      <c r="Q558" s="167"/>
    </row>
    <row r="559" spans="2:17" x14ac:dyDescent="0.2">
      <c r="B559" s="1260">
        <v>2016</v>
      </c>
      <c r="C559" s="1261"/>
      <c r="D559" s="1261"/>
      <c r="E559" s="1262"/>
      <c r="F559" s="283"/>
      <c r="G559" s="177">
        <f t="shared" ref="G559:G561" si="92">M550</f>
        <v>0</v>
      </c>
      <c r="H559" s="177">
        <f t="shared" ref="H559:H562" si="93">-G559*0.5</f>
        <v>0</v>
      </c>
      <c r="I559" s="177">
        <f t="shared" ref="I559:I562" si="94">+G559+H559</f>
        <v>0</v>
      </c>
      <c r="J559" s="212"/>
      <c r="Q559" s="167"/>
    </row>
    <row r="560" spans="2:17" x14ac:dyDescent="0.2">
      <c r="B560" s="1260">
        <v>2017</v>
      </c>
      <c r="C560" s="1261"/>
      <c r="D560" s="1261">
        <v>2016</v>
      </c>
      <c r="E560" s="1262"/>
      <c r="F560" s="283"/>
      <c r="G560" s="177">
        <f t="shared" si="92"/>
        <v>0</v>
      </c>
      <c r="H560" s="177">
        <f t="shared" si="93"/>
        <v>0</v>
      </c>
      <c r="I560" s="177">
        <f t="shared" si="94"/>
        <v>0</v>
      </c>
      <c r="J560" s="212"/>
      <c r="Q560" s="167"/>
    </row>
    <row r="561" spans="2:17" x14ac:dyDescent="0.2">
      <c r="B561" s="1260">
        <v>2018</v>
      </c>
      <c r="C561" s="1261"/>
      <c r="D561" s="1261"/>
      <c r="E561" s="1262"/>
      <c r="F561" s="283"/>
      <c r="G561" s="177">
        <f t="shared" si="92"/>
        <v>0</v>
      </c>
      <c r="H561" s="177">
        <f t="shared" si="93"/>
        <v>0</v>
      </c>
      <c r="I561" s="177">
        <f t="shared" si="94"/>
        <v>0</v>
      </c>
      <c r="J561" s="212"/>
      <c r="Q561" s="167"/>
    </row>
    <row r="562" spans="2:17" x14ac:dyDescent="0.2">
      <c r="B562" s="1260">
        <v>2019</v>
      </c>
      <c r="C562" s="1261"/>
      <c r="D562" s="1261"/>
      <c r="E562" s="1262"/>
      <c r="F562" s="283"/>
      <c r="G562" s="177">
        <f>K177</f>
        <v>0</v>
      </c>
      <c r="H562" s="177">
        <f t="shared" si="93"/>
        <v>0</v>
      </c>
      <c r="I562" s="177">
        <f t="shared" si="94"/>
        <v>0</v>
      </c>
      <c r="J562" s="212"/>
      <c r="Q562" s="167"/>
    </row>
    <row r="563" spans="2:17" s="281" customFormat="1" x14ac:dyDescent="0.2">
      <c r="G563" s="284">
        <f>SUM(G558:G562)</f>
        <v>0</v>
      </c>
      <c r="H563" s="284">
        <f>SUM(H558:H562)</f>
        <v>0</v>
      </c>
      <c r="I563" s="284">
        <f>SUM(I558:I562)</f>
        <v>0</v>
      </c>
    </row>
    <row r="564" spans="2:17" x14ac:dyDescent="0.2">
      <c r="Q564" s="167"/>
    </row>
    <row r="565" spans="2:17" x14ac:dyDescent="0.2">
      <c r="B565" s="847" t="s">
        <v>172</v>
      </c>
      <c r="C565" s="842"/>
      <c r="D565" s="842"/>
      <c r="E565" s="842"/>
      <c r="F565" s="1004">
        <v>2022</v>
      </c>
      <c r="G565" s="842"/>
      <c r="H565" s="842"/>
      <c r="I565" s="842"/>
      <c r="Q565" s="167"/>
    </row>
    <row r="566" spans="2:17" x14ac:dyDescent="0.2">
      <c r="B566" s="842"/>
      <c r="C566" s="842"/>
      <c r="D566" s="842"/>
      <c r="E566" s="842"/>
      <c r="F566" s="842"/>
      <c r="G566" s="842"/>
      <c r="H566" s="842"/>
      <c r="I566" s="842"/>
      <c r="Q566" s="167"/>
    </row>
    <row r="567" spans="2:17" ht="102" customHeight="1" x14ac:dyDescent="0.2">
      <c r="B567" s="1254" t="s">
        <v>173</v>
      </c>
      <c r="C567" s="1255"/>
      <c r="D567" s="1255"/>
      <c r="E567" s="1256"/>
      <c r="F567" s="848"/>
      <c r="G567" s="837" t="str">
        <f>"Nog af te bouwen regulatoir saldo einde "&amp;F565-1</f>
        <v>Nog af te bouwen regulatoir saldo einde 2021</v>
      </c>
      <c r="H567" s="837" t="str">
        <f>"50% van oorspronkelijk saldo door te rekenen volgens de tariefmethodologie in het boekjaar "&amp;F565</f>
        <v>50% van oorspronkelijk saldo door te rekenen volgens de tariefmethodologie in het boekjaar 2022</v>
      </c>
      <c r="I567" s="837" t="str">
        <f>"Nog af te bouwen regulatoir saldo einde "&amp;F565</f>
        <v>Nog af te bouwen regulatoir saldo einde 2022</v>
      </c>
      <c r="J567" s="212"/>
      <c r="Q567" s="167"/>
    </row>
    <row r="568" spans="2:17" x14ac:dyDescent="0.2">
      <c r="B568" s="1251">
        <v>2015</v>
      </c>
      <c r="C568" s="1252"/>
      <c r="D568" s="1252"/>
      <c r="E568" s="1253"/>
      <c r="F568" s="341"/>
      <c r="G568" s="339">
        <f>+I558</f>
        <v>0</v>
      </c>
      <c r="H568" s="339">
        <f>-G558*0.5</f>
        <v>0</v>
      </c>
      <c r="I568" s="339">
        <f>+G568+H568</f>
        <v>0</v>
      </c>
      <c r="J568" s="212"/>
      <c r="Q568" s="167"/>
    </row>
    <row r="569" spans="2:17" x14ac:dyDescent="0.2">
      <c r="B569" s="1251">
        <v>2016</v>
      </c>
      <c r="C569" s="1252"/>
      <c r="D569" s="1252"/>
      <c r="E569" s="1253"/>
      <c r="F569" s="341"/>
      <c r="G569" s="339">
        <f t="shared" ref="G569:G572" si="95">+I559</f>
        <v>0</v>
      </c>
      <c r="H569" s="339">
        <f t="shared" ref="H569:H572" si="96">-G559*0.5</f>
        <v>0</v>
      </c>
      <c r="I569" s="339">
        <f t="shared" ref="I569:I573" si="97">+G569+H569</f>
        <v>0</v>
      </c>
      <c r="J569" s="212"/>
      <c r="Q569" s="167"/>
    </row>
    <row r="570" spans="2:17" x14ac:dyDescent="0.2">
      <c r="B570" s="1251">
        <v>2017</v>
      </c>
      <c r="C570" s="1252"/>
      <c r="D570" s="1252">
        <v>2016</v>
      </c>
      <c r="E570" s="1253"/>
      <c r="F570" s="341"/>
      <c r="G570" s="339">
        <f t="shared" si="95"/>
        <v>0</v>
      </c>
      <c r="H570" s="339">
        <f t="shared" si="96"/>
        <v>0</v>
      </c>
      <c r="I570" s="339">
        <f t="shared" si="97"/>
        <v>0</v>
      </c>
      <c r="J570" s="212"/>
      <c r="Q570" s="167"/>
    </row>
    <row r="571" spans="2:17" x14ac:dyDescent="0.2">
      <c r="B571" s="1251">
        <v>2018</v>
      </c>
      <c r="C571" s="1252"/>
      <c r="D571" s="1252"/>
      <c r="E571" s="1253"/>
      <c r="F571" s="341"/>
      <c r="G571" s="339">
        <f t="shared" si="95"/>
        <v>0</v>
      </c>
      <c r="H571" s="339">
        <f t="shared" si="96"/>
        <v>0</v>
      </c>
      <c r="I571" s="339">
        <f t="shared" si="97"/>
        <v>0</v>
      </c>
      <c r="J571" s="212"/>
      <c r="Q571" s="167"/>
    </row>
    <row r="572" spans="2:17" x14ac:dyDescent="0.2">
      <c r="B572" s="1251">
        <v>2019</v>
      </c>
      <c r="C572" s="1252"/>
      <c r="D572" s="1252"/>
      <c r="E572" s="1253"/>
      <c r="F572" s="341"/>
      <c r="G572" s="339">
        <f t="shared" si="95"/>
        <v>0</v>
      </c>
      <c r="H572" s="339">
        <f t="shared" si="96"/>
        <v>0</v>
      </c>
      <c r="I572" s="339">
        <f t="shared" si="97"/>
        <v>0</v>
      </c>
      <c r="J572" s="212"/>
      <c r="Q572" s="167"/>
    </row>
    <row r="573" spans="2:17" x14ac:dyDescent="0.2">
      <c r="B573" s="1251">
        <v>2020</v>
      </c>
      <c r="C573" s="1252"/>
      <c r="D573" s="1252"/>
      <c r="E573" s="1253"/>
      <c r="F573" s="341"/>
      <c r="G573" s="339">
        <f>L178</f>
        <v>0</v>
      </c>
      <c r="H573" s="339">
        <f t="shared" ref="H573" si="98">-G573*0.5</f>
        <v>0</v>
      </c>
      <c r="I573" s="339">
        <f t="shared" si="97"/>
        <v>0</v>
      </c>
      <c r="J573" s="212"/>
      <c r="Q573" s="167"/>
    </row>
    <row r="574" spans="2:17" s="281" customFormat="1" x14ac:dyDescent="0.2">
      <c r="B574" s="847"/>
      <c r="C574" s="847"/>
      <c r="D574" s="847"/>
      <c r="E574" s="847"/>
      <c r="F574" s="847"/>
      <c r="G574" s="849">
        <f>SUM(G568:G573)</f>
        <v>0</v>
      </c>
      <c r="H574" s="849">
        <f t="shared" ref="H574" si="99">SUM(H568:H573)</f>
        <v>0</v>
      </c>
      <c r="I574" s="849">
        <f t="shared" ref="I574" si="100">SUM(I568:I573)</f>
        <v>0</v>
      </c>
    </row>
    <row r="575" spans="2:17" x14ac:dyDescent="0.2">
      <c r="B575" s="842"/>
      <c r="C575" s="842"/>
      <c r="D575" s="842"/>
      <c r="E575" s="842"/>
      <c r="F575" s="842"/>
      <c r="G575" s="842"/>
      <c r="H575" s="842"/>
      <c r="I575" s="842"/>
      <c r="Q575" s="167"/>
    </row>
    <row r="576" spans="2:17" x14ac:dyDescent="0.2">
      <c r="B576" s="847" t="s">
        <v>172</v>
      </c>
      <c r="C576" s="842"/>
      <c r="D576" s="842"/>
      <c r="E576" s="842"/>
      <c r="F576" s="1004">
        <v>2023</v>
      </c>
      <c r="G576" s="842"/>
      <c r="H576" s="842"/>
      <c r="I576" s="842"/>
      <c r="Q576" s="167"/>
    </row>
    <row r="577" spans="2:17" x14ac:dyDescent="0.2">
      <c r="B577" s="842"/>
      <c r="C577" s="842"/>
      <c r="D577" s="842"/>
      <c r="E577" s="842"/>
      <c r="F577" s="842"/>
      <c r="G577" s="842"/>
      <c r="H577" s="842"/>
      <c r="I577" s="842"/>
      <c r="Q577" s="167"/>
    </row>
    <row r="578" spans="2:17" ht="102" customHeight="1" x14ac:dyDescent="0.2">
      <c r="B578" s="1254" t="s">
        <v>173</v>
      </c>
      <c r="C578" s="1255"/>
      <c r="D578" s="1255"/>
      <c r="E578" s="1256"/>
      <c r="F578" s="848"/>
      <c r="G578" s="837" t="str">
        <f>"Nog af te bouwen regulatoir saldo einde "&amp;F576-1</f>
        <v>Nog af te bouwen regulatoir saldo einde 2022</v>
      </c>
      <c r="H578" s="837" t="str">
        <f>"50% van oorspronkelijk saldo door te rekenen volgens de tariefmethodologie in het boekjaar "&amp;F576</f>
        <v>50% van oorspronkelijk saldo door te rekenen volgens de tariefmethodologie in het boekjaar 2023</v>
      </c>
      <c r="I578" s="837" t="str">
        <f>"Nog af te bouwen regulatoir saldo einde "&amp;F576</f>
        <v>Nog af te bouwen regulatoir saldo einde 2023</v>
      </c>
      <c r="J578" s="212"/>
      <c r="Q578" s="167"/>
    </row>
    <row r="579" spans="2:17" x14ac:dyDescent="0.2">
      <c r="B579" s="1251">
        <v>2020</v>
      </c>
      <c r="C579" s="1252"/>
      <c r="D579" s="1252"/>
      <c r="E579" s="1253"/>
      <c r="F579" s="341"/>
      <c r="G579" s="339">
        <f>+I573</f>
        <v>0</v>
      </c>
      <c r="H579" s="339">
        <f>-G573*0.5</f>
        <v>0</v>
      </c>
      <c r="I579" s="339">
        <f t="shared" ref="I579" si="101">+G579+H579</f>
        <v>0</v>
      </c>
      <c r="J579" s="212"/>
      <c r="Q579" s="167"/>
    </row>
    <row r="580" spans="2:17" s="281" customFormat="1" x14ac:dyDescent="0.2">
      <c r="B580" s="847"/>
      <c r="C580" s="847"/>
      <c r="D580" s="847"/>
      <c r="E580" s="847"/>
      <c r="F580" s="847"/>
      <c r="G580" s="849">
        <f>SUM(G579:G579)</f>
        <v>0</v>
      </c>
      <c r="H580" s="849">
        <f>SUM(H579:H579)</f>
        <v>0</v>
      </c>
      <c r="I580" s="849">
        <f>SUM(I579:I579)</f>
        <v>0</v>
      </c>
    </row>
    <row r="581" spans="2:17" x14ac:dyDescent="0.2">
      <c r="B581" s="281" t="str">
        <f>B524</f>
        <v>Het tarief voor de regeling van de spanning en van het reactief vermogen</v>
      </c>
      <c r="C581" s="224"/>
      <c r="D581" s="224"/>
      <c r="E581" s="224"/>
      <c r="Q581" s="167"/>
    </row>
    <row r="582" spans="2:17" x14ac:dyDescent="0.2">
      <c r="B582" s="281" t="s">
        <v>174</v>
      </c>
      <c r="C582" s="224"/>
      <c r="D582" s="224"/>
      <c r="E582" s="224"/>
      <c r="Q582" s="167"/>
    </row>
    <row r="583" spans="2:17" x14ac:dyDescent="0.2">
      <c r="C583" s="224"/>
      <c r="D583" s="224"/>
      <c r="E583" s="224"/>
      <c r="Q583" s="167"/>
    </row>
    <row r="584" spans="2:17" x14ac:dyDescent="0.2">
      <c r="B584" s="283">
        <v>2021</v>
      </c>
      <c r="C584" s="287">
        <f>+H563</f>
        <v>0</v>
      </c>
      <c r="D584" s="224"/>
      <c r="E584" s="224"/>
      <c r="Q584" s="167"/>
    </row>
    <row r="585" spans="2:17" x14ac:dyDescent="0.2">
      <c r="B585" s="341">
        <v>2022</v>
      </c>
      <c r="C585" s="342">
        <f>+H574</f>
        <v>0</v>
      </c>
      <c r="D585" s="224"/>
      <c r="E585" s="224"/>
      <c r="Q585" s="167"/>
    </row>
    <row r="586" spans="2:17" x14ac:dyDescent="0.2">
      <c r="B586" s="341">
        <v>2023</v>
      </c>
      <c r="C586" s="342">
        <f>+H580</f>
        <v>0</v>
      </c>
      <c r="D586" s="224"/>
      <c r="E586" s="224"/>
      <c r="Q586" s="167"/>
    </row>
    <row r="587" spans="2:17" x14ac:dyDescent="0.2">
      <c r="B587" s="341">
        <v>2024</v>
      </c>
      <c r="C587" s="342">
        <v>0</v>
      </c>
      <c r="D587" s="224"/>
      <c r="E587" s="224"/>
      <c r="Q587" s="167"/>
    </row>
    <row r="588" spans="2:17" x14ac:dyDescent="0.2">
      <c r="Q588" s="167"/>
    </row>
    <row r="589" spans="2:17" x14ac:dyDescent="0.2">
      <c r="Q589" s="167"/>
    </row>
    <row r="590" spans="2:17" x14ac:dyDescent="0.2">
      <c r="B590" s="326" t="s">
        <v>118</v>
      </c>
      <c r="C590" s="327"/>
      <c r="D590" s="327"/>
      <c r="E590" s="327"/>
      <c r="F590" s="328"/>
      <c r="G590" s="328"/>
      <c r="H590" s="328"/>
      <c r="I590" s="328"/>
      <c r="J590" s="328"/>
      <c r="K590" s="328"/>
      <c r="L590" s="328"/>
      <c r="M590" s="328"/>
      <c r="Q590" s="167"/>
    </row>
    <row r="591" spans="2:17" x14ac:dyDescent="0.2">
      <c r="Q591" s="167"/>
    </row>
    <row r="592" spans="2:17" x14ac:dyDescent="0.2">
      <c r="B592" s="281" t="s">
        <v>172</v>
      </c>
      <c r="F592" s="1000">
        <v>2017</v>
      </c>
      <c r="Q592" s="167"/>
    </row>
    <row r="593" spans="2:17" x14ac:dyDescent="0.2">
      <c r="L593" s="212"/>
      <c r="Q593" s="167"/>
    </row>
    <row r="594" spans="2:17" ht="102" customHeight="1" x14ac:dyDescent="0.2">
      <c r="B594" s="1257" t="s">
        <v>173</v>
      </c>
      <c r="C594" s="1258"/>
      <c r="D594" s="1258"/>
      <c r="E594" s="1259"/>
      <c r="F594" s="282"/>
      <c r="G594" s="166" t="str">
        <f>"Nog af te bouwen regulatoir saldo einde "&amp;F592-1</f>
        <v>Nog af te bouwen regulatoir saldo einde 2016</v>
      </c>
      <c r="H594" s="166" t="str">
        <f>"Afbouw oudste openstaande regulatoir saldo vanaf boekjaar "&amp;F592-3&amp;" en vroeger, door aanwending van compensatie met regulatoir saldo ontstaan over boekjaar "&amp;F592-2</f>
        <v>Afbouw oudste openstaande regulatoir saldo vanaf boekjaar 2014 en vroeger, door aanwending van compensatie met regulatoir saldo ontstaan over boekjaar 2015</v>
      </c>
      <c r="I594" s="166" t="str">
        <f>"Nog af te bouwen regulatoir saldo na compensatie einde "&amp;F592-1</f>
        <v>Nog af te bouwen regulatoir saldo na compensatie einde 2016</v>
      </c>
      <c r="J594" s="166" t="str">
        <f>"Aanwending van 60% van het geaccumuleerd regulatoir saldo door te rekenen volgens de tariefmethodologie in het boekjaar "&amp;F592</f>
        <v>Aanwending van 60% van het geaccumuleerd regulatoir saldo door te rekenen volgens de tariefmethodologie in het boekjaar 2017</v>
      </c>
      <c r="K594" s="166" t="str">
        <f>"Nog af te bouwen regulatoir saldo einde "&amp;F592</f>
        <v>Nog af te bouwen regulatoir saldo einde 2017</v>
      </c>
      <c r="L594" s="212"/>
      <c r="Q594" s="167"/>
    </row>
    <row r="595" spans="2:17" x14ac:dyDescent="0.2">
      <c r="B595" s="1260">
        <v>2015</v>
      </c>
      <c r="C595" s="1261"/>
      <c r="D595" s="1261"/>
      <c r="E595" s="1262"/>
      <c r="F595" s="283"/>
      <c r="G595" s="177">
        <f>G184</f>
        <v>0</v>
      </c>
      <c r="H595" s="566">
        <v>0</v>
      </c>
      <c r="I595" s="177">
        <f>+G595+H595</f>
        <v>0</v>
      </c>
      <c r="J595" s="177">
        <f>-I595*0.6</f>
        <v>0</v>
      </c>
      <c r="K595" s="1001">
        <f>+J595+G595</f>
        <v>0</v>
      </c>
      <c r="L595" s="212"/>
      <c r="Q595" s="167"/>
    </row>
    <row r="596" spans="2:17" x14ac:dyDescent="0.2">
      <c r="L596" s="212"/>
      <c r="Q596" s="167"/>
    </row>
    <row r="597" spans="2:17" x14ac:dyDescent="0.2">
      <c r="B597" s="281" t="s">
        <v>172</v>
      </c>
      <c r="F597" s="1000">
        <v>2018</v>
      </c>
      <c r="Q597" s="167"/>
    </row>
    <row r="598" spans="2:17" x14ac:dyDescent="0.2">
      <c r="Q598" s="167"/>
    </row>
    <row r="599" spans="2:17" ht="102" customHeight="1" x14ac:dyDescent="0.2">
      <c r="B599" s="1257" t="s">
        <v>173</v>
      </c>
      <c r="C599" s="1258"/>
      <c r="D599" s="1258"/>
      <c r="E599" s="1259"/>
      <c r="F599" s="282"/>
      <c r="G599" s="166" t="str">
        <f>"Nog af te bouwen regulatoir saldo einde "&amp;F597-1</f>
        <v>Nog af te bouwen regulatoir saldo einde 2017</v>
      </c>
      <c r="H599" s="166" t="str">
        <f>"Afbouw oudste openstaande regulatoir saldo vanaf boekjaar "&amp;F597-3&amp;" en vroeger, door aanwending van compensatie met regulatoir saldo ontstaan over boekjaar "&amp;F597-2</f>
        <v>Afbouw oudste openstaande regulatoir saldo vanaf boekjaar 2015 en vroeger, door aanwending van compensatie met regulatoir saldo ontstaan over boekjaar 2016</v>
      </c>
      <c r="I599" s="166" t="str">
        <f>"Nog af te bouwen regulatoir saldo na compensatie einde "&amp;F597-1</f>
        <v>Nog af te bouwen regulatoir saldo na compensatie einde 2017</v>
      </c>
      <c r="J599" s="166" t="str">
        <f>"60% van het geaccumuleerd regulatoir saldo door te rekenen volgens de tariefmethodologie in het boekjaar "&amp;F597</f>
        <v>60% van het geaccumuleerd regulatoir saldo door te rekenen volgens de tariefmethodologie in het boekjaar 2018</v>
      </c>
      <c r="K599" s="166" t="str">
        <f>"Aanwending van 60% van het geaccumuleerd regulatoir saldo door te rekenen volgens de tariefmethodologie in het boekjaar "&amp;F597</f>
        <v>Aanwending van 60% van het geaccumuleerd regulatoir saldo door te rekenen volgens de tariefmethodologie in het boekjaar 2018</v>
      </c>
      <c r="L599" s="166" t="str">
        <f>"Totale afbouw over "&amp;F597</f>
        <v>Totale afbouw over 2018</v>
      </c>
      <c r="M599" s="166" t="str">
        <f>"Nog af te bouwen regulatoir saldo einde "&amp;F597</f>
        <v>Nog af te bouwen regulatoir saldo einde 2018</v>
      </c>
      <c r="N599" s="212"/>
      <c r="Q599" s="167"/>
    </row>
    <row r="600" spans="2:17" x14ac:dyDescent="0.2">
      <c r="B600" s="1260">
        <v>2015</v>
      </c>
      <c r="C600" s="1261"/>
      <c r="D600" s="1261"/>
      <c r="E600" s="1262"/>
      <c r="F600" s="283"/>
      <c r="G600" s="177">
        <f>K595</f>
        <v>0</v>
      </c>
      <c r="H600" s="566">
        <f>IF(SIGN(G601*K595)&lt;0,IF(G600&lt;&gt;0,-SIGN(G600)*MIN(ABS(G601),ABS(G600)),0),0)</f>
        <v>0</v>
      </c>
      <c r="I600" s="177">
        <f>+G600+H600</f>
        <v>0</v>
      </c>
      <c r="J600" s="995"/>
      <c r="K600" s="566">
        <f>-MIN(ABS(I600),ABS(J602))*SIGN(I600)</f>
        <v>0</v>
      </c>
      <c r="L600" s="1003">
        <f>+K600+H600</f>
        <v>0</v>
      </c>
      <c r="M600" s="177">
        <f>+I600+K600</f>
        <v>0</v>
      </c>
      <c r="N600" s="212"/>
      <c r="Q600" s="167"/>
    </row>
    <row r="601" spans="2:17" x14ac:dyDescent="0.2">
      <c r="B601" s="1260">
        <v>2016</v>
      </c>
      <c r="C601" s="1261"/>
      <c r="D601" s="1261"/>
      <c r="E601" s="1262"/>
      <c r="F601" s="283"/>
      <c r="G601" s="177">
        <f>H185</f>
        <v>0</v>
      </c>
      <c r="H601" s="1003">
        <f>IF(SIGN(G601*K595)&lt;0,-H600,0)</f>
        <v>0</v>
      </c>
      <c r="I601" s="177">
        <f>+G601+H601</f>
        <v>0</v>
      </c>
      <c r="J601" s="995"/>
      <c r="K601" s="566">
        <f>-MIN(ABS(I601),ABS(J602-K600))*SIGN(I601)</f>
        <v>0</v>
      </c>
      <c r="L601" s="1003">
        <f>+K601+H601</f>
        <v>0</v>
      </c>
      <c r="M601" s="177">
        <f>+I601+K601</f>
        <v>0</v>
      </c>
      <c r="N601" s="212"/>
      <c r="Q601" s="167"/>
    </row>
    <row r="602" spans="2:17" s="281" customFormat="1" x14ac:dyDescent="0.2">
      <c r="G602" s="284">
        <f>SUM(G600:G601)</f>
        <v>0</v>
      </c>
      <c r="H602" s="169">
        <f>SUM(H600:H601)</f>
        <v>0</v>
      </c>
      <c r="I602" s="284">
        <f>SUM(I600:I601)</f>
        <v>0</v>
      </c>
      <c r="J602" s="284">
        <f>-I602*0.6</f>
        <v>0</v>
      </c>
      <c r="K602" s="169">
        <f>SUM(K600:K601)</f>
        <v>0</v>
      </c>
      <c r="L602" s="570"/>
      <c r="M602" s="284">
        <f>SUM(M600:M601)</f>
        <v>0</v>
      </c>
    </row>
    <row r="603" spans="2:17" x14ac:dyDescent="0.2">
      <c r="Q603" s="167"/>
    </row>
    <row r="604" spans="2:17" x14ac:dyDescent="0.2">
      <c r="B604" s="281" t="s">
        <v>172</v>
      </c>
      <c r="F604" s="1000">
        <v>2019</v>
      </c>
      <c r="Q604" s="167"/>
    </row>
    <row r="605" spans="2:17" x14ac:dyDescent="0.2">
      <c r="Q605" s="167"/>
    </row>
    <row r="606" spans="2:17" ht="102" customHeight="1" x14ac:dyDescent="0.2">
      <c r="B606" s="1257" t="s">
        <v>173</v>
      </c>
      <c r="C606" s="1258"/>
      <c r="D606" s="1258"/>
      <c r="E606" s="1259"/>
      <c r="F606" s="282"/>
      <c r="G606" s="166" t="str">
        <f>"Nog af te bouwen regulatoir saldo einde "&amp;F604-1</f>
        <v>Nog af te bouwen regulatoir saldo einde 2018</v>
      </c>
      <c r="H606" s="166" t="str">
        <f>"Afbouw oudste openstaande regulatoir saldo vanaf boekjaar "&amp;F604-3&amp;" en vroeger, door aanwending van compensatie met regulatoir saldo ontstaan over boekjaar "&amp;F604-2</f>
        <v>Afbouw oudste openstaande regulatoir saldo vanaf boekjaar 2016 en vroeger, door aanwending van compensatie met regulatoir saldo ontstaan over boekjaar 2017</v>
      </c>
      <c r="I606" s="166" t="str">
        <f>"Nog af te bouwen regulatoir saldo na compensatie einde "&amp;F604-1</f>
        <v>Nog af te bouwen regulatoir saldo na compensatie einde 2018</v>
      </c>
      <c r="J606" s="166" t="str">
        <f>"60% van het geaccumuleerd regulatoir saldo door te rekenen volgens de tariefmethodologie in het boekjaar "&amp;F604</f>
        <v>60% van het geaccumuleerd regulatoir saldo door te rekenen volgens de tariefmethodologie in het boekjaar 2019</v>
      </c>
      <c r="K606" s="166" t="str">
        <f>"Aanwending van het 60% van het geaccumuleerd regulatoir saldo door te rekenen volgens de tariefmethodologie in het boekjaar "&amp;F604</f>
        <v>Aanwending van het 60% van het geaccumuleerd regulatoir saldo door te rekenen volgens de tariefmethodologie in het boekjaar 2019</v>
      </c>
      <c r="L606" s="166" t="str">
        <f>"Totale afbouw over "&amp;F604</f>
        <v>Totale afbouw over 2019</v>
      </c>
      <c r="M606" s="166" t="str">
        <f>"Nog af te bouwen regulatoir saldo einde "&amp;F604</f>
        <v>Nog af te bouwen regulatoir saldo einde 2019</v>
      </c>
      <c r="N606" s="212"/>
      <c r="Q606" s="167"/>
    </row>
    <row r="607" spans="2:17" x14ac:dyDescent="0.2">
      <c r="B607" s="1260">
        <v>2015</v>
      </c>
      <c r="C607" s="1261"/>
      <c r="D607" s="1261"/>
      <c r="E607" s="1262"/>
      <c r="F607" s="283"/>
      <c r="G607" s="177">
        <f>+M600</f>
        <v>0</v>
      </c>
      <c r="H607" s="1003">
        <f>IF(SIGN(G609*M602)&lt;0,IF(G607&lt;&gt;0,-SIGN(G607)*MIN(ABS(G609),ABS(G607)),0),0)</f>
        <v>0</v>
      </c>
      <c r="I607" s="177">
        <f>+G607+H607</f>
        <v>0</v>
      </c>
      <c r="J607" s="995"/>
      <c r="K607" s="566">
        <f>-MIN(ABS(I607),ABS(J610))*SIGN(I607)</f>
        <v>0</v>
      </c>
      <c r="L607" s="1003">
        <f>+K607+H607</f>
        <v>0</v>
      </c>
      <c r="M607" s="177">
        <f>+I607+K607</f>
        <v>0</v>
      </c>
      <c r="N607" s="212"/>
      <c r="Q607" s="167"/>
    </row>
    <row r="608" spans="2:17" x14ac:dyDescent="0.2">
      <c r="B608" s="1260">
        <v>2016</v>
      </c>
      <c r="C608" s="1261"/>
      <c r="D608" s="1261">
        <v>2016</v>
      </c>
      <c r="E608" s="1262"/>
      <c r="F608" s="283"/>
      <c r="G608" s="177">
        <f>+M601</f>
        <v>0</v>
      </c>
      <c r="H608" s="1003">
        <f>IF(SIGN(G609*M602)&lt;0,IF(G608&lt;&gt;0,-SIGN(G608)*MIN(ABS(G609-H607),ABS(G608)),0),0)</f>
        <v>0</v>
      </c>
      <c r="I608" s="177">
        <f>+G608+H608</f>
        <v>0</v>
      </c>
      <c r="J608" s="995"/>
      <c r="K608" s="566">
        <f>-MIN(ABS(I608),ABS(J610-K607))*SIGN(I608)</f>
        <v>0</v>
      </c>
      <c r="L608" s="1003">
        <f>+K608+H608</f>
        <v>0</v>
      </c>
      <c r="M608" s="177">
        <f>+I608+K608</f>
        <v>0</v>
      </c>
      <c r="N608" s="212"/>
      <c r="Q608" s="167"/>
    </row>
    <row r="609" spans="2:17" x14ac:dyDescent="0.2">
      <c r="B609" s="1260">
        <v>2017</v>
      </c>
      <c r="C609" s="1261"/>
      <c r="D609" s="1261"/>
      <c r="E609" s="1262"/>
      <c r="F609" s="283"/>
      <c r="G609" s="177">
        <f>I186</f>
        <v>0</v>
      </c>
      <c r="H609" s="1003">
        <f>IF(SIGN(G609*M602)&lt;0,-SUM(H607:H608),0)</f>
        <v>0</v>
      </c>
      <c r="I609" s="177">
        <f>+G609+H609</f>
        <v>0</v>
      </c>
      <c r="J609" s="995"/>
      <c r="K609" s="566">
        <f>-MIN(ABS(I609),ABS(J610-K607-K608))*SIGN(I609)</f>
        <v>0</v>
      </c>
      <c r="L609" s="1003">
        <f>+K609+H609</f>
        <v>0</v>
      </c>
      <c r="M609" s="177">
        <f>+I609+K609</f>
        <v>0</v>
      </c>
      <c r="N609" s="212"/>
      <c r="Q609" s="167"/>
    </row>
    <row r="610" spans="2:17" s="281" customFormat="1" x14ac:dyDescent="0.2">
      <c r="G610" s="284">
        <f>SUM(G607:G609)</f>
        <v>0</v>
      </c>
      <c r="H610" s="169">
        <f>SUM(H607:H609)</f>
        <v>0</v>
      </c>
      <c r="I610" s="284">
        <f>SUM(I607:I609)</f>
        <v>0</v>
      </c>
      <c r="J610" s="284">
        <f>-I610*0.6</f>
        <v>0</v>
      </c>
      <c r="K610" s="169">
        <f>SUM(K607:K609)</f>
        <v>0</v>
      </c>
      <c r="L610" s="570"/>
      <c r="M610" s="284">
        <f>SUM(M607:M609)</f>
        <v>0</v>
      </c>
    </row>
    <row r="611" spans="2:17" x14ac:dyDescent="0.2">
      <c r="Q611" s="167"/>
    </row>
    <row r="612" spans="2:17" x14ac:dyDescent="0.2">
      <c r="B612" s="281" t="s">
        <v>172</v>
      </c>
      <c r="F612" s="1000">
        <v>2020</v>
      </c>
      <c r="Q612" s="167"/>
    </row>
    <row r="613" spans="2:17" x14ac:dyDescent="0.2">
      <c r="Q613" s="167"/>
    </row>
    <row r="614" spans="2:17" ht="102" customHeight="1" x14ac:dyDescent="0.2">
      <c r="B614" s="1257" t="s">
        <v>173</v>
      </c>
      <c r="C614" s="1258"/>
      <c r="D614" s="1258"/>
      <c r="E614" s="1259"/>
      <c r="F614" s="282"/>
      <c r="G614" s="166" t="str">
        <f>"Nog af te bouwen regulatoir saldo einde "&amp;F612-1</f>
        <v>Nog af te bouwen regulatoir saldo einde 2019</v>
      </c>
      <c r="H614" s="166" t="str">
        <f>"Afbouw oudste openstaande regulatoir saldo vanaf boekjaar "&amp;F612-3&amp;" en vroeger, door aanwending van compensatie met regulatoir saldo ontstaan over boekjaar "&amp;F612-2</f>
        <v>Afbouw oudste openstaande regulatoir saldo vanaf boekjaar 2017 en vroeger, door aanwending van compensatie met regulatoir saldo ontstaan over boekjaar 2018</v>
      </c>
      <c r="I614" s="166" t="str">
        <f>"Nog af te bouwen regulatoir saldo na compensatie einde "&amp;F612-1</f>
        <v>Nog af te bouwen regulatoir saldo na compensatie einde 2019</v>
      </c>
      <c r="J614" s="166" t="str">
        <f>"60% van het geaccumuleerd regulatoir saldo door te rekenen volgens de tariefmethodologie in het boekjaar "&amp;F612</f>
        <v>60% van het geaccumuleerd regulatoir saldo door te rekenen volgens de tariefmethodologie in het boekjaar 2020</v>
      </c>
      <c r="K614" s="166" t="str">
        <f>"Aanwending van het 60% van het geaccumuleerd regulatoir saldo door te rekenen volgens de tariefmethodologie in het boekjaar "&amp;F612</f>
        <v>Aanwending van het 60% van het geaccumuleerd regulatoir saldo door te rekenen volgens de tariefmethodologie in het boekjaar 2020</v>
      </c>
      <c r="L614" s="166" t="str">
        <f>"Totale afbouw over "&amp;F612</f>
        <v>Totale afbouw over 2020</v>
      </c>
      <c r="M614" s="166" t="str">
        <f>"Nog af te bouwen regulatoir saldo einde "&amp;F612</f>
        <v>Nog af te bouwen regulatoir saldo einde 2020</v>
      </c>
      <c r="N614" s="212"/>
      <c r="Q614" s="167"/>
    </row>
    <row r="615" spans="2:17" x14ac:dyDescent="0.2">
      <c r="B615" s="1260">
        <v>2015</v>
      </c>
      <c r="C615" s="1261"/>
      <c r="D615" s="1261"/>
      <c r="E615" s="1262"/>
      <c r="F615" s="283"/>
      <c r="G615" s="177">
        <f>+M607</f>
        <v>0</v>
      </c>
      <c r="H615" s="1003">
        <f>IF(SIGN(G618*M610)&lt;0,IF(G615&lt;&gt;0,-SIGN(G615)*MIN(ABS(G618),ABS(G615)),0),0)</f>
        <v>0</v>
      </c>
      <c r="I615" s="177">
        <f>+G615+H615</f>
        <v>0</v>
      </c>
      <c r="J615" s="995"/>
      <c r="K615" s="566">
        <f>-MIN(ABS(I615),ABS(J619))*SIGN(I615)</f>
        <v>0</v>
      </c>
      <c r="L615" s="1003">
        <f>+K615+H615</f>
        <v>0</v>
      </c>
      <c r="M615" s="177">
        <f>+I615+K615</f>
        <v>0</v>
      </c>
      <c r="N615" s="212"/>
      <c r="Q615" s="167"/>
    </row>
    <row r="616" spans="2:17" x14ac:dyDescent="0.2">
      <c r="B616" s="1260">
        <v>2016</v>
      </c>
      <c r="C616" s="1261"/>
      <c r="D616" s="1261"/>
      <c r="E616" s="1262"/>
      <c r="F616" s="283"/>
      <c r="G616" s="177">
        <f>+M608</f>
        <v>0</v>
      </c>
      <c r="H616" s="1003">
        <f>IF(SIGN(G618*M610)&lt;0,IF(G616&lt;&gt;0,-SIGN(G616)*MIN(ABS(G618-H615),ABS(G616)),0),0)</f>
        <v>0</v>
      </c>
      <c r="I616" s="177">
        <f>+G616+H616</f>
        <v>0</v>
      </c>
      <c r="J616" s="995"/>
      <c r="K616" s="566">
        <f>-MIN(ABS(I616),ABS(J619-K615))*SIGN(I616)</f>
        <v>0</v>
      </c>
      <c r="L616" s="1003">
        <f>+K616+H616</f>
        <v>0</v>
      </c>
      <c r="M616" s="177">
        <f>+I616+K616</f>
        <v>0</v>
      </c>
      <c r="N616" s="212"/>
      <c r="Q616" s="167"/>
    </row>
    <row r="617" spans="2:17" x14ac:dyDescent="0.2">
      <c r="B617" s="1260">
        <v>2017</v>
      </c>
      <c r="C617" s="1261"/>
      <c r="D617" s="1261">
        <v>2016</v>
      </c>
      <c r="E617" s="1262"/>
      <c r="F617" s="283"/>
      <c r="G617" s="177">
        <f>+M609</f>
        <v>0</v>
      </c>
      <c r="H617" s="1003">
        <f>IF(SIGN(G618*M610)&lt;0,IF(G617&lt;&gt;0,-SIGN(G617)*MIN(ABS(G618-H615-H616),ABS(G617)),0),0)</f>
        <v>0</v>
      </c>
      <c r="I617" s="177">
        <f>+G617+H617</f>
        <v>0</v>
      </c>
      <c r="J617" s="995"/>
      <c r="K617" s="566">
        <f>-MIN(ABS(I617),ABS(J619-K615-K616))*SIGN(I617)</f>
        <v>0</v>
      </c>
      <c r="L617" s="1003">
        <f>+K617+H617</f>
        <v>0</v>
      </c>
      <c r="M617" s="177">
        <f>+I617+K617</f>
        <v>0</v>
      </c>
      <c r="N617" s="212"/>
      <c r="Q617" s="167"/>
    </row>
    <row r="618" spans="2:17" x14ac:dyDescent="0.2">
      <c r="B618" s="1260">
        <v>2018</v>
      </c>
      <c r="C618" s="1261"/>
      <c r="D618" s="1261"/>
      <c r="E618" s="1262"/>
      <c r="F618" s="283"/>
      <c r="G618" s="177">
        <f>J187</f>
        <v>0</v>
      </c>
      <c r="H618" s="1003">
        <f>IF(SIGN(G618*M610)&lt;0,-SUM(H615:H617),0)</f>
        <v>0</v>
      </c>
      <c r="I618" s="177">
        <f>+G618+H618</f>
        <v>0</v>
      </c>
      <c r="J618" s="995"/>
      <c r="K618" s="566">
        <f>-MIN(ABS(I618),ABS(J619-K615-K616-K617))*SIGN(I618)</f>
        <v>0</v>
      </c>
      <c r="L618" s="1003">
        <f>+K618+H618</f>
        <v>0</v>
      </c>
      <c r="M618" s="177">
        <f>+I618+K618</f>
        <v>0</v>
      </c>
      <c r="N618" s="212"/>
      <c r="Q618" s="167"/>
    </row>
    <row r="619" spans="2:17" s="281" customFormat="1" x14ac:dyDescent="0.2">
      <c r="G619" s="284">
        <f>SUM(G615:G618)</f>
        <v>0</v>
      </c>
      <c r="H619" s="169">
        <f>SUM(H615:H618)</f>
        <v>0</v>
      </c>
      <c r="I619" s="284">
        <f>SUM(I615:I618)</f>
        <v>0</v>
      </c>
      <c r="J619" s="284">
        <f>-I619*0.6</f>
        <v>0</v>
      </c>
      <c r="K619" s="169">
        <f>SUM(K615:K618)</f>
        <v>0</v>
      </c>
      <c r="L619" s="169"/>
      <c r="M619" s="284">
        <f>SUM(M615:M618)</f>
        <v>0</v>
      </c>
    </row>
    <row r="620" spans="2:17" x14ac:dyDescent="0.2">
      <c r="Q620" s="167"/>
    </row>
    <row r="621" spans="2:17" x14ac:dyDescent="0.2">
      <c r="B621" s="281" t="s">
        <v>172</v>
      </c>
      <c r="F621" s="1000">
        <v>2021</v>
      </c>
      <c r="Q621" s="167"/>
    </row>
    <row r="622" spans="2:17" x14ac:dyDescent="0.2">
      <c r="Q622" s="167"/>
    </row>
    <row r="623" spans="2:17" ht="102" customHeight="1" x14ac:dyDescent="0.2">
      <c r="B623" s="1257" t="s">
        <v>173</v>
      </c>
      <c r="C623" s="1258"/>
      <c r="D623" s="1258"/>
      <c r="E623" s="1259"/>
      <c r="F623" s="282"/>
      <c r="G623" s="166" t="str">
        <f>"Nog af te bouwen regulatoir saldo einde "&amp;F621-1</f>
        <v>Nog af te bouwen regulatoir saldo einde 2020</v>
      </c>
      <c r="H623" s="166" t="str">
        <f>"50% van oorspronkelijk saldo door te rekenen volgens de tariefmethodologie in het boekjaar "&amp;F621</f>
        <v>50% van oorspronkelijk saldo door te rekenen volgens de tariefmethodologie in het boekjaar 2021</v>
      </c>
      <c r="I623" s="166" t="str">
        <f>"Nog af te bouwen regulatoir saldo einde "&amp;F621</f>
        <v>Nog af te bouwen regulatoir saldo einde 2021</v>
      </c>
      <c r="J623" s="212"/>
      <c r="Q623" s="167"/>
    </row>
    <row r="624" spans="2:17" x14ac:dyDescent="0.2">
      <c r="B624" s="1260">
        <v>2015</v>
      </c>
      <c r="C624" s="1261"/>
      <c r="D624" s="1261"/>
      <c r="E624" s="1262"/>
      <c r="F624" s="283"/>
      <c r="G624" s="177">
        <f>M615</f>
        <v>0</v>
      </c>
      <c r="H624" s="177">
        <f>-G624*0.5</f>
        <v>0</v>
      </c>
      <c r="I624" s="177">
        <f>+G624+H624</f>
        <v>0</v>
      </c>
      <c r="J624" s="212"/>
      <c r="Q624" s="167"/>
    </row>
    <row r="625" spans="2:17" x14ac:dyDescent="0.2">
      <c r="B625" s="1260">
        <v>2016</v>
      </c>
      <c r="C625" s="1261"/>
      <c r="D625" s="1261"/>
      <c r="E625" s="1262"/>
      <c r="F625" s="283"/>
      <c r="G625" s="177">
        <f t="shared" ref="G625:G627" si="102">M616</f>
        <v>0</v>
      </c>
      <c r="H625" s="177">
        <f t="shared" ref="H625:H628" si="103">-G625*0.5</f>
        <v>0</v>
      </c>
      <c r="I625" s="177">
        <f t="shared" ref="I625:I628" si="104">+G625+H625</f>
        <v>0</v>
      </c>
      <c r="J625" s="212"/>
      <c r="Q625" s="167"/>
    </row>
    <row r="626" spans="2:17" x14ac:dyDescent="0.2">
      <c r="B626" s="1260">
        <v>2017</v>
      </c>
      <c r="C626" s="1261"/>
      <c r="D626" s="1261">
        <v>2016</v>
      </c>
      <c r="E626" s="1262"/>
      <c r="F626" s="283"/>
      <c r="G626" s="177">
        <f t="shared" si="102"/>
        <v>0</v>
      </c>
      <c r="H626" s="177">
        <f t="shared" si="103"/>
        <v>0</v>
      </c>
      <c r="I626" s="177">
        <f t="shared" si="104"/>
        <v>0</v>
      </c>
      <c r="J626" s="212"/>
      <c r="Q626" s="167"/>
    </row>
    <row r="627" spans="2:17" x14ac:dyDescent="0.2">
      <c r="B627" s="1260">
        <v>2018</v>
      </c>
      <c r="C627" s="1261"/>
      <c r="D627" s="1261"/>
      <c r="E627" s="1262"/>
      <c r="F627" s="283"/>
      <c r="G627" s="177">
        <f t="shared" si="102"/>
        <v>0</v>
      </c>
      <c r="H627" s="177">
        <f t="shared" si="103"/>
        <v>0</v>
      </c>
      <c r="I627" s="177">
        <f t="shared" si="104"/>
        <v>0</v>
      </c>
      <c r="J627" s="212"/>
      <c r="Q627" s="167"/>
    </row>
    <row r="628" spans="2:17" x14ac:dyDescent="0.2">
      <c r="B628" s="1260">
        <v>2019</v>
      </c>
      <c r="C628" s="1261"/>
      <c r="D628" s="1261"/>
      <c r="E628" s="1262"/>
      <c r="F628" s="283"/>
      <c r="G628" s="177">
        <f>K188</f>
        <v>0</v>
      </c>
      <c r="H628" s="177">
        <f t="shared" si="103"/>
        <v>0</v>
      </c>
      <c r="I628" s="177">
        <f t="shared" si="104"/>
        <v>0</v>
      </c>
      <c r="J628" s="212"/>
      <c r="Q628" s="167"/>
    </row>
    <row r="629" spans="2:17" s="281" customFormat="1" x14ac:dyDescent="0.2">
      <c r="G629" s="284">
        <f>SUM(G624:G628)</f>
        <v>0</v>
      </c>
      <c r="H629" s="284">
        <f>SUM(H624:H628)</f>
        <v>0</v>
      </c>
      <c r="I629" s="284">
        <f>SUM(I624:I628)</f>
        <v>0</v>
      </c>
    </row>
    <row r="630" spans="2:17" x14ac:dyDescent="0.2">
      <c r="Q630" s="167"/>
    </row>
    <row r="631" spans="2:17" x14ac:dyDescent="0.2">
      <c r="B631" s="847" t="s">
        <v>172</v>
      </c>
      <c r="C631" s="842"/>
      <c r="D631" s="842"/>
      <c r="E631" s="842"/>
      <c r="F631" s="1004">
        <v>2022</v>
      </c>
      <c r="G631" s="842"/>
      <c r="H631" s="842"/>
      <c r="I631" s="842"/>
      <c r="Q631" s="167"/>
    </row>
    <row r="632" spans="2:17" x14ac:dyDescent="0.2">
      <c r="B632" s="842"/>
      <c r="C632" s="842"/>
      <c r="D632" s="842"/>
      <c r="E632" s="842"/>
      <c r="F632" s="842"/>
      <c r="G632" s="842"/>
      <c r="H632" s="842"/>
      <c r="I632" s="842"/>
      <c r="Q632" s="167"/>
    </row>
    <row r="633" spans="2:17" ht="102" customHeight="1" x14ac:dyDescent="0.2">
      <c r="B633" s="1254" t="s">
        <v>173</v>
      </c>
      <c r="C633" s="1255"/>
      <c r="D633" s="1255"/>
      <c r="E633" s="1256"/>
      <c r="F633" s="848"/>
      <c r="G633" s="837" t="str">
        <f>"Nog af te bouwen regulatoir saldo einde "&amp;F631-1</f>
        <v>Nog af te bouwen regulatoir saldo einde 2021</v>
      </c>
      <c r="H633" s="837" t="str">
        <f>"50% van oorspronkelijk saldo door te rekenen volgens de tariefmethodologie in het boekjaar "&amp;F631</f>
        <v>50% van oorspronkelijk saldo door te rekenen volgens de tariefmethodologie in het boekjaar 2022</v>
      </c>
      <c r="I633" s="837" t="str">
        <f>"Nog af te bouwen regulatoir saldo einde "&amp;F631</f>
        <v>Nog af te bouwen regulatoir saldo einde 2022</v>
      </c>
      <c r="J633" s="212"/>
      <c r="Q633" s="167"/>
    </row>
    <row r="634" spans="2:17" x14ac:dyDescent="0.2">
      <c r="B634" s="1251">
        <v>2015</v>
      </c>
      <c r="C634" s="1252"/>
      <c r="D634" s="1252"/>
      <c r="E634" s="1253"/>
      <c r="F634" s="341"/>
      <c r="G634" s="339">
        <f>+I624</f>
        <v>0</v>
      </c>
      <c r="H634" s="339">
        <f>-G624*0.5</f>
        <v>0</v>
      </c>
      <c r="I634" s="339">
        <f>+G634+H634</f>
        <v>0</v>
      </c>
      <c r="J634" s="212"/>
      <c r="Q634" s="167"/>
    </row>
    <row r="635" spans="2:17" x14ac:dyDescent="0.2">
      <c r="B635" s="1251">
        <v>2016</v>
      </c>
      <c r="C635" s="1252"/>
      <c r="D635" s="1252"/>
      <c r="E635" s="1253"/>
      <c r="F635" s="341"/>
      <c r="G635" s="339">
        <f t="shared" ref="G635:G638" si="105">+I625</f>
        <v>0</v>
      </c>
      <c r="H635" s="339">
        <f t="shared" ref="H635:H638" si="106">-G625*0.5</f>
        <v>0</v>
      </c>
      <c r="I635" s="339">
        <f t="shared" ref="I635:I639" si="107">+G635+H635</f>
        <v>0</v>
      </c>
      <c r="J635" s="212"/>
      <c r="Q635" s="167"/>
    </row>
    <row r="636" spans="2:17" x14ac:dyDescent="0.2">
      <c r="B636" s="1251">
        <v>2017</v>
      </c>
      <c r="C636" s="1252"/>
      <c r="D636" s="1252">
        <v>2016</v>
      </c>
      <c r="E636" s="1253"/>
      <c r="F636" s="341"/>
      <c r="G636" s="339">
        <f t="shared" si="105"/>
        <v>0</v>
      </c>
      <c r="H636" s="339">
        <f t="shared" si="106"/>
        <v>0</v>
      </c>
      <c r="I636" s="339">
        <f t="shared" si="107"/>
        <v>0</v>
      </c>
      <c r="J636" s="212"/>
      <c r="Q636" s="167"/>
    </row>
    <row r="637" spans="2:17" x14ac:dyDescent="0.2">
      <c r="B637" s="1251">
        <v>2018</v>
      </c>
      <c r="C637" s="1252"/>
      <c r="D637" s="1252"/>
      <c r="E637" s="1253"/>
      <c r="F637" s="341"/>
      <c r="G637" s="339">
        <f t="shared" si="105"/>
        <v>0</v>
      </c>
      <c r="H637" s="339">
        <f t="shared" si="106"/>
        <v>0</v>
      </c>
      <c r="I637" s="339">
        <f t="shared" si="107"/>
        <v>0</v>
      </c>
      <c r="J637" s="212"/>
      <c r="Q637" s="167"/>
    </row>
    <row r="638" spans="2:17" x14ac:dyDescent="0.2">
      <c r="B638" s="1251">
        <v>2019</v>
      </c>
      <c r="C638" s="1252"/>
      <c r="D638" s="1252"/>
      <c r="E638" s="1253"/>
      <c r="F638" s="341"/>
      <c r="G638" s="339">
        <f t="shared" si="105"/>
        <v>0</v>
      </c>
      <c r="H638" s="339">
        <f t="shared" si="106"/>
        <v>0</v>
      </c>
      <c r="I638" s="339">
        <f t="shared" si="107"/>
        <v>0</v>
      </c>
      <c r="J638" s="212"/>
      <c r="Q638" s="167"/>
    </row>
    <row r="639" spans="2:17" x14ac:dyDescent="0.2">
      <c r="B639" s="1251">
        <v>2020</v>
      </c>
      <c r="C639" s="1252"/>
      <c r="D639" s="1252"/>
      <c r="E639" s="1253"/>
      <c r="F639" s="341"/>
      <c r="G639" s="339">
        <f>L189</f>
        <v>0</v>
      </c>
      <c r="H639" s="339">
        <f t="shared" ref="H639" si="108">-G639*0.5</f>
        <v>0</v>
      </c>
      <c r="I639" s="339">
        <f t="shared" si="107"/>
        <v>0</v>
      </c>
      <c r="J639" s="212"/>
      <c r="Q639" s="167"/>
    </row>
    <row r="640" spans="2:17" s="281" customFormat="1" x14ac:dyDescent="0.2">
      <c r="B640" s="847"/>
      <c r="C640" s="847"/>
      <c r="D640" s="847"/>
      <c r="E640" s="847"/>
      <c r="F640" s="847"/>
      <c r="G640" s="849">
        <f>SUM(G634:G639)</f>
        <v>0</v>
      </c>
      <c r="H640" s="849">
        <f t="shared" ref="H640" si="109">SUM(H634:H639)</f>
        <v>0</v>
      </c>
      <c r="I640" s="849">
        <f t="shared" ref="I640" si="110">SUM(I634:I639)</f>
        <v>0</v>
      </c>
    </row>
    <row r="641" spans="2:17" x14ac:dyDescent="0.2">
      <c r="B641" s="842"/>
      <c r="C641" s="842"/>
      <c r="D641" s="842"/>
      <c r="E641" s="842"/>
      <c r="F641" s="842"/>
      <c r="G641" s="842"/>
      <c r="H641" s="842"/>
      <c r="I641" s="842"/>
      <c r="Q641" s="167"/>
    </row>
    <row r="642" spans="2:17" x14ac:dyDescent="0.2">
      <c r="B642" s="847" t="s">
        <v>241</v>
      </c>
      <c r="C642" s="842"/>
      <c r="D642" s="842"/>
      <c r="E642" s="842"/>
      <c r="F642" s="1004">
        <v>2023</v>
      </c>
      <c r="G642" s="842"/>
      <c r="H642" s="842"/>
      <c r="I642" s="842"/>
      <c r="Q642" s="167"/>
    </row>
    <row r="643" spans="2:17" x14ac:dyDescent="0.2">
      <c r="B643" s="842"/>
      <c r="C643" s="842"/>
      <c r="D643" s="842"/>
      <c r="E643" s="842"/>
      <c r="F643" s="842"/>
      <c r="G643" s="842"/>
      <c r="H643" s="842"/>
      <c r="I643" s="842"/>
      <c r="Q643" s="167"/>
    </row>
    <row r="644" spans="2:17" ht="102" customHeight="1" x14ac:dyDescent="0.2">
      <c r="B644" s="1254" t="s">
        <v>173</v>
      </c>
      <c r="C644" s="1255"/>
      <c r="D644" s="1255"/>
      <c r="E644" s="1256"/>
      <c r="F644" s="848"/>
      <c r="G644" s="837" t="str">
        <f>"Nog af te bouwen regulatoir saldo einde "&amp;F642-1</f>
        <v>Nog af te bouwen regulatoir saldo einde 2022</v>
      </c>
      <c r="H644" s="837" t="str">
        <f>"50% van oorspronkelijk saldo door te rekenen volgens de tariefmethodologie in het boekjaar "&amp;F642</f>
        <v>50% van oorspronkelijk saldo door te rekenen volgens de tariefmethodologie in het boekjaar 2023</v>
      </c>
      <c r="I644" s="837" t="str">
        <f>"Nog af te bouwen regulatoir saldo einde "&amp;F642</f>
        <v>Nog af te bouwen regulatoir saldo einde 2023</v>
      </c>
      <c r="J644" s="212"/>
      <c r="Q644" s="167"/>
    </row>
    <row r="645" spans="2:17" x14ac:dyDescent="0.2">
      <c r="B645" s="1251">
        <v>2020</v>
      </c>
      <c r="C645" s="1252"/>
      <c r="D645" s="1252"/>
      <c r="E645" s="1253"/>
      <c r="F645" s="341"/>
      <c r="G645" s="339">
        <f>+I639</f>
        <v>0</v>
      </c>
      <c r="H645" s="339">
        <f>-G639*0.5</f>
        <v>0</v>
      </c>
      <c r="I645" s="339">
        <f t="shared" ref="I645:I646" si="111">+G645+H645</f>
        <v>0</v>
      </c>
      <c r="J645" s="212"/>
      <c r="Q645" s="167"/>
    </row>
    <row r="646" spans="2:17" x14ac:dyDescent="0.2">
      <c r="B646" s="1251">
        <v>2021</v>
      </c>
      <c r="C646" s="1252"/>
      <c r="D646" s="1252"/>
      <c r="E646" s="1253"/>
      <c r="F646" s="341"/>
      <c r="G646" s="339">
        <f>M190</f>
        <v>0</v>
      </c>
      <c r="H646" s="339">
        <f t="shared" ref="H646" si="112">-G646*0.5</f>
        <v>0</v>
      </c>
      <c r="I646" s="339">
        <f t="shared" si="111"/>
        <v>0</v>
      </c>
      <c r="J646" s="212"/>
      <c r="Q646" s="167"/>
    </row>
    <row r="647" spans="2:17" s="281" customFormat="1" x14ac:dyDescent="0.2">
      <c r="B647" s="847"/>
      <c r="C647" s="847"/>
      <c r="D647" s="847"/>
      <c r="E647" s="847"/>
      <c r="F647" s="847"/>
      <c r="G647" s="849">
        <f>SUM(G645:G646)</f>
        <v>0</v>
      </c>
      <c r="H647" s="849">
        <f>SUM(H645:H646)</f>
        <v>0</v>
      </c>
      <c r="I647" s="849">
        <f>SUM(I645:I646)</f>
        <v>0</v>
      </c>
    </row>
    <row r="648" spans="2:17" x14ac:dyDescent="0.2">
      <c r="B648" s="842"/>
      <c r="C648" s="842"/>
      <c r="D648" s="842"/>
      <c r="E648" s="842"/>
      <c r="F648" s="842"/>
      <c r="G648" s="842"/>
      <c r="H648" s="842"/>
      <c r="I648" s="842"/>
      <c r="Q648" s="167"/>
    </row>
    <row r="649" spans="2:17" x14ac:dyDescent="0.2">
      <c r="B649" s="847" t="s">
        <v>172</v>
      </c>
      <c r="C649" s="842"/>
      <c r="D649" s="842"/>
      <c r="E649" s="842"/>
      <c r="F649" s="1004">
        <v>2024</v>
      </c>
      <c r="G649" s="842"/>
      <c r="H649" s="842"/>
      <c r="I649" s="842"/>
      <c r="Q649" s="167"/>
    </row>
    <row r="650" spans="2:17" x14ac:dyDescent="0.2">
      <c r="B650" s="842"/>
      <c r="C650" s="842"/>
      <c r="D650" s="842"/>
      <c r="E650" s="842"/>
      <c r="F650" s="842"/>
      <c r="G650" s="842"/>
      <c r="H650" s="842"/>
      <c r="I650" s="842"/>
      <c r="Q650" s="167"/>
    </row>
    <row r="651" spans="2:17" ht="102" customHeight="1" x14ac:dyDescent="0.2">
      <c r="B651" s="1254" t="s">
        <v>173</v>
      </c>
      <c r="C651" s="1255"/>
      <c r="D651" s="1255"/>
      <c r="E651" s="1256"/>
      <c r="F651" s="848"/>
      <c r="G651" s="837" t="str">
        <f>"Nog af te bouwen regulatoir saldo einde "&amp;F649-1</f>
        <v>Nog af te bouwen regulatoir saldo einde 2023</v>
      </c>
      <c r="H651" s="837" t="str">
        <f>"50% van oorspronkelijk saldo door te rekenen volgens de tariefmethodologie in het boekjaar "&amp;F649</f>
        <v>50% van oorspronkelijk saldo door te rekenen volgens de tariefmethodologie in het boekjaar 2024</v>
      </c>
      <c r="I651" s="837" t="str">
        <f>"Nog af te bouwen regulatoir saldo einde "&amp;F649</f>
        <v>Nog af te bouwen regulatoir saldo einde 2024</v>
      </c>
      <c r="J651" s="212"/>
      <c r="Q651" s="167"/>
    </row>
    <row r="652" spans="2:17" x14ac:dyDescent="0.2">
      <c r="B652" s="1251">
        <v>2021</v>
      </c>
      <c r="C652" s="1252"/>
      <c r="D652" s="1252"/>
      <c r="E652" s="1253"/>
      <c r="F652" s="341"/>
      <c r="G652" s="339">
        <f>+I646</f>
        <v>0</v>
      </c>
      <c r="H652" s="339">
        <f>-G646*0.5</f>
        <v>0</v>
      </c>
      <c r="I652" s="339">
        <f t="shared" ref="I652:I653" si="113">+G652+H652</f>
        <v>0</v>
      </c>
      <c r="J652" s="212"/>
      <c r="Q652" s="167"/>
    </row>
    <row r="653" spans="2:17" x14ac:dyDescent="0.2">
      <c r="B653" s="1251">
        <v>2022</v>
      </c>
      <c r="C653" s="1252"/>
      <c r="D653" s="1252"/>
      <c r="E653" s="1253"/>
      <c r="F653" s="341"/>
      <c r="G653" s="339">
        <f>N191</f>
        <v>0</v>
      </c>
      <c r="H653" s="339">
        <f t="shared" ref="H653" si="114">-G653*0.5</f>
        <v>0</v>
      </c>
      <c r="I653" s="339">
        <f t="shared" si="113"/>
        <v>0</v>
      </c>
      <c r="J653" s="212"/>
      <c r="Q653" s="167"/>
    </row>
    <row r="654" spans="2:17" s="281" customFormat="1" x14ac:dyDescent="0.2">
      <c r="B654" s="847"/>
      <c r="C654" s="847"/>
      <c r="D654" s="847"/>
      <c r="E654" s="847"/>
      <c r="F654" s="847"/>
      <c r="G654" s="849">
        <f>SUM(G652:G653)</f>
        <v>0</v>
      </c>
      <c r="H654" s="849">
        <f>SUM(H652:H653)</f>
        <v>0</v>
      </c>
      <c r="I654" s="849">
        <f>SUM(I652:I653)</f>
        <v>0</v>
      </c>
    </row>
    <row r="655" spans="2:17" x14ac:dyDescent="0.2">
      <c r="Q655" s="167"/>
    </row>
    <row r="656" spans="2:17" x14ac:dyDescent="0.2">
      <c r="B656" s="281" t="str">
        <f>B590</f>
        <v>Het tarief voor de compensatie van de netverliezen</v>
      </c>
      <c r="C656" s="224"/>
      <c r="D656" s="224"/>
      <c r="E656" s="224"/>
      <c r="Q656" s="167"/>
    </row>
    <row r="657" spans="2:17" x14ac:dyDescent="0.2">
      <c r="B657" s="281" t="s">
        <v>174</v>
      </c>
      <c r="C657" s="224"/>
      <c r="D657" s="224"/>
      <c r="E657" s="224"/>
      <c r="Q657" s="167"/>
    </row>
    <row r="658" spans="2:17" x14ac:dyDescent="0.2">
      <c r="C658" s="224"/>
      <c r="D658" s="224"/>
      <c r="E658" s="224"/>
      <c r="Q658" s="167"/>
    </row>
    <row r="659" spans="2:17" x14ac:dyDescent="0.2">
      <c r="B659" s="283">
        <v>2021</v>
      </c>
      <c r="C659" s="287">
        <f>+H629</f>
        <v>0</v>
      </c>
      <c r="D659" s="224"/>
      <c r="E659" s="224"/>
      <c r="Q659" s="167"/>
    </row>
    <row r="660" spans="2:17" x14ac:dyDescent="0.2">
      <c r="B660" s="341">
        <v>2022</v>
      </c>
      <c r="C660" s="342">
        <f>+H640</f>
        <v>0</v>
      </c>
      <c r="D660" s="224"/>
      <c r="E660" s="224"/>
      <c r="Q660" s="167"/>
    </row>
    <row r="661" spans="2:17" x14ac:dyDescent="0.2">
      <c r="B661" s="341">
        <v>2023</v>
      </c>
      <c r="C661" s="342">
        <f>+H647</f>
        <v>0</v>
      </c>
      <c r="D661" s="224"/>
      <c r="E661" s="224"/>
      <c r="Q661" s="167"/>
    </row>
    <row r="662" spans="2:17" x14ac:dyDescent="0.2">
      <c r="B662" s="341">
        <v>2024</v>
      </c>
      <c r="C662" s="342">
        <f>+H654</f>
        <v>0</v>
      </c>
      <c r="D662" s="224"/>
      <c r="E662" s="224"/>
      <c r="Q662" s="167"/>
    </row>
    <row r="663" spans="2:17" x14ac:dyDescent="0.2">
      <c r="Q663" s="167"/>
    </row>
    <row r="664" spans="2:17" x14ac:dyDescent="0.2">
      <c r="Q664" s="167"/>
    </row>
    <row r="665" spans="2:17" ht="12.75" customHeight="1" x14ac:dyDescent="0.2">
      <c r="B665" s="326" t="s">
        <v>68</v>
      </c>
      <c r="C665" s="327"/>
      <c r="D665" s="327"/>
      <c r="E665" s="327"/>
      <c r="F665" s="328"/>
      <c r="G665" s="328"/>
      <c r="H665" s="328"/>
      <c r="I665" s="328"/>
      <c r="J665" s="328"/>
      <c r="K665" s="328"/>
      <c r="L665" s="328"/>
      <c r="M665" s="328"/>
      <c r="Q665" s="167"/>
    </row>
    <row r="666" spans="2:17" x14ac:dyDescent="0.2">
      <c r="Q666" s="167"/>
    </row>
    <row r="667" spans="2:17" x14ac:dyDescent="0.2">
      <c r="B667" s="281" t="s">
        <v>172</v>
      </c>
      <c r="F667" s="1000">
        <v>2017</v>
      </c>
      <c r="Q667" s="167"/>
    </row>
    <row r="668" spans="2:17" x14ac:dyDescent="0.2">
      <c r="L668" s="212"/>
      <c r="Q668" s="167"/>
    </row>
    <row r="669" spans="2:17" ht="102" customHeight="1" x14ac:dyDescent="0.2">
      <c r="B669" s="1257" t="s">
        <v>173</v>
      </c>
      <c r="C669" s="1258"/>
      <c r="D669" s="1258"/>
      <c r="E669" s="1259"/>
      <c r="F669" s="282"/>
      <c r="G669" s="166" t="str">
        <f>"Nog af te bouwen regulatoir saldo einde "&amp;F667-1</f>
        <v>Nog af te bouwen regulatoir saldo einde 2016</v>
      </c>
      <c r="H669" s="166" t="str">
        <f>"Afbouw oudste openstaande regulatoir saldo vanaf boekjaar "&amp;F667-3&amp;" en vroeger, door aanwending van compensatie met regulatoir saldo ontstaan over boekjaar "&amp;F667-2</f>
        <v>Afbouw oudste openstaande regulatoir saldo vanaf boekjaar 2014 en vroeger, door aanwending van compensatie met regulatoir saldo ontstaan over boekjaar 2015</v>
      </c>
      <c r="I669" s="166" t="str">
        <f>"Nog af te bouwen regulatoir saldo na compensatie einde "&amp;F667-1</f>
        <v>Nog af te bouwen regulatoir saldo na compensatie einde 2016</v>
      </c>
      <c r="J669" s="166" t="str">
        <f>"Aanwending van 60% van het geaccumuleerd regulatoir saldo door te rekenen volgens de tariefmethodologie in het boekjaar "&amp;F667</f>
        <v>Aanwending van 60% van het geaccumuleerd regulatoir saldo door te rekenen volgens de tariefmethodologie in het boekjaar 2017</v>
      </c>
      <c r="K669" s="166" t="str">
        <f>"Nog af te bouwen regulatoir saldo einde "&amp;F667</f>
        <v>Nog af te bouwen regulatoir saldo einde 2017</v>
      </c>
      <c r="L669" s="212"/>
      <c r="Q669" s="167"/>
    </row>
    <row r="670" spans="2:17" x14ac:dyDescent="0.2">
      <c r="B670" s="1260">
        <v>2015</v>
      </c>
      <c r="C670" s="1261"/>
      <c r="D670" s="1261"/>
      <c r="E670" s="1262"/>
      <c r="F670" s="283"/>
      <c r="G670" s="177">
        <f>G195</f>
        <v>0</v>
      </c>
      <c r="H670" s="566">
        <v>0</v>
      </c>
      <c r="I670" s="177">
        <f>+G670+H670</f>
        <v>0</v>
      </c>
      <c r="J670" s="177">
        <f>-I670*0.6</f>
        <v>0</v>
      </c>
      <c r="K670" s="1001">
        <f>+J670+G670</f>
        <v>0</v>
      </c>
      <c r="L670" s="212"/>
      <c r="Q670" s="167"/>
    </row>
    <row r="671" spans="2:17" x14ac:dyDescent="0.2">
      <c r="H671" s="221"/>
      <c r="L671" s="212"/>
      <c r="Q671" s="167"/>
    </row>
    <row r="672" spans="2:17" x14ac:dyDescent="0.2">
      <c r="B672" s="281" t="s">
        <v>172</v>
      </c>
      <c r="F672" s="1000">
        <v>2018</v>
      </c>
      <c r="Q672" s="167"/>
    </row>
    <row r="673" spans="2:17" x14ac:dyDescent="0.2">
      <c r="Q673" s="167"/>
    </row>
    <row r="674" spans="2:17" ht="102" customHeight="1" x14ac:dyDescent="0.2">
      <c r="B674" s="1257" t="s">
        <v>173</v>
      </c>
      <c r="C674" s="1258"/>
      <c r="D674" s="1258"/>
      <c r="E674" s="1259"/>
      <c r="F674" s="282"/>
      <c r="G674" s="166" t="str">
        <f>"Nog af te bouwen regulatoir saldo einde "&amp;F672-1</f>
        <v>Nog af te bouwen regulatoir saldo einde 2017</v>
      </c>
      <c r="H674" s="166" t="str">
        <f>"Afbouw oudste openstaande regulatoir saldo vanaf boekjaar "&amp;F672-3&amp;" en vroeger, door aanwending van compensatie met regulatoir saldo ontstaan over boekjaar "&amp;F672-2</f>
        <v>Afbouw oudste openstaande regulatoir saldo vanaf boekjaar 2015 en vroeger, door aanwending van compensatie met regulatoir saldo ontstaan over boekjaar 2016</v>
      </c>
      <c r="I674" s="166" t="str">
        <f>"Nog af te bouwen regulatoir saldo na compensatie einde "&amp;F672-1</f>
        <v>Nog af te bouwen regulatoir saldo na compensatie einde 2017</v>
      </c>
      <c r="J674" s="166" t="str">
        <f>"60% van het geaccumuleerd regulatoir saldo door te rekenen volgens de tariefmethodologie in het boekjaar "&amp;F672</f>
        <v>60% van het geaccumuleerd regulatoir saldo door te rekenen volgens de tariefmethodologie in het boekjaar 2018</v>
      </c>
      <c r="K674" s="166" t="str">
        <f>"Aanwending van 60% van het geaccumuleerd regulatoir saldo door te rekenen volgens de tariefmethodologie in het boekjaar "&amp;F672</f>
        <v>Aanwending van 60% van het geaccumuleerd regulatoir saldo door te rekenen volgens de tariefmethodologie in het boekjaar 2018</v>
      </c>
      <c r="L674" s="166" t="str">
        <f>"Totale afbouw over "&amp;F672</f>
        <v>Totale afbouw over 2018</v>
      </c>
      <c r="M674" s="166" t="str">
        <f>"Nog af te bouwen regulatoir saldo einde "&amp;F672</f>
        <v>Nog af te bouwen regulatoir saldo einde 2018</v>
      </c>
      <c r="N674" s="212"/>
      <c r="Q674" s="167"/>
    </row>
    <row r="675" spans="2:17" x14ac:dyDescent="0.2">
      <c r="B675" s="1260">
        <v>2015</v>
      </c>
      <c r="C675" s="1261"/>
      <c r="D675" s="1261"/>
      <c r="E675" s="1262"/>
      <c r="F675" s="283"/>
      <c r="G675" s="177">
        <f>K670</f>
        <v>0</v>
      </c>
      <c r="H675" s="566">
        <f>IF(SIGN(G676*K670)&lt;0,IF(G675&lt;&gt;0,-SIGN(G675)*MIN(ABS(G676),ABS(G675)),0),0)</f>
        <v>0</v>
      </c>
      <c r="I675" s="177">
        <f>+G675+H675</f>
        <v>0</v>
      </c>
      <c r="J675" s="995"/>
      <c r="K675" s="566">
        <f>-MIN(ABS(I675),ABS(J677))*SIGN(I675)</f>
        <v>0</v>
      </c>
      <c r="L675" s="1003">
        <f>+K675+H675</f>
        <v>0</v>
      </c>
      <c r="M675" s="177">
        <f>+I675+K675</f>
        <v>0</v>
      </c>
      <c r="N675" s="212"/>
      <c r="Q675" s="167"/>
    </row>
    <row r="676" spans="2:17" x14ac:dyDescent="0.2">
      <c r="B676" s="1260">
        <v>2016</v>
      </c>
      <c r="C676" s="1261"/>
      <c r="D676" s="1261"/>
      <c r="E676" s="1262"/>
      <c r="F676" s="283"/>
      <c r="G676" s="177">
        <f>H196</f>
        <v>0</v>
      </c>
      <c r="H676" s="1003">
        <f>IF(SIGN(G676*K670)&lt;0,-H675,0)</f>
        <v>0</v>
      </c>
      <c r="I676" s="177">
        <f>+G676+H676</f>
        <v>0</v>
      </c>
      <c r="J676" s="995"/>
      <c r="K676" s="566">
        <f>-MIN(ABS(I676),ABS(J677-K675))*SIGN(I676)</f>
        <v>0</v>
      </c>
      <c r="L676" s="1003">
        <f>+K676+H676</f>
        <v>0</v>
      </c>
      <c r="M676" s="177">
        <f>+I676+K676</f>
        <v>0</v>
      </c>
      <c r="N676" s="212"/>
      <c r="Q676" s="167"/>
    </row>
    <row r="677" spans="2:17" s="281" customFormat="1" x14ac:dyDescent="0.2">
      <c r="G677" s="284">
        <f>SUM(G675:G676)</f>
        <v>0</v>
      </c>
      <c r="H677" s="169">
        <f>SUM(H675:H676)</f>
        <v>0</v>
      </c>
      <c r="I677" s="284">
        <f>SUM(I675:I676)</f>
        <v>0</v>
      </c>
      <c r="J677" s="284">
        <f>-I677*0.6</f>
        <v>0</v>
      </c>
      <c r="K677" s="169">
        <f>SUM(K675:K676)</f>
        <v>0</v>
      </c>
      <c r="L677" s="570"/>
      <c r="M677" s="284">
        <f>SUM(M675:M676)</f>
        <v>0</v>
      </c>
    </row>
    <row r="678" spans="2:17" x14ac:dyDescent="0.2">
      <c r="Q678" s="167"/>
    </row>
    <row r="679" spans="2:17" x14ac:dyDescent="0.2">
      <c r="B679" s="281" t="s">
        <v>172</v>
      </c>
      <c r="F679" s="1000">
        <v>2019</v>
      </c>
      <c r="Q679" s="167"/>
    </row>
    <row r="680" spans="2:17" x14ac:dyDescent="0.2">
      <c r="Q680" s="167"/>
    </row>
    <row r="681" spans="2:17" ht="102" customHeight="1" x14ac:dyDescent="0.2">
      <c r="B681" s="1257" t="s">
        <v>173</v>
      </c>
      <c r="C681" s="1258"/>
      <c r="D681" s="1258"/>
      <c r="E681" s="1259"/>
      <c r="F681" s="282"/>
      <c r="G681" s="166" t="str">
        <f>"Nog af te bouwen regulatoir saldo einde "&amp;F679-1</f>
        <v>Nog af te bouwen regulatoir saldo einde 2018</v>
      </c>
      <c r="H681" s="166" t="str">
        <f>"Afbouw oudste openstaande regulatoir saldo vanaf boekjaar "&amp;F679-3&amp;" en vroeger, door aanwending van compensatie met regulatoir saldo ontstaan over boekjaar "&amp;F679-2</f>
        <v>Afbouw oudste openstaande regulatoir saldo vanaf boekjaar 2016 en vroeger, door aanwending van compensatie met regulatoir saldo ontstaan over boekjaar 2017</v>
      </c>
      <c r="I681" s="166" t="str">
        <f>"Nog af te bouwen regulatoir saldo na compensatie einde "&amp;F679-1</f>
        <v>Nog af te bouwen regulatoir saldo na compensatie einde 2018</v>
      </c>
      <c r="J681" s="166" t="str">
        <f>"60% van het geaccumuleerd regulatoir saldo door te rekenen volgens de tariefmethodologie in het boekjaar "&amp;F679</f>
        <v>60% van het geaccumuleerd regulatoir saldo door te rekenen volgens de tariefmethodologie in het boekjaar 2019</v>
      </c>
      <c r="K681" s="166" t="str">
        <f>"Aanwending van het 60% van het geaccumuleerd regulatoir saldo door te rekenen volgens de tariefmethodologie in het boekjaar "&amp;F679</f>
        <v>Aanwending van het 60% van het geaccumuleerd regulatoir saldo door te rekenen volgens de tariefmethodologie in het boekjaar 2019</v>
      </c>
      <c r="L681" s="166" t="str">
        <f>"Totale afbouw over "&amp;F679</f>
        <v>Totale afbouw over 2019</v>
      </c>
      <c r="M681" s="166" t="str">
        <f>"Nog af te bouwen regulatoir saldo einde "&amp;F679</f>
        <v>Nog af te bouwen regulatoir saldo einde 2019</v>
      </c>
      <c r="N681" s="212"/>
      <c r="Q681" s="167"/>
    </row>
    <row r="682" spans="2:17" x14ac:dyDescent="0.2">
      <c r="B682" s="1260">
        <v>2015</v>
      </c>
      <c r="C682" s="1261"/>
      <c r="D682" s="1261"/>
      <c r="E682" s="1262"/>
      <c r="F682" s="283"/>
      <c r="G682" s="177">
        <f>+M675</f>
        <v>0</v>
      </c>
      <c r="H682" s="1003">
        <f>IF(SIGN(G684*M677)&lt;0,IF(G682&lt;&gt;0,-SIGN(G682)*MIN(ABS(G684),ABS(G682)),0),0)</f>
        <v>0</v>
      </c>
      <c r="I682" s="177">
        <f>+G682+H682</f>
        <v>0</v>
      </c>
      <c r="J682" s="995"/>
      <c r="K682" s="566">
        <f>-MIN(ABS(I682),ABS(J685))*SIGN(I682)</f>
        <v>0</v>
      </c>
      <c r="L682" s="1003">
        <f>+K682+H682</f>
        <v>0</v>
      </c>
      <c r="M682" s="177">
        <f>+I682+K682</f>
        <v>0</v>
      </c>
      <c r="N682" s="212"/>
      <c r="Q682" s="167"/>
    </row>
    <row r="683" spans="2:17" x14ac:dyDescent="0.2">
      <c r="B683" s="1260">
        <v>2016</v>
      </c>
      <c r="C683" s="1261"/>
      <c r="D683" s="1261">
        <v>2016</v>
      </c>
      <c r="E683" s="1262"/>
      <c r="F683" s="283"/>
      <c r="G683" s="177">
        <f>+M676</f>
        <v>0</v>
      </c>
      <c r="H683" s="1003">
        <f>IF(SIGN(G684*M677)&lt;0,IF(G683&lt;&gt;0,-SIGN(G683)*MIN(ABS(G684-H682),ABS(G683)),0),0)</f>
        <v>0</v>
      </c>
      <c r="I683" s="177">
        <f>+G683+H683</f>
        <v>0</v>
      </c>
      <c r="J683" s="995"/>
      <c r="K683" s="566">
        <f>-MIN(ABS(I683),ABS(J685-K682))*SIGN(I683)</f>
        <v>0</v>
      </c>
      <c r="L683" s="1003">
        <f>+K683+H683</f>
        <v>0</v>
      </c>
      <c r="M683" s="177">
        <f>+I683+K683</f>
        <v>0</v>
      </c>
      <c r="N683" s="212"/>
      <c r="Q683" s="167"/>
    </row>
    <row r="684" spans="2:17" x14ac:dyDescent="0.2">
      <c r="B684" s="1260">
        <v>2017</v>
      </c>
      <c r="C684" s="1261"/>
      <c r="D684" s="1261"/>
      <c r="E684" s="1262"/>
      <c r="F684" s="283"/>
      <c r="G684" s="177">
        <f>I197</f>
        <v>0</v>
      </c>
      <c r="H684" s="1003">
        <f>IF(SIGN(G684*M677)&lt;0,-SUM(H682:H683),0)</f>
        <v>0</v>
      </c>
      <c r="I684" s="177">
        <f>+G684+H684</f>
        <v>0</v>
      </c>
      <c r="J684" s="995"/>
      <c r="K684" s="566">
        <f>-MIN(ABS(I684),ABS(J685-K682-K683))*SIGN(I684)</f>
        <v>0</v>
      </c>
      <c r="L684" s="1003">
        <f>+K684+H684</f>
        <v>0</v>
      </c>
      <c r="M684" s="177">
        <f>+I684+K684</f>
        <v>0</v>
      </c>
      <c r="N684" s="212"/>
      <c r="Q684" s="167"/>
    </row>
    <row r="685" spans="2:17" s="281" customFormat="1" x14ac:dyDescent="0.2">
      <c r="G685" s="284">
        <f>SUM(G682:G684)</f>
        <v>0</v>
      </c>
      <c r="H685" s="169">
        <f>SUM(H682:H684)</f>
        <v>0</v>
      </c>
      <c r="I685" s="284">
        <f>SUM(I682:I684)</f>
        <v>0</v>
      </c>
      <c r="J685" s="284">
        <f>-I685*0.6</f>
        <v>0</v>
      </c>
      <c r="K685" s="169">
        <f>SUM(K682:K684)</f>
        <v>0</v>
      </c>
      <c r="L685" s="570"/>
      <c r="M685" s="284">
        <f>SUM(M682:M684)</f>
        <v>0</v>
      </c>
    </row>
    <row r="686" spans="2:17" x14ac:dyDescent="0.2">
      <c r="H686" s="221"/>
      <c r="Q686" s="167"/>
    </row>
    <row r="687" spans="2:17" x14ac:dyDescent="0.2">
      <c r="B687" s="281" t="s">
        <v>172</v>
      </c>
      <c r="F687" s="1000">
        <v>2020</v>
      </c>
      <c r="Q687" s="167"/>
    </row>
    <row r="688" spans="2:17" x14ac:dyDescent="0.2">
      <c r="Q688" s="167"/>
    </row>
    <row r="689" spans="2:17" ht="102" customHeight="1" x14ac:dyDescent="0.2">
      <c r="B689" s="1257" t="s">
        <v>173</v>
      </c>
      <c r="C689" s="1258"/>
      <c r="D689" s="1258"/>
      <c r="E689" s="1259"/>
      <c r="F689" s="282"/>
      <c r="G689" s="166" t="str">
        <f>"Nog af te bouwen regulatoir saldo einde "&amp;F687-1</f>
        <v>Nog af te bouwen regulatoir saldo einde 2019</v>
      </c>
      <c r="H689" s="166" t="str">
        <f>"Afbouw oudste openstaande regulatoir saldo vanaf boekjaar "&amp;F687-3&amp;" en vroeger, door aanwending van compensatie met regulatoir saldo ontstaan over boekjaar "&amp;F687-2</f>
        <v>Afbouw oudste openstaande regulatoir saldo vanaf boekjaar 2017 en vroeger, door aanwending van compensatie met regulatoir saldo ontstaan over boekjaar 2018</v>
      </c>
      <c r="I689" s="166" t="str">
        <f>"Nog af te bouwen regulatoir saldo na compensatie einde "&amp;F687-1</f>
        <v>Nog af te bouwen regulatoir saldo na compensatie einde 2019</v>
      </c>
      <c r="J689" s="166" t="str">
        <f>"60% van het geaccumuleerd regulatoir saldo door te rekenen volgens de tariefmethodologie in het boekjaar "&amp;F687</f>
        <v>60% van het geaccumuleerd regulatoir saldo door te rekenen volgens de tariefmethodologie in het boekjaar 2020</v>
      </c>
      <c r="K689" s="166" t="str">
        <f>"Aanwending van het 60% van het geaccumuleerd regulatoir saldo door te rekenen volgens de tariefmethodologie in het boekjaar "&amp;F687</f>
        <v>Aanwending van het 60% van het geaccumuleerd regulatoir saldo door te rekenen volgens de tariefmethodologie in het boekjaar 2020</v>
      </c>
      <c r="L689" s="166" t="str">
        <f>"Totale afbouw over "&amp;F687</f>
        <v>Totale afbouw over 2020</v>
      </c>
      <c r="M689" s="166" t="str">
        <f>"Nog af te bouwen regulatoir saldo einde "&amp;F687</f>
        <v>Nog af te bouwen regulatoir saldo einde 2020</v>
      </c>
      <c r="N689" s="212"/>
      <c r="Q689" s="167"/>
    </row>
    <row r="690" spans="2:17" x14ac:dyDescent="0.2">
      <c r="B690" s="1260">
        <v>2015</v>
      </c>
      <c r="C690" s="1261"/>
      <c r="D690" s="1261"/>
      <c r="E690" s="1262"/>
      <c r="F690" s="283"/>
      <c r="G690" s="177">
        <f>+M682</f>
        <v>0</v>
      </c>
      <c r="H690" s="1003">
        <f>IF(SIGN(G693*M685)&lt;0,IF(G690&lt;&gt;0,-SIGN(G690)*MIN(ABS(G693),ABS(G690)),0),0)</f>
        <v>0</v>
      </c>
      <c r="I690" s="177">
        <f>+G690+H690</f>
        <v>0</v>
      </c>
      <c r="J690" s="995"/>
      <c r="K690" s="566">
        <f>-MIN(ABS(I690),ABS(J694))*SIGN(I690)</f>
        <v>0</v>
      </c>
      <c r="L690" s="1003">
        <f>+K690+H690</f>
        <v>0</v>
      </c>
      <c r="M690" s="177">
        <f>+I690+K690</f>
        <v>0</v>
      </c>
      <c r="N690" s="212"/>
      <c r="Q690" s="167"/>
    </row>
    <row r="691" spans="2:17" x14ac:dyDescent="0.2">
      <c r="B691" s="1260">
        <v>2016</v>
      </c>
      <c r="C691" s="1261"/>
      <c r="D691" s="1261"/>
      <c r="E691" s="1262"/>
      <c r="F691" s="283"/>
      <c r="G691" s="177">
        <f>+M683</f>
        <v>0</v>
      </c>
      <c r="H691" s="1003">
        <f>IF(SIGN(G693*M685)&lt;0,IF(G691&lt;&gt;0,-SIGN(G691)*MIN(ABS(G693-H690),ABS(G691)),0),0)</f>
        <v>0</v>
      </c>
      <c r="I691" s="177">
        <f>+G691+H691</f>
        <v>0</v>
      </c>
      <c r="J691" s="995"/>
      <c r="K691" s="566">
        <f>-MIN(ABS(I691),ABS(J694-K690))*SIGN(I691)</f>
        <v>0</v>
      </c>
      <c r="L691" s="1003">
        <f>+K691+H691</f>
        <v>0</v>
      </c>
      <c r="M691" s="177">
        <f>+I691+K691</f>
        <v>0</v>
      </c>
      <c r="N691" s="212"/>
      <c r="Q691" s="167"/>
    </row>
    <row r="692" spans="2:17" x14ac:dyDescent="0.2">
      <c r="B692" s="1260">
        <v>2017</v>
      </c>
      <c r="C692" s="1261"/>
      <c r="D692" s="1261">
        <v>2016</v>
      </c>
      <c r="E692" s="1262"/>
      <c r="F692" s="283"/>
      <c r="G692" s="177">
        <f>+M684</f>
        <v>0</v>
      </c>
      <c r="H692" s="1003">
        <f>IF(SIGN(G693*M685)&lt;0,IF(G692&lt;&gt;0,-SIGN(G692)*MIN(ABS(G693-H690-H691),ABS(G692)),0),0)</f>
        <v>0</v>
      </c>
      <c r="I692" s="177">
        <f>+G692+H692</f>
        <v>0</v>
      </c>
      <c r="J692" s="995"/>
      <c r="K692" s="566">
        <f>-MIN(ABS(I692),ABS(J694-K690-K691))*SIGN(I692)</f>
        <v>0</v>
      </c>
      <c r="L692" s="1003">
        <f>+K692+H692</f>
        <v>0</v>
      </c>
      <c r="M692" s="177">
        <f>+I692+K692</f>
        <v>0</v>
      </c>
      <c r="N692" s="212"/>
      <c r="Q692" s="167"/>
    </row>
    <row r="693" spans="2:17" x14ac:dyDescent="0.2">
      <c r="B693" s="1260">
        <v>2018</v>
      </c>
      <c r="C693" s="1261"/>
      <c r="D693" s="1261"/>
      <c r="E693" s="1262"/>
      <c r="F693" s="283"/>
      <c r="G693" s="177">
        <f>J198</f>
        <v>0</v>
      </c>
      <c r="H693" s="1003">
        <f>IF(SIGN(G693*M685)&lt;0,-SUM(H690:H692),0)</f>
        <v>0</v>
      </c>
      <c r="I693" s="177">
        <f>+G693+H693</f>
        <v>0</v>
      </c>
      <c r="J693" s="995"/>
      <c r="K693" s="566">
        <f>-MIN(ABS(I693),ABS(J694-K690-K691-K692))*SIGN(I693)</f>
        <v>0</v>
      </c>
      <c r="L693" s="1003">
        <f>+K693+H693</f>
        <v>0</v>
      </c>
      <c r="M693" s="177">
        <f>+I693+K693</f>
        <v>0</v>
      </c>
      <c r="N693" s="212"/>
      <c r="Q693" s="167"/>
    </row>
    <row r="694" spans="2:17" s="281" customFormat="1" x14ac:dyDescent="0.2">
      <c r="G694" s="284">
        <f>SUM(G690:G693)</f>
        <v>0</v>
      </c>
      <c r="H694" s="169">
        <f>SUM(H690:H693)</f>
        <v>0</v>
      </c>
      <c r="I694" s="284">
        <f>SUM(I690:I693)</f>
        <v>0</v>
      </c>
      <c r="J694" s="284">
        <f>-I694*0.6</f>
        <v>0</v>
      </c>
      <c r="K694" s="169">
        <f>SUM(K690:K693)</f>
        <v>0</v>
      </c>
      <c r="L694" s="169"/>
      <c r="M694" s="284">
        <f>SUM(M690:M693)</f>
        <v>0</v>
      </c>
    </row>
    <row r="695" spans="2:17" x14ac:dyDescent="0.2">
      <c r="Q695" s="167"/>
    </row>
    <row r="696" spans="2:17" x14ac:dyDescent="0.2">
      <c r="B696" s="281" t="s">
        <v>172</v>
      </c>
      <c r="F696" s="1000">
        <v>2021</v>
      </c>
      <c r="Q696" s="167"/>
    </row>
    <row r="697" spans="2:17" x14ac:dyDescent="0.2">
      <c r="Q697" s="167"/>
    </row>
    <row r="698" spans="2:17" ht="102" customHeight="1" x14ac:dyDescent="0.2">
      <c r="B698" s="1257" t="s">
        <v>173</v>
      </c>
      <c r="C698" s="1258"/>
      <c r="D698" s="1258"/>
      <c r="E698" s="1259"/>
      <c r="F698" s="282"/>
      <c r="G698" s="166" t="str">
        <f>"Nog af te bouwen regulatoir saldo einde "&amp;F696-1</f>
        <v>Nog af te bouwen regulatoir saldo einde 2020</v>
      </c>
      <c r="H698" s="166" t="str">
        <f>"50% van oorspronkelijk saldo door te rekenen volgens de tariefmethodologie in het boekjaar "&amp;F696</f>
        <v>50% van oorspronkelijk saldo door te rekenen volgens de tariefmethodologie in het boekjaar 2021</v>
      </c>
      <c r="I698" s="166" t="str">
        <f>"Nog af te bouwen regulatoir saldo einde "&amp;F696</f>
        <v>Nog af te bouwen regulatoir saldo einde 2021</v>
      </c>
      <c r="J698" s="212"/>
      <c r="Q698" s="167"/>
    </row>
    <row r="699" spans="2:17" x14ac:dyDescent="0.2">
      <c r="B699" s="1260">
        <v>2015</v>
      </c>
      <c r="C699" s="1261"/>
      <c r="D699" s="1261"/>
      <c r="E699" s="1262"/>
      <c r="F699" s="283"/>
      <c r="G699" s="177">
        <f>M690</f>
        <v>0</v>
      </c>
      <c r="H699" s="177">
        <f>-G699*0.5</f>
        <v>0</v>
      </c>
      <c r="I699" s="177">
        <f>+G699+H699</f>
        <v>0</v>
      </c>
      <c r="J699" s="212"/>
      <c r="Q699" s="167"/>
    </row>
    <row r="700" spans="2:17" x14ac:dyDescent="0.2">
      <c r="B700" s="1260">
        <v>2016</v>
      </c>
      <c r="C700" s="1261"/>
      <c r="D700" s="1261"/>
      <c r="E700" s="1262"/>
      <c r="F700" s="283"/>
      <c r="G700" s="177">
        <f t="shared" ref="G700:G702" si="115">M691</f>
        <v>0</v>
      </c>
      <c r="H700" s="177">
        <f t="shared" ref="H700:H703" si="116">-G700*0.5</f>
        <v>0</v>
      </c>
      <c r="I700" s="177">
        <f t="shared" ref="I700:I703" si="117">+G700+H700</f>
        <v>0</v>
      </c>
      <c r="J700" s="212"/>
      <c r="Q700" s="167"/>
    </row>
    <row r="701" spans="2:17" x14ac:dyDescent="0.2">
      <c r="B701" s="1260">
        <v>2017</v>
      </c>
      <c r="C701" s="1261"/>
      <c r="D701" s="1261">
        <v>2016</v>
      </c>
      <c r="E701" s="1262"/>
      <c r="F701" s="283"/>
      <c r="G701" s="177">
        <f t="shared" si="115"/>
        <v>0</v>
      </c>
      <c r="H701" s="177">
        <f t="shared" si="116"/>
        <v>0</v>
      </c>
      <c r="I701" s="177">
        <f t="shared" si="117"/>
        <v>0</v>
      </c>
      <c r="J701" s="212"/>
      <c r="Q701" s="167"/>
    </row>
    <row r="702" spans="2:17" x14ac:dyDescent="0.2">
      <c r="B702" s="1260">
        <v>2018</v>
      </c>
      <c r="C702" s="1261"/>
      <c r="D702" s="1261"/>
      <c r="E702" s="1262"/>
      <c r="F702" s="283"/>
      <c r="G702" s="177">
        <f t="shared" si="115"/>
        <v>0</v>
      </c>
      <c r="H702" s="177">
        <f t="shared" si="116"/>
        <v>0</v>
      </c>
      <c r="I702" s="177">
        <f t="shared" si="117"/>
        <v>0</v>
      </c>
      <c r="J702" s="212"/>
      <c r="Q702" s="167"/>
    </row>
    <row r="703" spans="2:17" x14ac:dyDescent="0.2">
      <c r="B703" s="1260">
        <v>2019</v>
      </c>
      <c r="C703" s="1261"/>
      <c r="D703" s="1261"/>
      <c r="E703" s="1262"/>
      <c r="F703" s="283"/>
      <c r="G703" s="177">
        <f>K199</f>
        <v>0</v>
      </c>
      <c r="H703" s="177">
        <f t="shared" si="116"/>
        <v>0</v>
      </c>
      <c r="I703" s="177">
        <f t="shared" si="117"/>
        <v>0</v>
      </c>
      <c r="J703" s="212"/>
      <c r="Q703" s="167"/>
    </row>
    <row r="704" spans="2:17" s="281" customFormat="1" x14ac:dyDescent="0.2">
      <c r="G704" s="284">
        <f>SUM(G699:G703)</f>
        <v>0</v>
      </c>
      <c r="H704" s="284">
        <f>SUM(H699:H703)</f>
        <v>0</v>
      </c>
      <c r="I704" s="284">
        <f>SUM(I699:I703)</f>
        <v>0</v>
      </c>
    </row>
    <row r="705" spans="2:17" x14ac:dyDescent="0.2">
      <c r="Q705" s="167"/>
    </row>
    <row r="706" spans="2:17" x14ac:dyDescent="0.2">
      <c r="B706" s="847" t="s">
        <v>172</v>
      </c>
      <c r="C706" s="842"/>
      <c r="D706" s="842"/>
      <c r="E706" s="842"/>
      <c r="F706" s="1004">
        <v>2022</v>
      </c>
      <c r="G706" s="842"/>
      <c r="H706" s="842"/>
      <c r="I706" s="842"/>
      <c r="Q706" s="167"/>
    </row>
    <row r="707" spans="2:17" x14ac:dyDescent="0.2">
      <c r="B707" s="842"/>
      <c r="C707" s="842"/>
      <c r="D707" s="842"/>
      <c r="E707" s="842"/>
      <c r="F707" s="842"/>
      <c r="G707" s="842"/>
      <c r="H707" s="842"/>
      <c r="I707" s="842"/>
      <c r="Q707" s="167"/>
    </row>
    <row r="708" spans="2:17" ht="102" customHeight="1" x14ac:dyDescent="0.2">
      <c r="B708" s="1254" t="s">
        <v>173</v>
      </c>
      <c r="C708" s="1255"/>
      <c r="D708" s="1255"/>
      <c r="E708" s="1256"/>
      <c r="F708" s="848"/>
      <c r="G708" s="837" t="str">
        <f>"Nog af te bouwen regulatoir saldo einde "&amp;F706-1</f>
        <v>Nog af te bouwen regulatoir saldo einde 2021</v>
      </c>
      <c r="H708" s="837" t="str">
        <f>"50% van oorspronkelijk saldo door te rekenen volgens de tariefmethodologie in het boekjaar "&amp;F706</f>
        <v>50% van oorspronkelijk saldo door te rekenen volgens de tariefmethodologie in het boekjaar 2022</v>
      </c>
      <c r="I708" s="837" t="str">
        <f>"Nog af te bouwen regulatoir saldo einde "&amp;F706</f>
        <v>Nog af te bouwen regulatoir saldo einde 2022</v>
      </c>
      <c r="J708" s="212"/>
      <c r="Q708" s="167"/>
    </row>
    <row r="709" spans="2:17" x14ac:dyDescent="0.2">
      <c r="B709" s="1251">
        <v>2015</v>
      </c>
      <c r="C709" s="1252"/>
      <c r="D709" s="1252"/>
      <c r="E709" s="1253"/>
      <c r="F709" s="341"/>
      <c r="G709" s="339">
        <f>+I699</f>
        <v>0</v>
      </c>
      <c r="H709" s="339">
        <f>-G699*0.5</f>
        <v>0</v>
      </c>
      <c r="I709" s="339">
        <f>+G709+H709</f>
        <v>0</v>
      </c>
      <c r="J709" s="212"/>
      <c r="Q709" s="167"/>
    </row>
    <row r="710" spans="2:17" x14ac:dyDescent="0.2">
      <c r="B710" s="1251">
        <v>2016</v>
      </c>
      <c r="C710" s="1252"/>
      <c r="D710" s="1252"/>
      <c r="E710" s="1253"/>
      <c r="F710" s="341"/>
      <c r="G710" s="339">
        <f t="shared" ref="G710:G713" si="118">+I700</f>
        <v>0</v>
      </c>
      <c r="H710" s="339">
        <f t="shared" ref="H710:H713" si="119">-G700*0.5</f>
        <v>0</v>
      </c>
      <c r="I710" s="339">
        <f t="shared" ref="I710:I714" si="120">+G710+H710</f>
        <v>0</v>
      </c>
      <c r="J710" s="212"/>
      <c r="Q710" s="167"/>
    </row>
    <row r="711" spans="2:17" x14ac:dyDescent="0.2">
      <c r="B711" s="1251">
        <v>2017</v>
      </c>
      <c r="C711" s="1252"/>
      <c r="D711" s="1252">
        <v>2016</v>
      </c>
      <c r="E711" s="1253"/>
      <c r="F711" s="341"/>
      <c r="G711" s="339">
        <f t="shared" si="118"/>
        <v>0</v>
      </c>
      <c r="H711" s="339">
        <f t="shared" si="119"/>
        <v>0</v>
      </c>
      <c r="I711" s="339">
        <f t="shared" si="120"/>
        <v>0</v>
      </c>
      <c r="J711" s="212"/>
      <c r="Q711" s="167"/>
    </row>
    <row r="712" spans="2:17" x14ac:dyDescent="0.2">
      <c r="B712" s="1251">
        <v>2018</v>
      </c>
      <c r="C712" s="1252"/>
      <c r="D712" s="1252"/>
      <c r="E712" s="1253"/>
      <c r="F712" s="341"/>
      <c r="G712" s="339">
        <f t="shared" si="118"/>
        <v>0</v>
      </c>
      <c r="H712" s="339">
        <f t="shared" si="119"/>
        <v>0</v>
      </c>
      <c r="I712" s="339">
        <f t="shared" si="120"/>
        <v>0</v>
      </c>
      <c r="J712" s="212"/>
      <c r="Q712" s="167"/>
    </row>
    <row r="713" spans="2:17" x14ac:dyDescent="0.2">
      <c r="B713" s="1251">
        <v>2019</v>
      </c>
      <c r="C713" s="1252"/>
      <c r="D713" s="1252"/>
      <c r="E713" s="1253"/>
      <c r="F713" s="341"/>
      <c r="G713" s="339">
        <f t="shared" si="118"/>
        <v>0</v>
      </c>
      <c r="H713" s="339">
        <f t="shared" si="119"/>
        <v>0</v>
      </c>
      <c r="I713" s="339">
        <f t="shared" si="120"/>
        <v>0</v>
      </c>
      <c r="J713" s="212"/>
      <c r="Q713" s="167"/>
    </row>
    <row r="714" spans="2:17" x14ac:dyDescent="0.2">
      <c r="B714" s="1251">
        <v>2020</v>
      </c>
      <c r="C714" s="1252"/>
      <c r="D714" s="1252"/>
      <c r="E714" s="1253"/>
      <c r="F714" s="341"/>
      <c r="G714" s="339">
        <f>L200</f>
        <v>0</v>
      </c>
      <c r="H714" s="339">
        <f t="shared" ref="H714" si="121">-G714*0.5</f>
        <v>0</v>
      </c>
      <c r="I714" s="339">
        <f t="shared" si="120"/>
        <v>0</v>
      </c>
      <c r="J714" s="212"/>
      <c r="Q714" s="167"/>
    </row>
    <row r="715" spans="2:17" s="281" customFormat="1" x14ac:dyDescent="0.2">
      <c r="B715" s="847"/>
      <c r="C715" s="847"/>
      <c r="D715" s="847"/>
      <c r="E715" s="847"/>
      <c r="F715" s="847"/>
      <c r="G715" s="849">
        <f>SUM(G709:G714)</f>
        <v>0</v>
      </c>
      <c r="H715" s="849">
        <f t="shared" ref="H715" si="122">SUM(H709:H714)</f>
        <v>0</v>
      </c>
      <c r="I715" s="849">
        <f t="shared" ref="I715" si="123">SUM(I709:I714)</f>
        <v>0</v>
      </c>
    </row>
    <row r="716" spans="2:17" x14ac:dyDescent="0.2">
      <c r="B716" s="842"/>
      <c r="C716" s="842"/>
      <c r="D716" s="842"/>
      <c r="E716" s="842"/>
      <c r="F716" s="842"/>
      <c r="G716" s="842"/>
      <c r="H716" s="842"/>
      <c r="I716" s="842"/>
      <c r="Q716" s="167"/>
    </row>
    <row r="717" spans="2:17" x14ac:dyDescent="0.2">
      <c r="B717" s="847" t="s">
        <v>172</v>
      </c>
      <c r="C717" s="842"/>
      <c r="D717" s="842"/>
      <c r="E717" s="842"/>
      <c r="F717" s="1004">
        <v>2023</v>
      </c>
      <c r="G717" s="842"/>
      <c r="H717" s="842"/>
      <c r="I717" s="842"/>
      <c r="Q717" s="167"/>
    </row>
    <row r="718" spans="2:17" x14ac:dyDescent="0.2">
      <c r="B718" s="842"/>
      <c r="C718" s="842"/>
      <c r="D718" s="842"/>
      <c r="E718" s="842"/>
      <c r="F718" s="842"/>
      <c r="G718" s="842"/>
      <c r="H718" s="842"/>
      <c r="I718" s="842"/>
      <c r="Q718" s="167"/>
    </row>
    <row r="719" spans="2:17" ht="102" customHeight="1" x14ac:dyDescent="0.2">
      <c r="B719" s="1254" t="s">
        <v>173</v>
      </c>
      <c r="C719" s="1255"/>
      <c r="D719" s="1255"/>
      <c r="E719" s="1256"/>
      <c r="F719" s="848"/>
      <c r="G719" s="837" t="str">
        <f>"Nog af te bouwen regulatoir saldo einde "&amp;F717-1</f>
        <v>Nog af te bouwen regulatoir saldo einde 2022</v>
      </c>
      <c r="H719" s="837" t="str">
        <f>"50% van oorspronkelijk saldo door te rekenen volgens de tariefmethodologie in het boekjaar "&amp;F717</f>
        <v>50% van oorspronkelijk saldo door te rekenen volgens de tariefmethodologie in het boekjaar 2023</v>
      </c>
      <c r="I719" s="837" t="str">
        <f>"Nog af te bouwen regulatoir saldo einde "&amp;F717</f>
        <v>Nog af te bouwen regulatoir saldo einde 2023</v>
      </c>
      <c r="J719" s="212"/>
      <c r="Q719" s="167"/>
    </row>
    <row r="720" spans="2:17" x14ac:dyDescent="0.2">
      <c r="B720" s="1251">
        <v>2020</v>
      </c>
      <c r="C720" s="1252"/>
      <c r="D720" s="1252"/>
      <c r="E720" s="1253"/>
      <c r="F720" s="341"/>
      <c r="G720" s="339">
        <f>+I714</f>
        <v>0</v>
      </c>
      <c r="H720" s="339">
        <f>-G714*0.5</f>
        <v>0</v>
      </c>
      <c r="I720" s="339">
        <f t="shared" ref="I720:I721" si="124">+G720+H720</f>
        <v>0</v>
      </c>
      <c r="J720" s="212"/>
      <c r="Q720" s="167"/>
    </row>
    <row r="721" spans="2:17" x14ac:dyDescent="0.2">
      <c r="B721" s="1251">
        <v>2021</v>
      </c>
      <c r="C721" s="1252"/>
      <c r="D721" s="1252"/>
      <c r="E721" s="1253"/>
      <c r="F721" s="341"/>
      <c r="G721" s="339">
        <f>M201</f>
        <v>0</v>
      </c>
      <c r="H721" s="339">
        <f t="shared" ref="H721" si="125">-G721*0.5</f>
        <v>0</v>
      </c>
      <c r="I721" s="339">
        <f t="shared" si="124"/>
        <v>0</v>
      </c>
      <c r="J721" s="212"/>
      <c r="Q721" s="167"/>
    </row>
    <row r="722" spans="2:17" s="281" customFormat="1" x14ac:dyDescent="0.2">
      <c r="B722" s="847"/>
      <c r="C722" s="847"/>
      <c r="D722" s="847"/>
      <c r="E722" s="847"/>
      <c r="F722" s="847"/>
      <c r="G722" s="849">
        <f>SUM(G720:G721)</f>
        <v>0</v>
      </c>
      <c r="H722" s="849">
        <f>SUM(H720:H721)</f>
        <v>0</v>
      </c>
      <c r="I722" s="849">
        <f>SUM(I720:I721)</f>
        <v>0</v>
      </c>
    </row>
    <row r="723" spans="2:17" x14ac:dyDescent="0.2">
      <c r="B723" s="842"/>
      <c r="C723" s="842"/>
      <c r="D723" s="842"/>
      <c r="E723" s="842"/>
      <c r="F723" s="842"/>
      <c r="G723" s="842"/>
      <c r="H723" s="842"/>
      <c r="I723" s="842"/>
      <c r="Q723" s="167"/>
    </row>
    <row r="724" spans="2:17" x14ac:dyDescent="0.2">
      <c r="B724" s="847" t="s">
        <v>172</v>
      </c>
      <c r="C724" s="842"/>
      <c r="D724" s="842"/>
      <c r="E724" s="842"/>
      <c r="F724" s="1004">
        <v>2024</v>
      </c>
      <c r="G724" s="842"/>
      <c r="H724" s="842"/>
      <c r="I724" s="842"/>
      <c r="Q724" s="167"/>
    </row>
    <row r="725" spans="2:17" x14ac:dyDescent="0.2">
      <c r="B725" s="842"/>
      <c r="C725" s="842"/>
      <c r="D725" s="842"/>
      <c r="E725" s="842"/>
      <c r="F725" s="842"/>
      <c r="G725" s="842"/>
      <c r="H725" s="842"/>
      <c r="I725" s="842"/>
      <c r="Q725" s="167"/>
    </row>
    <row r="726" spans="2:17" ht="102" customHeight="1" x14ac:dyDescent="0.2">
      <c r="B726" s="1254" t="s">
        <v>173</v>
      </c>
      <c r="C726" s="1255"/>
      <c r="D726" s="1255"/>
      <c r="E726" s="1256"/>
      <c r="F726" s="848"/>
      <c r="G726" s="837" t="str">
        <f>"Nog af te bouwen regulatoir saldo einde "&amp;F724-1</f>
        <v>Nog af te bouwen regulatoir saldo einde 2023</v>
      </c>
      <c r="H726" s="837" t="str">
        <f>"50% van oorspronkelijk saldo door te rekenen volgens de tariefmethodologie in het boekjaar "&amp;F724</f>
        <v>50% van oorspronkelijk saldo door te rekenen volgens de tariefmethodologie in het boekjaar 2024</v>
      </c>
      <c r="I726" s="837" t="str">
        <f>"Nog af te bouwen regulatoir saldo einde "&amp;F724</f>
        <v>Nog af te bouwen regulatoir saldo einde 2024</v>
      </c>
      <c r="J726" s="212"/>
      <c r="Q726" s="167"/>
    </row>
    <row r="727" spans="2:17" x14ac:dyDescent="0.2">
      <c r="B727" s="1251">
        <v>2021</v>
      </c>
      <c r="C727" s="1252"/>
      <c r="D727" s="1252"/>
      <c r="E727" s="1253"/>
      <c r="F727" s="341"/>
      <c r="G727" s="339">
        <f>+I721</f>
        <v>0</v>
      </c>
      <c r="H727" s="339">
        <f>-G721*0.5</f>
        <v>0</v>
      </c>
      <c r="I727" s="339">
        <f t="shared" ref="I727:I728" si="126">+G727+H727</f>
        <v>0</v>
      </c>
      <c r="J727" s="212"/>
      <c r="Q727" s="167"/>
    </row>
    <row r="728" spans="2:17" x14ac:dyDescent="0.2">
      <c r="B728" s="1251">
        <v>2022</v>
      </c>
      <c r="C728" s="1252"/>
      <c r="D728" s="1252"/>
      <c r="E728" s="1253"/>
      <c r="F728" s="341"/>
      <c r="G728" s="339">
        <f>N202</f>
        <v>0</v>
      </c>
      <c r="H728" s="339">
        <f t="shared" ref="H728" si="127">-G728*0.5</f>
        <v>0</v>
      </c>
      <c r="I728" s="339">
        <f t="shared" si="126"/>
        <v>0</v>
      </c>
      <c r="J728" s="212"/>
      <c r="Q728" s="167"/>
    </row>
    <row r="729" spans="2:17" s="281" customFormat="1" x14ac:dyDescent="0.2">
      <c r="B729" s="847"/>
      <c r="C729" s="847"/>
      <c r="D729" s="847"/>
      <c r="E729" s="847"/>
      <c r="F729" s="847"/>
      <c r="G729" s="849">
        <f>SUM(G727:G728)</f>
        <v>0</v>
      </c>
      <c r="H729" s="849">
        <f>SUM(H727:H728)</f>
        <v>0</v>
      </c>
      <c r="I729" s="849">
        <f>SUM(I727:I728)</f>
        <v>0</v>
      </c>
    </row>
    <row r="730" spans="2:17" x14ac:dyDescent="0.2">
      <c r="Q730" s="167"/>
    </row>
    <row r="731" spans="2:17" x14ac:dyDescent="0.2">
      <c r="B731" s="281" t="str">
        <f>B665</f>
        <v>De tariefposten in verband met de belastingen, heffingen, toeslagen, bijdragen en retributies</v>
      </c>
      <c r="Q731" s="167"/>
    </row>
    <row r="732" spans="2:17" x14ac:dyDescent="0.2">
      <c r="B732" s="281" t="s">
        <v>174</v>
      </c>
      <c r="C732" s="224"/>
      <c r="D732" s="224"/>
      <c r="E732" s="224"/>
      <c r="Q732" s="167"/>
    </row>
    <row r="733" spans="2:17" x14ac:dyDescent="0.2">
      <c r="B733" s="281"/>
      <c r="C733" s="224"/>
      <c r="D733" s="224"/>
      <c r="E733" s="224"/>
      <c r="Q733" s="167"/>
    </row>
    <row r="734" spans="2:17" x14ac:dyDescent="0.2">
      <c r="B734" s="283">
        <v>2021</v>
      </c>
      <c r="C734" s="287">
        <f>+H704</f>
        <v>0</v>
      </c>
      <c r="D734" s="224"/>
      <c r="E734" s="224"/>
      <c r="Q734" s="167"/>
    </row>
    <row r="735" spans="2:17" x14ac:dyDescent="0.2">
      <c r="B735" s="341">
        <v>2022</v>
      </c>
      <c r="C735" s="342">
        <f>+H715</f>
        <v>0</v>
      </c>
      <c r="D735" s="224"/>
      <c r="E735" s="224"/>
      <c r="Q735" s="167"/>
    </row>
    <row r="736" spans="2:17" x14ac:dyDescent="0.2">
      <c r="B736" s="341">
        <v>2023</v>
      </c>
      <c r="C736" s="342">
        <f>+H722</f>
        <v>0</v>
      </c>
      <c r="D736" s="224"/>
      <c r="E736" s="224"/>
      <c r="Q736" s="167"/>
    </row>
    <row r="737" spans="2:17" x14ac:dyDescent="0.2">
      <c r="B737" s="341">
        <v>2024</v>
      </c>
      <c r="C737" s="342">
        <f>+H729</f>
        <v>0</v>
      </c>
      <c r="D737" s="224"/>
      <c r="E737" s="224"/>
      <c r="P737" s="209"/>
      <c r="Q737" s="167"/>
    </row>
    <row r="738" spans="2:17" x14ac:dyDescent="0.2">
      <c r="P738" s="212"/>
      <c r="Q738" s="167"/>
    </row>
    <row r="739" spans="2:17" x14ac:dyDescent="0.2">
      <c r="P739" s="212"/>
      <c r="Q739" s="167"/>
    </row>
  </sheetData>
  <sheetProtection algorithmName="SHA-512" hashValue="LHCV/7sqkVF384m6D5ceu4tdxKvvsi82xwaKL4gtGR96bN0Msv9QW3Dd281kDgFI81oTr8rhUgCsDkC3xLjhfQ==" saltValue="R/STElAmsmq4ulRXUDHmdg==" spinCount="100000" sheet="1" objects="1" scenarios="1"/>
  <mergeCells count="424">
    <mergeCell ref="B692:E692"/>
    <mergeCell ref="B693:E693"/>
    <mergeCell ref="B674:E674"/>
    <mergeCell ref="B675:E675"/>
    <mergeCell ref="B676:E676"/>
    <mergeCell ref="B681:E681"/>
    <mergeCell ref="B682:E682"/>
    <mergeCell ref="B683:E683"/>
    <mergeCell ref="B638:E638"/>
    <mergeCell ref="B639:E639"/>
    <mergeCell ref="B644:E644"/>
    <mergeCell ref="B669:E669"/>
    <mergeCell ref="B670:E670"/>
    <mergeCell ref="B684:E684"/>
    <mergeCell ref="B689:E689"/>
    <mergeCell ref="B690:E690"/>
    <mergeCell ref="B691:E691"/>
    <mergeCell ref="B653:E653"/>
    <mergeCell ref="B652:E652"/>
    <mergeCell ref="B625:E625"/>
    <mergeCell ref="B626:E626"/>
    <mergeCell ref="B627:E627"/>
    <mergeCell ref="B628:E628"/>
    <mergeCell ref="B633:E633"/>
    <mergeCell ref="B634:E634"/>
    <mergeCell ref="B635:E635"/>
    <mergeCell ref="B636:E636"/>
    <mergeCell ref="B637:E637"/>
    <mergeCell ref="B552:E552"/>
    <mergeCell ref="B557:E557"/>
    <mergeCell ref="B558:E558"/>
    <mergeCell ref="B559:E559"/>
    <mergeCell ref="B617:E617"/>
    <mergeCell ref="B618:E618"/>
    <mergeCell ref="B607:E607"/>
    <mergeCell ref="B608:E608"/>
    <mergeCell ref="B609:E609"/>
    <mergeCell ref="B614:E614"/>
    <mergeCell ref="B615:E615"/>
    <mergeCell ref="B616:E616"/>
    <mergeCell ref="B573:E573"/>
    <mergeCell ref="B578:E578"/>
    <mergeCell ref="B594:E594"/>
    <mergeCell ref="B595:E595"/>
    <mergeCell ref="B599:E599"/>
    <mergeCell ref="B600:E600"/>
    <mergeCell ref="B601:E601"/>
    <mergeCell ref="B606:E606"/>
    <mergeCell ref="B535:E535"/>
    <mergeCell ref="B540:E540"/>
    <mergeCell ref="B541:E541"/>
    <mergeCell ref="B542:E542"/>
    <mergeCell ref="B474:E474"/>
    <mergeCell ref="B475:E475"/>
    <mergeCell ref="B476:E476"/>
    <mergeCell ref="B477:E477"/>
    <mergeCell ref="B528:E528"/>
    <mergeCell ref="B529:E529"/>
    <mergeCell ref="B493:E493"/>
    <mergeCell ref="B494:E494"/>
    <mergeCell ref="B495:E495"/>
    <mergeCell ref="B496:E496"/>
    <mergeCell ref="B497:E497"/>
    <mergeCell ref="B498:E498"/>
    <mergeCell ref="B503:E503"/>
    <mergeCell ref="B504:E504"/>
    <mergeCell ref="B505:E505"/>
    <mergeCell ref="B427:E427"/>
    <mergeCell ref="B428:E428"/>
    <mergeCell ref="B429:E429"/>
    <mergeCell ref="B430:E430"/>
    <mergeCell ref="B431:E431"/>
    <mergeCell ref="B436:E436"/>
    <mergeCell ref="B437:E437"/>
    <mergeCell ref="B533:E533"/>
    <mergeCell ref="B534:E534"/>
    <mergeCell ref="B460:E460"/>
    <mergeCell ref="B465:E465"/>
    <mergeCell ref="B466:E466"/>
    <mergeCell ref="B467:E467"/>
    <mergeCell ref="B468:E468"/>
    <mergeCell ref="B473:E473"/>
    <mergeCell ref="B453:E453"/>
    <mergeCell ref="B454:E454"/>
    <mergeCell ref="B458:E458"/>
    <mergeCell ref="B459:E459"/>
    <mergeCell ref="B510:E510"/>
    <mergeCell ref="B276:E276"/>
    <mergeCell ref="B277:E277"/>
    <mergeCell ref="B278:E278"/>
    <mergeCell ref="B279:E279"/>
    <mergeCell ref="B280:E280"/>
    <mergeCell ref="B281:E281"/>
    <mergeCell ref="B420:E420"/>
    <mergeCell ref="B425:E425"/>
    <mergeCell ref="B426:E426"/>
    <mergeCell ref="B341:E341"/>
    <mergeCell ref="B342:E342"/>
    <mergeCell ref="B343:E343"/>
    <mergeCell ref="B344:E344"/>
    <mergeCell ref="B345:E345"/>
    <mergeCell ref="B332:E332"/>
    <mergeCell ref="B333:E333"/>
    <mergeCell ref="B334:E334"/>
    <mergeCell ref="B335:E335"/>
    <mergeCell ref="B350:E350"/>
    <mergeCell ref="B351:E351"/>
    <mergeCell ref="B352:E352"/>
    <mergeCell ref="B353:E353"/>
    <mergeCell ref="B354:E354"/>
    <mergeCell ref="B355:E355"/>
    <mergeCell ref="B252:E252"/>
    <mergeCell ref="B257:E257"/>
    <mergeCell ref="B258:E258"/>
    <mergeCell ref="B259:E259"/>
    <mergeCell ref="B266:E266"/>
    <mergeCell ref="B267:E267"/>
    <mergeCell ref="B268:E268"/>
    <mergeCell ref="B269:E269"/>
    <mergeCell ref="B271:E271"/>
    <mergeCell ref="B270:E270"/>
    <mergeCell ref="B211:E211"/>
    <mergeCell ref="B216:E216"/>
    <mergeCell ref="B24:E24"/>
    <mergeCell ref="B108:E108"/>
    <mergeCell ref="B121:E121"/>
    <mergeCell ref="B217:E217"/>
    <mergeCell ref="B203:E203"/>
    <mergeCell ref="B206:E206"/>
    <mergeCell ref="B207:E207"/>
    <mergeCell ref="B208:E208"/>
    <mergeCell ref="B209:E209"/>
    <mergeCell ref="B210:E210"/>
    <mergeCell ref="B193:E193"/>
    <mergeCell ref="B194:E194"/>
    <mergeCell ref="B195:E195"/>
    <mergeCell ref="B196:E196"/>
    <mergeCell ref="B197:E197"/>
    <mergeCell ref="B173:E173"/>
    <mergeCell ref="B174:E174"/>
    <mergeCell ref="B169:E169"/>
    <mergeCell ref="B177:E177"/>
    <mergeCell ref="B178:E178"/>
    <mergeCell ref="B179:E179"/>
    <mergeCell ref="B198:E198"/>
    <mergeCell ref="B183:E183"/>
    <mergeCell ref="B184:E184"/>
    <mergeCell ref="B185:E185"/>
    <mergeCell ref="B186:E186"/>
    <mergeCell ref="B187:E187"/>
    <mergeCell ref="B192:E192"/>
    <mergeCell ref="B188:E188"/>
    <mergeCell ref="B189:E189"/>
    <mergeCell ref="B190:E190"/>
    <mergeCell ref="B191:E191"/>
    <mergeCell ref="B32:E32"/>
    <mergeCell ref="B33:E33"/>
    <mergeCell ref="B34:E34"/>
    <mergeCell ref="B42:E42"/>
    <mergeCell ref="B84:E84"/>
    <mergeCell ref="B125:E125"/>
    <mergeCell ref="B45:E45"/>
    <mergeCell ref="B46:E46"/>
    <mergeCell ref="B95:E95"/>
    <mergeCell ref="B88:E88"/>
    <mergeCell ref="B89:E89"/>
    <mergeCell ref="B90:E90"/>
    <mergeCell ref="B101:E101"/>
    <mergeCell ref="B106:E106"/>
    <mergeCell ref="B112:E112"/>
    <mergeCell ref="B110:E110"/>
    <mergeCell ref="B96:E96"/>
    <mergeCell ref="B63:E63"/>
    <mergeCell ref="B74:E74"/>
    <mergeCell ref="B85:E85"/>
    <mergeCell ref="B65:E65"/>
    <mergeCell ref="B64:E64"/>
    <mergeCell ref="B97:E97"/>
    <mergeCell ref="B82:E82"/>
    <mergeCell ref="A1:J1"/>
    <mergeCell ref="B4:E4"/>
    <mergeCell ref="B7:E7"/>
    <mergeCell ref="B13:E13"/>
    <mergeCell ref="B15:E15"/>
    <mergeCell ref="B16:E16"/>
    <mergeCell ref="B31:E31"/>
    <mergeCell ref="B23:E23"/>
    <mergeCell ref="B28:E28"/>
    <mergeCell ref="B30:E30"/>
    <mergeCell ref="B17:E17"/>
    <mergeCell ref="B18:E18"/>
    <mergeCell ref="B19:E19"/>
    <mergeCell ref="B20:E20"/>
    <mergeCell ref="B21:E21"/>
    <mergeCell ref="B35:E35"/>
    <mergeCell ref="B56:E56"/>
    <mergeCell ref="B43:E43"/>
    <mergeCell ref="B54:E54"/>
    <mergeCell ref="B53:E53"/>
    <mergeCell ref="B51:E51"/>
    <mergeCell ref="B57:E57"/>
    <mergeCell ref="B55:E55"/>
    <mergeCell ref="B41:E41"/>
    <mergeCell ref="B52:E52"/>
    <mergeCell ref="B44:E44"/>
    <mergeCell ref="B36:E36"/>
    <mergeCell ref="B37:E37"/>
    <mergeCell ref="B38:E38"/>
    <mergeCell ref="B39:E39"/>
    <mergeCell ref="B47:E47"/>
    <mergeCell ref="B48:E48"/>
    <mergeCell ref="B49:E49"/>
    <mergeCell ref="B50:E50"/>
    <mergeCell ref="B145:E145"/>
    <mergeCell ref="B146:E146"/>
    <mergeCell ref="B147:E147"/>
    <mergeCell ref="B155:E155"/>
    <mergeCell ref="B172:E172"/>
    <mergeCell ref="B153:E153"/>
    <mergeCell ref="B143:E143"/>
    <mergeCell ref="B148:E148"/>
    <mergeCell ref="B149:E149"/>
    <mergeCell ref="B150:E150"/>
    <mergeCell ref="B151:E151"/>
    <mergeCell ref="B175:E175"/>
    <mergeCell ref="B176:E176"/>
    <mergeCell ref="B181:E181"/>
    <mergeCell ref="B182:E182"/>
    <mergeCell ref="B163:E163"/>
    <mergeCell ref="B164:E164"/>
    <mergeCell ref="B165:E165"/>
    <mergeCell ref="B170:E170"/>
    <mergeCell ref="B171:E171"/>
    <mergeCell ref="B168:E168"/>
    <mergeCell ref="B180:E180"/>
    <mergeCell ref="B167:E167"/>
    <mergeCell ref="B91:E91"/>
    <mergeCell ref="B92:E92"/>
    <mergeCell ref="B62:E62"/>
    <mergeCell ref="B116:E116"/>
    <mergeCell ref="B117:E117"/>
    <mergeCell ref="B118:E118"/>
    <mergeCell ref="B127:E127"/>
    <mergeCell ref="B113:E113"/>
    <mergeCell ref="B114:E114"/>
    <mergeCell ref="B98:E98"/>
    <mergeCell ref="B99:E99"/>
    <mergeCell ref="B100:E100"/>
    <mergeCell ref="B75:E75"/>
    <mergeCell ref="B87:E87"/>
    <mergeCell ref="B86:E86"/>
    <mergeCell ref="B94:E94"/>
    <mergeCell ref="B77:E77"/>
    <mergeCell ref="B78:E78"/>
    <mergeCell ref="B79:E79"/>
    <mergeCell ref="B66:E66"/>
    <mergeCell ref="B73:E73"/>
    <mergeCell ref="B68:E68"/>
    <mergeCell ref="B119:E119"/>
    <mergeCell ref="B81:E81"/>
    <mergeCell ref="B58:E58"/>
    <mergeCell ref="B59:E59"/>
    <mergeCell ref="B60:E60"/>
    <mergeCell ref="B61:E61"/>
    <mergeCell ref="B69:E69"/>
    <mergeCell ref="B70:E70"/>
    <mergeCell ref="B71:E71"/>
    <mergeCell ref="B72:E72"/>
    <mergeCell ref="B80:E80"/>
    <mergeCell ref="B93:E93"/>
    <mergeCell ref="B40:E40"/>
    <mergeCell ref="B76:E76"/>
    <mergeCell ref="B67:E67"/>
    <mergeCell ref="B83:E83"/>
    <mergeCell ref="B156:E156"/>
    <mergeCell ref="B157:E157"/>
    <mergeCell ref="B158:E158"/>
    <mergeCell ref="B166:E166"/>
    <mergeCell ref="B154:E154"/>
    <mergeCell ref="B159:E159"/>
    <mergeCell ref="B160:E160"/>
    <mergeCell ref="B161:E161"/>
    <mergeCell ref="B162:E162"/>
    <mergeCell ref="B152:E152"/>
    <mergeCell ref="B102:E102"/>
    <mergeCell ref="B103:E103"/>
    <mergeCell ref="B104:E104"/>
    <mergeCell ref="B105:E105"/>
    <mergeCell ref="B133:E133"/>
    <mergeCell ref="B134:E134"/>
    <mergeCell ref="B135:E135"/>
    <mergeCell ref="B136:E136"/>
    <mergeCell ref="B144:E144"/>
    <mergeCell ref="B115:E115"/>
    <mergeCell ref="B120:E120"/>
    <mergeCell ref="B137:E137"/>
    <mergeCell ref="B129:E129"/>
    <mergeCell ref="B130:E130"/>
    <mergeCell ref="B131:E131"/>
    <mergeCell ref="B132:E132"/>
    <mergeCell ref="B111:E111"/>
    <mergeCell ref="B138:E138"/>
    <mergeCell ref="B139:E139"/>
    <mergeCell ref="B140:E140"/>
    <mergeCell ref="B141:E141"/>
    <mergeCell ref="B142:E142"/>
    <mergeCell ref="B128:E128"/>
    <mergeCell ref="B287:E287"/>
    <mergeCell ref="B282:E282"/>
    <mergeCell ref="B289:E289"/>
    <mergeCell ref="B288:E288"/>
    <mergeCell ref="B199:E199"/>
    <mergeCell ref="B200:E200"/>
    <mergeCell ref="B201:E201"/>
    <mergeCell ref="B202:E202"/>
    <mergeCell ref="B212:E212"/>
    <mergeCell ref="B213:E213"/>
    <mergeCell ref="B214:E214"/>
    <mergeCell ref="B215:E215"/>
    <mergeCell ref="B228:E228"/>
    <mergeCell ref="B230:E230"/>
    <mergeCell ref="B226:E226"/>
    <mergeCell ref="B227:E227"/>
    <mergeCell ref="B224:E224"/>
    <mergeCell ref="B237:E237"/>
    <mergeCell ref="B238:E238"/>
    <mergeCell ref="B242:E242"/>
    <mergeCell ref="B243:E243"/>
    <mergeCell ref="B225:E225"/>
    <mergeCell ref="B222:E222"/>
    <mergeCell ref="B244:E244"/>
    <mergeCell ref="B294:E294"/>
    <mergeCell ref="B295:E295"/>
    <mergeCell ref="B296:E296"/>
    <mergeCell ref="B340:E340"/>
    <mergeCell ref="B318:E318"/>
    <mergeCell ref="B323:E323"/>
    <mergeCell ref="B324:E324"/>
    <mergeCell ref="B325:E325"/>
    <mergeCell ref="B326:E326"/>
    <mergeCell ref="B331:E331"/>
    <mergeCell ref="B249:E249"/>
    <mergeCell ref="B260:E260"/>
    <mergeCell ref="B261:E261"/>
    <mergeCell ref="B311:E311"/>
    <mergeCell ref="B312:E312"/>
    <mergeCell ref="B316:E316"/>
    <mergeCell ref="B317:E317"/>
    <mergeCell ref="B250:E250"/>
    <mergeCell ref="B251:E251"/>
    <mergeCell ref="B356:E356"/>
    <mergeCell ref="B361:E361"/>
    <mergeCell ref="B362:E362"/>
    <mergeCell ref="B363:E363"/>
    <mergeCell ref="B368:E368"/>
    <mergeCell ref="B369:E369"/>
    <mergeCell ref="B370:E370"/>
    <mergeCell ref="B415:E415"/>
    <mergeCell ref="B416:E416"/>
    <mergeCell ref="B386:E386"/>
    <mergeCell ref="B387:E387"/>
    <mergeCell ref="B391:E391"/>
    <mergeCell ref="B392:E392"/>
    <mergeCell ref="B393:E393"/>
    <mergeCell ref="B398:E398"/>
    <mergeCell ref="B417:E417"/>
    <mergeCell ref="B418:E418"/>
    <mergeCell ref="B419:E419"/>
    <mergeCell ref="B399:E399"/>
    <mergeCell ref="B400:E400"/>
    <mergeCell ref="B401:E401"/>
    <mergeCell ref="B406:E406"/>
    <mergeCell ref="B407:E407"/>
    <mergeCell ref="B408:E408"/>
    <mergeCell ref="B409:E409"/>
    <mergeCell ref="B410:E410"/>
    <mergeCell ref="B624:E624"/>
    <mergeCell ref="B482:E482"/>
    <mergeCell ref="B483:E483"/>
    <mergeCell ref="B484:E484"/>
    <mergeCell ref="B485:E485"/>
    <mergeCell ref="B486:E486"/>
    <mergeCell ref="B487:E487"/>
    <mergeCell ref="B492:E492"/>
    <mergeCell ref="B511:E511"/>
    <mergeCell ref="B512:E512"/>
    <mergeCell ref="B560:E560"/>
    <mergeCell ref="B561:E561"/>
    <mergeCell ref="B562:E562"/>
    <mergeCell ref="B567:E567"/>
    <mergeCell ref="B568:E568"/>
    <mergeCell ref="B569:E569"/>
    <mergeCell ref="B570:E570"/>
    <mergeCell ref="B571:E571"/>
    <mergeCell ref="B572:E572"/>
    <mergeCell ref="B543:E543"/>
    <mergeCell ref="B548:E548"/>
    <mergeCell ref="B549:E549"/>
    <mergeCell ref="B550:E550"/>
    <mergeCell ref="B551:E551"/>
    <mergeCell ref="B721:E721"/>
    <mergeCell ref="B726:E726"/>
    <mergeCell ref="B727:E727"/>
    <mergeCell ref="B728:E728"/>
    <mergeCell ref="B579:E579"/>
    <mergeCell ref="B708:E708"/>
    <mergeCell ref="B709:E709"/>
    <mergeCell ref="B710:E710"/>
    <mergeCell ref="B711:E711"/>
    <mergeCell ref="B712:E712"/>
    <mergeCell ref="B713:E713"/>
    <mergeCell ref="B714:E714"/>
    <mergeCell ref="B719:E719"/>
    <mergeCell ref="B720:E720"/>
    <mergeCell ref="B698:E698"/>
    <mergeCell ref="B699:E699"/>
    <mergeCell ref="B700:E700"/>
    <mergeCell ref="B701:E701"/>
    <mergeCell ref="B702:E702"/>
    <mergeCell ref="B703:E703"/>
    <mergeCell ref="B645:E645"/>
    <mergeCell ref="B646:E646"/>
    <mergeCell ref="B651:E651"/>
    <mergeCell ref="B623:E623"/>
  </mergeCells>
  <conditionalFormatting sqref="B19:P20 R19:R20 B524:F524 B526:F526 B528:K529 B531:F531 B533:M536 B538:F538 B540:M544 B546:F546 B548:M553 B555:F555 B557:I563 B565:F565 B567:I574 B582:F582 B590:E590 B592:F592 B594:K595 B597:F597 B599:M602 B604:F604 B606:M610 B612:F612 B614:M619 B621:F621 B623:I629 B631:F631 B633:I640 B642:F642 B644:I647 B649:F649 B651:I654 B657:F657 B659:C662 B74:P95 R74:R95 B578:I580 B584:C586 B171:P192 R171:R192 B227:G227">
    <cfRule type="expression" dxfId="49" priority="5">
      <formula>$B$7="gas"</formula>
    </cfRule>
  </conditionalFormatting>
  <conditionalFormatting sqref="B576:F576">
    <cfRule type="expression" dxfId="48" priority="4">
      <formula>$B$7="gas"</formula>
    </cfRule>
  </conditionalFormatting>
  <conditionalFormatting sqref="B587:C587">
    <cfRule type="expression" dxfId="47" priority="3">
      <formula>$B$7="gas"</formula>
    </cfRule>
  </conditionalFormatting>
  <conditionalFormatting sqref="B581:F581">
    <cfRule type="expression" dxfId="46" priority="2">
      <formula>$B$7="gas"</formula>
    </cfRule>
  </conditionalFormatting>
  <conditionalFormatting sqref="B656:F656">
    <cfRule type="expression" dxfId="45" priority="1">
      <formula>$B$7="gas"</formula>
    </cfRule>
  </conditionalFormatting>
  <pageMargins left="0.70866141732283472" right="0.70866141732283472" top="0.74803149606299213" bottom="0.74803149606299213" header="0.31496062992125984" footer="0.31496062992125984"/>
  <pageSetup paperSize="8" scale="27" fitToWidth="2" fitToHeight="2" orientation="portrait" r:id="rId1"/>
  <rowBreaks count="1" manualBreakCount="1">
    <brk id="121" max="13" man="1"/>
  </rowBreaks>
  <ignoredErrors>
    <ignoredError sqref="G128 R15:R16 P193 P182 P160 P149 P171 P138 G149:K149 R31:R37 G129:K132 R128 P129:P132 G138:K138 P139:P143 G160:K160 P161:P165 G171:K171 P172:P176 G182:K182 P183:P187 G193:K193 P194:P198 P150:P154 R20 J143 H139:K139 G140 I140:K140 H141 J141:K141 I142 K142 J154 H150:K150 G151 I151:K151 H152 J152:K152 I153 K153 J165 H161:K161 G162 I162:K162 H163 J163:K163 I164 K164 J176 H172:K172 G173 I173:K173 H174 J174:K174 I175 K175 I187:J187 H183:K183 G184 I184:K184 H185 J185:K185 I186 K186 H194:K194 G195 I195:K195 H196 J196:K196 K197 G33:G38 H34:H38 I35:I38 J36:J38 K37:K38 L38 R21 R193 R182 R160 R149 R171 R138 R18"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pageSetUpPr fitToPage="1"/>
  </sheetPr>
  <dimension ref="A1:AD107"/>
  <sheetViews>
    <sheetView topLeftCell="A88" zoomScale="90" zoomScaleNormal="90" zoomScaleSheetLayoutView="80" workbookViewId="0">
      <selection activeCell="B104" sqref="B104"/>
    </sheetView>
  </sheetViews>
  <sheetFormatPr defaultColWidth="11.42578125" defaultRowHeight="12.75" x14ac:dyDescent="0.2"/>
  <cols>
    <col min="1" max="1" width="19.7109375" style="178" customWidth="1"/>
    <col min="2" max="2" width="14.85546875" style="178" customWidth="1"/>
    <col min="3" max="14" width="20.7109375" style="178" customWidth="1"/>
    <col min="15" max="15" width="14" style="178" customWidth="1"/>
    <col min="16" max="16" width="11.42578125" style="178"/>
    <col min="17" max="17" width="12.28515625" style="178" bestFit="1" customWidth="1"/>
    <col min="18" max="16384" width="11.42578125" style="178"/>
  </cols>
  <sheetData>
    <row r="1" spans="1:30" ht="24.6" customHeight="1" thickBot="1" x14ac:dyDescent="0.25">
      <c r="A1" s="1294" t="s">
        <v>244</v>
      </c>
      <c r="B1" s="1295"/>
      <c r="C1" s="1295"/>
      <c r="D1" s="1295"/>
      <c r="E1" s="1295"/>
      <c r="F1" s="1295"/>
      <c r="G1" s="1295"/>
      <c r="H1" s="1295"/>
      <c r="I1" s="1295"/>
      <c r="J1" s="1295"/>
      <c r="K1" s="1296"/>
      <c r="L1" s="229"/>
      <c r="M1" s="230"/>
      <c r="N1" s="230"/>
      <c r="O1" s="231"/>
      <c r="P1" s="231"/>
      <c r="Q1" s="231"/>
    </row>
    <row r="2" spans="1:30" x14ac:dyDescent="0.2">
      <c r="A2" s="232"/>
      <c r="B2" s="232"/>
      <c r="C2" s="232"/>
      <c r="D2" s="232"/>
      <c r="E2" s="232"/>
      <c r="F2" s="232"/>
      <c r="G2" s="232"/>
      <c r="H2" s="232"/>
      <c r="I2" s="232"/>
      <c r="J2" s="232"/>
      <c r="K2" s="232"/>
      <c r="L2" s="233"/>
      <c r="M2" s="288"/>
      <c r="N2" s="288"/>
      <c r="O2" s="237"/>
      <c r="P2" s="237"/>
      <c r="Q2" s="237"/>
    </row>
    <row r="3" spans="1:30" ht="13.5" thickBot="1" x14ac:dyDescent="0.25">
      <c r="A3" s="232"/>
      <c r="B3" s="232"/>
      <c r="C3" s="232"/>
      <c r="D3" s="232"/>
      <c r="E3" s="232"/>
      <c r="F3" s="232"/>
      <c r="G3" s="232"/>
      <c r="H3" s="232"/>
      <c r="I3" s="232"/>
      <c r="J3" s="232"/>
      <c r="K3" s="232"/>
      <c r="L3" s="233"/>
      <c r="M3" s="288"/>
      <c r="N3" s="288"/>
      <c r="O3" s="237"/>
      <c r="P3" s="237"/>
      <c r="Q3" s="237"/>
    </row>
    <row r="4" spans="1:30" s="179" customFormat="1" ht="18.600000000000001" customHeight="1" thickBot="1" x14ac:dyDescent="0.25">
      <c r="A4" s="1224" t="s">
        <v>245</v>
      </c>
      <c r="B4" s="1225"/>
      <c r="C4" s="1225"/>
      <c r="D4" s="1225"/>
      <c r="E4" s="1225"/>
      <c r="F4" s="1225"/>
      <c r="G4" s="1225"/>
      <c r="H4" s="1225"/>
      <c r="I4" s="1225"/>
      <c r="J4" s="1225"/>
      <c r="K4" s="1226"/>
      <c r="L4" s="235"/>
      <c r="M4" s="289"/>
      <c r="N4" s="237" t="str">
        <f>+TITELBLAD!B16</f>
        <v>Rapportering over boekjaar:</v>
      </c>
      <c r="O4" s="237">
        <f>+TITELBLAD!E16</f>
        <v>2021</v>
      </c>
      <c r="P4" s="237" t="str">
        <f>+TITELBLAD!F16</f>
        <v>ex-ante</v>
      </c>
      <c r="Q4" s="237"/>
      <c r="R4" s="178"/>
      <c r="S4" s="178"/>
      <c r="T4" s="178"/>
      <c r="U4" s="178"/>
      <c r="V4" s="178"/>
      <c r="W4" s="178"/>
      <c r="X4" s="178"/>
      <c r="Y4" s="178"/>
      <c r="Z4" s="178"/>
      <c r="AA4" s="178"/>
      <c r="AB4" s="178"/>
      <c r="AC4" s="178"/>
      <c r="AD4" s="178"/>
    </row>
    <row r="5" spans="1:30" ht="13.5" thickBot="1" x14ac:dyDescent="0.25">
      <c r="M5" s="237"/>
      <c r="N5" s="237"/>
      <c r="O5" s="237"/>
      <c r="P5" s="237"/>
      <c r="Q5" s="237"/>
    </row>
    <row r="6" spans="1:30" ht="17.25" thickBot="1" x14ac:dyDescent="0.25">
      <c r="C6" s="1227" t="str">
        <f>+TITELBLAD!C7</f>
        <v>NAAM DNB</v>
      </c>
      <c r="D6" s="1228"/>
      <c r="E6" s="1228"/>
      <c r="F6" s="1228"/>
      <c r="G6" s="1228"/>
      <c r="H6" s="1228"/>
      <c r="I6" s="1229"/>
      <c r="M6" s="237"/>
      <c r="N6" s="237"/>
      <c r="O6" s="237"/>
      <c r="P6" s="237"/>
      <c r="Q6" s="237"/>
    </row>
    <row r="7" spans="1:30" ht="17.25" thickBot="1" x14ac:dyDescent="0.25">
      <c r="C7" s="1227" t="str">
        <f>+TITELBLAD!C10</f>
        <v>gas</v>
      </c>
      <c r="D7" s="1228"/>
      <c r="E7" s="1228"/>
      <c r="F7" s="1228"/>
      <c r="G7" s="1228"/>
      <c r="H7" s="1228"/>
      <c r="I7" s="1229"/>
      <c r="M7" s="237"/>
      <c r="N7" s="237"/>
      <c r="O7" s="237"/>
      <c r="P7" s="237"/>
    </row>
    <row r="8" spans="1:30" s="179" customFormat="1" ht="17.25" thickBot="1" x14ac:dyDescent="0.25">
      <c r="A8" s="178"/>
      <c r="B8" s="178"/>
      <c r="C8" s="1227" t="s">
        <v>30</v>
      </c>
      <c r="D8" s="1228"/>
      <c r="E8" s="1228"/>
      <c r="F8" s="1228"/>
      <c r="G8" s="1228"/>
      <c r="H8" s="1228"/>
      <c r="I8" s="1229"/>
      <c r="J8" s="178"/>
      <c r="K8" s="178"/>
      <c r="L8" s="178"/>
      <c r="M8" s="178"/>
      <c r="N8" s="178"/>
      <c r="O8" s="178"/>
      <c r="P8" s="178"/>
      <c r="Q8" s="178"/>
      <c r="R8" s="178"/>
      <c r="S8" s="178"/>
      <c r="T8" s="178"/>
      <c r="U8" s="178"/>
      <c r="V8" s="178"/>
      <c r="W8" s="178"/>
      <c r="X8" s="178"/>
      <c r="Y8" s="178"/>
      <c r="Z8" s="178"/>
      <c r="AA8" s="178"/>
      <c r="AB8" s="178"/>
      <c r="AC8" s="178"/>
      <c r="AD8" s="178"/>
    </row>
    <row r="9" spans="1:30" s="179" customFormat="1" ht="13.5" thickBot="1" x14ac:dyDescent="0.25">
      <c r="A9" s="178"/>
      <c r="B9" s="178"/>
      <c r="C9" s="238">
        <v>2015</v>
      </c>
      <c r="D9" s="239">
        <v>2016</v>
      </c>
      <c r="E9" s="239">
        <v>2017</v>
      </c>
      <c r="F9" s="239">
        <v>2018</v>
      </c>
      <c r="G9" s="239">
        <v>2019</v>
      </c>
      <c r="H9" s="239">
        <v>2020</v>
      </c>
      <c r="I9" s="239">
        <v>2021</v>
      </c>
      <c r="J9" s="178"/>
      <c r="K9" s="178"/>
      <c r="L9" s="178"/>
      <c r="M9" s="178"/>
      <c r="N9" s="178"/>
      <c r="O9" s="178"/>
      <c r="P9" s="178"/>
      <c r="Q9" s="178"/>
      <c r="R9" s="178"/>
      <c r="S9" s="178"/>
      <c r="T9" s="178"/>
      <c r="U9" s="178"/>
      <c r="V9" s="178"/>
      <c r="W9" s="178"/>
      <c r="X9" s="178"/>
      <c r="Y9" s="178"/>
      <c r="Z9" s="178"/>
      <c r="AA9" s="178"/>
      <c r="AB9" s="178"/>
      <c r="AC9" s="178"/>
      <c r="AD9" s="178"/>
    </row>
    <row r="10" spans="1:30" s="179" customFormat="1" x14ac:dyDescent="0.2">
      <c r="A10" s="178"/>
      <c r="B10" s="178"/>
      <c r="C10" s="986">
        <v>0</v>
      </c>
      <c r="D10" s="987">
        <v>0</v>
      </c>
      <c r="E10" s="987">
        <v>0</v>
      </c>
      <c r="F10" s="987">
        <v>0</v>
      </c>
      <c r="G10" s="987">
        <v>0</v>
      </c>
      <c r="H10" s="987">
        <v>0</v>
      </c>
      <c r="I10" s="987">
        <v>0</v>
      </c>
      <c r="J10" s="178"/>
      <c r="K10" s="178"/>
      <c r="L10" s="178"/>
      <c r="M10" s="178"/>
      <c r="N10" s="178"/>
      <c r="O10" s="178"/>
      <c r="P10" s="178"/>
      <c r="Q10" s="178"/>
      <c r="R10" s="178"/>
      <c r="S10" s="178"/>
      <c r="T10" s="178"/>
      <c r="U10" s="178"/>
      <c r="V10" s="178"/>
      <c r="W10" s="178"/>
      <c r="X10" s="178"/>
      <c r="Y10" s="178"/>
      <c r="Z10" s="178"/>
      <c r="AA10" s="178"/>
      <c r="AB10" s="178"/>
      <c r="AC10" s="178"/>
      <c r="AD10" s="178"/>
    </row>
    <row r="11" spans="1:30" s="240" customFormat="1" x14ac:dyDescent="0.2">
      <c r="C11" s="241" t="s">
        <v>41</v>
      </c>
      <c r="F11" s="242"/>
      <c r="G11" s="242"/>
      <c r="H11" s="242"/>
      <c r="I11" s="242"/>
    </row>
    <row r="12" spans="1:30" s="240" customFormat="1" x14ac:dyDescent="0.2">
      <c r="C12" s="243" t="s">
        <v>166</v>
      </c>
    </row>
    <row r="13" spans="1:30" s="240" customFormat="1" x14ac:dyDescent="0.2">
      <c r="C13" s="243"/>
    </row>
    <row r="14" spans="1:30" ht="13.5" thickBot="1" x14ac:dyDescent="0.25">
      <c r="C14" s="244"/>
    </row>
    <row r="15" spans="1:30" ht="21.75" customHeight="1" thickBot="1" x14ac:dyDescent="0.25">
      <c r="A15" s="1224" t="s">
        <v>18</v>
      </c>
      <c r="B15" s="1225"/>
      <c r="C15" s="1225"/>
      <c r="D15" s="1225"/>
      <c r="E15" s="1225"/>
      <c r="F15" s="1225"/>
      <c r="G15" s="1225"/>
      <c r="H15" s="1225"/>
      <c r="I15" s="1225"/>
      <c r="J15" s="1225"/>
      <c r="K15" s="1226"/>
      <c r="L15" s="1297"/>
      <c r="M15" s="1298"/>
    </row>
    <row r="17" spans="1:30" x14ac:dyDescent="0.2">
      <c r="C17" s="241" t="s">
        <v>41</v>
      </c>
    </row>
    <row r="18" spans="1:30" x14ac:dyDescent="0.2">
      <c r="C18" s="243" t="s">
        <v>166</v>
      </c>
    </row>
    <row r="19" spans="1:30" ht="16.5" x14ac:dyDescent="0.2">
      <c r="C19" s="1244" t="s">
        <v>19</v>
      </c>
      <c r="D19" s="1245"/>
      <c r="E19" s="1245"/>
      <c r="F19" s="1245"/>
      <c r="G19" s="1245"/>
      <c r="H19" s="1245"/>
      <c r="I19" s="1246"/>
      <c r="K19" s="245" t="s">
        <v>20</v>
      </c>
    </row>
    <row r="20" spans="1:30" ht="13.5" thickBot="1" x14ac:dyDescent="0.25">
      <c r="A20" s="1247"/>
      <c r="B20" s="1247"/>
      <c r="C20" s="246">
        <f t="shared" ref="C20:I20" si="0">C9</f>
        <v>2015</v>
      </c>
      <c r="D20" s="247">
        <f t="shared" si="0"/>
        <v>2016</v>
      </c>
      <c r="E20" s="247">
        <f t="shared" si="0"/>
        <v>2017</v>
      </c>
      <c r="F20" s="247">
        <f t="shared" si="0"/>
        <v>2018</v>
      </c>
      <c r="G20" s="247">
        <f t="shared" si="0"/>
        <v>2019</v>
      </c>
      <c r="H20" s="247">
        <f t="shared" si="0"/>
        <v>2020</v>
      </c>
      <c r="I20" s="247">
        <f t="shared" si="0"/>
        <v>2021</v>
      </c>
      <c r="K20" s="248"/>
    </row>
    <row r="21" spans="1:30" s="179" customFormat="1" ht="12.75" customHeight="1" thickBot="1" x14ac:dyDescent="0.25">
      <c r="A21" s="1248" t="s">
        <v>21</v>
      </c>
      <c r="B21" s="249">
        <f>C9</f>
        <v>2015</v>
      </c>
      <c r="C21" s="989">
        <v>0</v>
      </c>
      <c r="D21" s="250"/>
      <c r="E21" s="250"/>
      <c r="F21" s="250"/>
      <c r="G21" s="250"/>
      <c r="H21" s="250"/>
      <c r="I21" s="251"/>
      <c r="J21" s="252"/>
      <c r="K21" s="253">
        <f>SUM(C21:I21)</f>
        <v>0</v>
      </c>
      <c r="L21" s="178"/>
      <c r="M21" s="178"/>
      <c r="N21" s="178"/>
      <c r="O21" s="178"/>
      <c r="P21" s="178"/>
      <c r="Q21" s="178"/>
      <c r="R21" s="178"/>
      <c r="S21" s="178"/>
      <c r="T21" s="178"/>
      <c r="U21" s="178"/>
      <c r="V21" s="178"/>
      <c r="W21" s="178"/>
      <c r="X21" s="178"/>
      <c r="Y21" s="178"/>
      <c r="Z21" s="178"/>
      <c r="AA21" s="178"/>
      <c r="AB21" s="178"/>
      <c r="AC21" s="178"/>
      <c r="AD21" s="178"/>
    </row>
    <row r="22" spans="1:30" s="179" customFormat="1" ht="13.5" customHeight="1" thickBot="1" x14ac:dyDescent="0.25">
      <c r="A22" s="1249"/>
      <c r="B22" s="254">
        <f>D9</f>
        <v>2016</v>
      </c>
      <c r="C22" s="255">
        <f>C10-C21</f>
        <v>0</v>
      </c>
      <c r="D22" s="989">
        <v>0</v>
      </c>
      <c r="E22" s="256"/>
      <c r="F22" s="256"/>
      <c r="G22" s="256"/>
      <c r="H22" s="256"/>
      <c r="I22" s="257"/>
      <c r="J22" s="252"/>
      <c r="K22" s="253">
        <f t="shared" ref="K22:K27" si="1">SUM(C22:I22)</f>
        <v>0</v>
      </c>
      <c r="L22" s="178"/>
      <c r="M22" s="178"/>
      <c r="N22" s="178"/>
      <c r="O22" s="178"/>
      <c r="P22" s="178"/>
      <c r="Q22" s="178"/>
      <c r="R22" s="178"/>
      <c r="S22" s="178"/>
      <c r="T22" s="178"/>
      <c r="U22" s="178"/>
      <c r="V22" s="178"/>
      <c r="W22" s="178"/>
      <c r="X22" s="178"/>
      <c r="Y22" s="178"/>
      <c r="Z22" s="178"/>
      <c r="AA22" s="178"/>
      <c r="AB22" s="178"/>
      <c r="AC22" s="178"/>
      <c r="AD22" s="178"/>
    </row>
    <row r="23" spans="1:30" s="179" customFormat="1" ht="13.5" customHeight="1" thickBot="1" x14ac:dyDescent="0.25">
      <c r="A23" s="1249"/>
      <c r="B23" s="254">
        <f>E9</f>
        <v>2017</v>
      </c>
      <c r="C23" s="258"/>
      <c r="D23" s="255">
        <f>D10-D22</f>
        <v>0</v>
      </c>
      <c r="E23" s="989">
        <v>0</v>
      </c>
      <c r="F23" s="256"/>
      <c r="G23" s="256"/>
      <c r="H23" s="256"/>
      <c r="I23" s="257"/>
      <c r="J23" s="252"/>
      <c r="K23" s="253">
        <f t="shared" si="1"/>
        <v>0</v>
      </c>
      <c r="L23" s="178"/>
      <c r="M23" s="178"/>
      <c r="N23" s="178"/>
      <c r="O23" s="178"/>
      <c r="P23" s="178"/>
      <c r="Q23" s="178"/>
      <c r="R23" s="178"/>
      <c r="S23" s="178"/>
      <c r="T23" s="178"/>
      <c r="U23" s="178"/>
      <c r="V23" s="178"/>
      <c r="W23" s="178"/>
      <c r="X23" s="178"/>
      <c r="Y23" s="178"/>
      <c r="Z23" s="178"/>
      <c r="AA23" s="178"/>
      <c r="AB23" s="178"/>
      <c r="AC23" s="178"/>
      <c r="AD23" s="178"/>
    </row>
    <row r="24" spans="1:30" s="179" customFormat="1" ht="13.5" customHeight="1" thickBot="1" x14ac:dyDescent="0.25">
      <c r="A24" s="1249"/>
      <c r="B24" s="254">
        <f>F9</f>
        <v>2018</v>
      </c>
      <c r="C24" s="258"/>
      <c r="D24" s="256"/>
      <c r="E24" s="255">
        <f>E10-E23</f>
        <v>0</v>
      </c>
      <c r="F24" s="989">
        <v>0</v>
      </c>
      <c r="G24" s="256"/>
      <c r="H24" s="256"/>
      <c r="I24" s="257"/>
      <c r="J24" s="252"/>
      <c r="K24" s="253">
        <f t="shared" si="1"/>
        <v>0</v>
      </c>
      <c r="L24" s="178"/>
      <c r="M24" s="178"/>
      <c r="N24" s="178"/>
      <c r="O24" s="178"/>
      <c r="P24" s="178"/>
      <c r="Q24" s="178"/>
      <c r="R24" s="178"/>
      <c r="S24" s="178"/>
      <c r="T24" s="178"/>
      <c r="U24" s="178"/>
      <c r="V24" s="178"/>
      <c r="W24" s="178"/>
      <c r="X24" s="178"/>
      <c r="Y24" s="178"/>
      <c r="Z24" s="178"/>
      <c r="AA24" s="178"/>
      <c r="AB24" s="178"/>
      <c r="AC24" s="178"/>
      <c r="AD24" s="178"/>
    </row>
    <row r="25" spans="1:30" s="179" customFormat="1" ht="13.5" customHeight="1" thickBot="1" x14ac:dyDescent="0.25">
      <c r="A25" s="1249"/>
      <c r="B25" s="254">
        <f>G9</f>
        <v>2019</v>
      </c>
      <c r="C25" s="258"/>
      <c r="D25" s="256"/>
      <c r="E25" s="256"/>
      <c r="F25" s="255">
        <f>F$10-F24</f>
        <v>0</v>
      </c>
      <c r="G25" s="989">
        <v>0</v>
      </c>
      <c r="H25" s="256"/>
      <c r="I25" s="257"/>
      <c r="J25" s="252"/>
      <c r="K25" s="253">
        <f t="shared" si="1"/>
        <v>0</v>
      </c>
      <c r="L25" s="178"/>
      <c r="M25" s="178"/>
      <c r="N25" s="178"/>
      <c r="O25" s="178"/>
      <c r="P25" s="178"/>
      <c r="Q25" s="178"/>
      <c r="R25" s="178"/>
      <c r="S25" s="178"/>
      <c r="T25" s="178"/>
      <c r="U25" s="178"/>
      <c r="V25" s="178"/>
      <c r="W25" s="178"/>
      <c r="X25" s="178"/>
      <c r="Y25" s="178"/>
      <c r="Z25" s="178"/>
      <c r="AA25" s="178"/>
      <c r="AB25" s="178"/>
      <c r="AC25" s="178"/>
      <c r="AD25" s="178"/>
    </row>
    <row r="26" spans="1:30" s="179" customFormat="1" ht="13.5" customHeight="1" thickBot="1" x14ac:dyDescent="0.25">
      <c r="A26" s="1249"/>
      <c r="B26" s="254">
        <f>H9</f>
        <v>2020</v>
      </c>
      <c r="C26" s="258"/>
      <c r="D26" s="256"/>
      <c r="E26" s="256"/>
      <c r="F26" s="259"/>
      <c r="G26" s="255">
        <f>G$10-G25</f>
        <v>0</v>
      </c>
      <c r="H26" s="989">
        <v>0</v>
      </c>
      <c r="I26" s="257"/>
      <c r="J26" s="252"/>
      <c r="K26" s="253">
        <f t="shared" si="1"/>
        <v>0</v>
      </c>
      <c r="L26" s="178"/>
      <c r="M26" s="178"/>
      <c r="N26" s="178"/>
      <c r="O26" s="178"/>
      <c r="P26" s="178"/>
      <c r="Q26" s="178"/>
      <c r="R26" s="178"/>
      <c r="S26" s="178"/>
      <c r="T26" s="178"/>
      <c r="U26" s="178"/>
      <c r="V26" s="178"/>
      <c r="W26" s="178"/>
      <c r="X26" s="178"/>
      <c r="Y26" s="178"/>
      <c r="Z26" s="178"/>
      <c r="AA26" s="178"/>
      <c r="AB26" s="178"/>
      <c r="AC26" s="178"/>
      <c r="AD26" s="178"/>
    </row>
    <row r="27" spans="1:30" s="179" customFormat="1" ht="13.5" customHeight="1" thickBot="1" x14ac:dyDescent="0.25">
      <c r="A27" s="1249"/>
      <c r="B27" s="254">
        <f>I9</f>
        <v>2021</v>
      </c>
      <c r="C27" s="258"/>
      <c r="D27" s="256"/>
      <c r="E27" s="256"/>
      <c r="F27" s="256"/>
      <c r="G27" s="256"/>
      <c r="H27" s="260">
        <f>H$10-H26</f>
        <v>0</v>
      </c>
      <c r="I27" s="989">
        <v>0</v>
      </c>
      <c r="J27" s="252"/>
      <c r="K27" s="253">
        <f t="shared" si="1"/>
        <v>0</v>
      </c>
      <c r="L27" s="178"/>
      <c r="M27" s="178"/>
      <c r="N27" s="178"/>
      <c r="O27" s="178"/>
      <c r="P27" s="178"/>
      <c r="Q27" s="178"/>
      <c r="R27" s="178"/>
      <c r="S27" s="178"/>
      <c r="T27" s="178"/>
      <c r="U27" s="178"/>
      <c r="V27" s="178"/>
      <c r="W27" s="178"/>
      <c r="X27" s="178"/>
      <c r="Y27" s="178"/>
      <c r="Z27" s="178"/>
      <c r="AA27" s="178"/>
      <c r="AB27" s="178"/>
      <c r="AC27" s="178"/>
      <c r="AD27" s="178"/>
    </row>
    <row r="28" spans="1:30" s="265" customFormat="1" ht="15.75" x14ac:dyDescent="0.2">
      <c r="A28" s="1250"/>
      <c r="B28" s="331" t="s">
        <v>22</v>
      </c>
      <c r="C28" s="261">
        <f t="shared" ref="C28:I28" si="2">SUM(C21:C27)</f>
        <v>0</v>
      </c>
      <c r="D28" s="261">
        <f t="shared" si="2"/>
        <v>0</v>
      </c>
      <c r="E28" s="261">
        <f t="shared" si="2"/>
        <v>0</v>
      </c>
      <c r="F28" s="261">
        <f t="shared" si="2"/>
        <v>0</v>
      </c>
      <c r="G28" s="261">
        <f t="shared" si="2"/>
        <v>0</v>
      </c>
      <c r="H28" s="261">
        <f t="shared" si="2"/>
        <v>0</v>
      </c>
      <c r="I28" s="330">
        <f t="shared" si="2"/>
        <v>0</v>
      </c>
      <c r="J28" s="262"/>
      <c r="K28" s="263">
        <f>SUM(K21:K27)</f>
        <v>0</v>
      </c>
      <c r="L28" s="264"/>
      <c r="M28" s="264"/>
      <c r="N28" s="264"/>
      <c r="O28" s="264"/>
      <c r="P28" s="264"/>
      <c r="Q28" s="264"/>
      <c r="R28" s="264"/>
      <c r="S28" s="264"/>
      <c r="T28" s="264"/>
      <c r="U28" s="264"/>
      <c r="V28" s="264"/>
      <c r="W28" s="264"/>
      <c r="X28" s="264"/>
      <c r="Y28" s="264"/>
      <c r="Z28" s="264"/>
      <c r="AA28" s="264"/>
      <c r="AB28" s="264"/>
      <c r="AC28" s="264"/>
      <c r="AD28" s="264"/>
    </row>
    <row r="29" spans="1:30" s="243" customFormat="1" ht="15.75" customHeight="1" x14ac:dyDescent="0.2">
      <c r="A29" s="266" t="s">
        <v>34</v>
      </c>
      <c r="C29" s="267">
        <f>+C28+C42</f>
        <v>0</v>
      </c>
      <c r="D29" s="267">
        <f>+D28+D42</f>
        <v>0</v>
      </c>
      <c r="E29" s="267">
        <f>+E28+E42</f>
        <v>0</v>
      </c>
      <c r="F29" s="267">
        <f>+F28+F42</f>
        <v>0</v>
      </c>
      <c r="G29" s="267">
        <f>+G28+G42</f>
        <v>0</v>
      </c>
      <c r="H29" s="267">
        <f t="shared" ref="H29:I29" si="3">+H28+H42</f>
        <v>0</v>
      </c>
      <c r="I29" s="267">
        <f t="shared" si="3"/>
        <v>0</v>
      </c>
      <c r="J29" s="267"/>
      <c r="K29" s="267">
        <f>+K28+K42</f>
        <v>0</v>
      </c>
      <c r="L29" s="267"/>
    </row>
    <row r="30" spans="1:30" s="268" customFormat="1" x14ac:dyDescent="0.2">
      <c r="A30" s="243"/>
      <c r="B30" s="243"/>
      <c r="C30" s="267"/>
      <c r="D30" s="267"/>
      <c r="E30" s="267"/>
      <c r="F30" s="267"/>
      <c r="G30" s="267"/>
      <c r="H30" s="267"/>
      <c r="I30" s="267"/>
      <c r="J30" s="243"/>
      <c r="K30" s="243"/>
      <c r="L30" s="243"/>
      <c r="M30" s="243"/>
      <c r="N30" s="243"/>
      <c r="O30" s="243"/>
      <c r="P30" s="243"/>
      <c r="Q30" s="243"/>
      <c r="R30" s="243"/>
      <c r="S30" s="243"/>
      <c r="T30" s="243"/>
      <c r="U30" s="243"/>
      <c r="V30" s="243"/>
      <c r="W30" s="243"/>
      <c r="X30" s="243"/>
      <c r="Y30" s="243"/>
      <c r="Z30" s="243"/>
      <c r="AA30" s="243"/>
      <c r="AB30" s="243"/>
      <c r="AC30" s="243"/>
      <c r="AD30" s="243"/>
    </row>
    <row r="31" spans="1:30" s="268" customFormat="1" x14ac:dyDescent="0.2">
      <c r="A31" s="243"/>
      <c r="B31" s="243"/>
      <c r="C31" s="241" t="s">
        <v>32</v>
      </c>
      <c r="D31" s="267"/>
      <c r="E31" s="267"/>
      <c r="F31" s="267"/>
      <c r="G31" s="267"/>
      <c r="H31" s="267"/>
      <c r="I31" s="267"/>
      <c r="J31" s="243"/>
      <c r="K31" s="243"/>
      <c r="L31" s="243"/>
      <c r="M31" s="243"/>
      <c r="N31" s="243"/>
      <c r="O31" s="243"/>
      <c r="P31" s="243"/>
      <c r="Q31" s="243"/>
      <c r="R31" s="243"/>
      <c r="S31" s="243"/>
      <c r="T31" s="243"/>
      <c r="U31" s="243"/>
      <c r="V31" s="243"/>
      <c r="W31" s="243"/>
      <c r="X31" s="243"/>
      <c r="Y31" s="243"/>
      <c r="Z31" s="243"/>
      <c r="AA31" s="243"/>
      <c r="AB31" s="243"/>
      <c r="AC31" s="243"/>
      <c r="AD31" s="243"/>
    </row>
    <row r="32" spans="1:30" s="268" customFormat="1" x14ac:dyDescent="0.2">
      <c r="A32" s="243"/>
      <c r="B32" s="243"/>
      <c r="C32" s="241" t="s">
        <v>33</v>
      </c>
      <c r="D32" s="267"/>
      <c r="E32" s="267"/>
      <c r="F32" s="267"/>
      <c r="G32" s="267"/>
      <c r="H32" s="267"/>
      <c r="I32" s="267"/>
      <c r="J32" s="243"/>
      <c r="K32" s="243"/>
      <c r="L32" s="243"/>
      <c r="M32" s="243"/>
      <c r="N32" s="243"/>
      <c r="O32" s="243"/>
      <c r="P32" s="243"/>
      <c r="Q32" s="243"/>
      <c r="R32" s="243"/>
      <c r="S32" s="243"/>
      <c r="T32" s="243"/>
      <c r="U32" s="243"/>
      <c r="V32" s="243"/>
      <c r="W32" s="243"/>
      <c r="X32" s="243"/>
      <c r="Y32" s="243"/>
      <c r="Z32" s="243"/>
      <c r="AA32" s="243"/>
      <c r="AB32" s="243"/>
      <c r="AC32" s="243"/>
      <c r="AD32" s="243"/>
    </row>
    <row r="33" spans="1:30" s="179" customFormat="1" ht="16.5" x14ac:dyDescent="0.2">
      <c r="A33" s="178"/>
      <c r="B33" s="178"/>
      <c r="C33" s="1235" t="s">
        <v>19</v>
      </c>
      <c r="D33" s="1236"/>
      <c r="E33" s="1236"/>
      <c r="F33" s="1236"/>
      <c r="G33" s="1236"/>
      <c r="H33" s="1236"/>
      <c r="I33" s="1237"/>
      <c r="J33" s="178"/>
      <c r="K33" s="245" t="s">
        <v>20</v>
      </c>
      <c r="L33" s="178"/>
      <c r="M33" s="245" t="s">
        <v>20</v>
      </c>
      <c r="N33" s="178"/>
      <c r="O33" s="178"/>
      <c r="P33" s="178"/>
      <c r="Q33" s="178"/>
      <c r="R33" s="178"/>
      <c r="S33" s="178"/>
      <c r="T33" s="178"/>
      <c r="U33" s="178"/>
      <c r="V33" s="178"/>
      <c r="W33" s="178"/>
      <c r="X33" s="178"/>
      <c r="Y33" s="178"/>
      <c r="Z33" s="178"/>
      <c r="AA33" s="178"/>
      <c r="AB33" s="178"/>
      <c r="AC33" s="178"/>
      <c r="AD33" s="178"/>
    </row>
    <row r="34" spans="1:30" s="179" customFormat="1" x14ac:dyDescent="0.2">
      <c r="A34" s="178"/>
      <c r="B34" s="178"/>
      <c r="C34" s="247">
        <f t="shared" ref="C34:I34" si="4">C20</f>
        <v>2015</v>
      </c>
      <c r="D34" s="247">
        <f t="shared" si="4"/>
        <v>2016</v>
      </c>
      <c r="E34" s="247">
        <f t="shared" si="4"/>
        <v>2017</v>
      </c>
      <c r="F34" s="247">
        <f t="shared" si="4"/>
        <v>2018</v>
      </c>
      <c r="G34" s="247">
        <f t="shared" si="4"/>
        <v>2019</v>
      </c>
      <c r="H34" s="247">
        <f t="shared" si="4"/>
        <v>2020</v>
      </c>
      <c r="I34" s="247">
        <f t="shared" si="4"/>
        <v>2021</v>
      </c>
      <c r="J34" s="178"/>
      <c r="K34" s="248" t="s">
        <v>23</v>
      </c>
      <c r="L34" s="178"/>
      <c r="M34" s="248" t="s">
        <v>24</v>
      </c>
      <c r="N34" s="178"/>
      <c r="O34" s="178"/>
      <c r="P34" s="178"/>
      <c r="Q34" s="178"/>
      <c r="R34" s="178"/>
      <c r="S34" s="178"/>
      <c r="T34" s="178"/>
      <c r="U34" s="178"/>
      <c r="V34" s="178"/>
      <c r="W34" s="178"/>
      <c r="X34" s="178"/>
      <c r="Y34" s="178"/>
      <c r="Z34" s="178"/>
      <c r="AA34" s="178"/>
      <c r="AB34" s="178"/>
      <c r="AC34" s="178"/>
      <c r="AD34" s="178"/>
    </row>
    <row r="35" spans="1:30" s="179" customFormat="1" x14ac:dyDescent="0.2">
      <c r="A35" s="1248" t="s">
        <v>113</v>
      </c>
      <c r="B35" s="269">
        <f t="shared" ref="B35:B40" si="5">B21</f>
        <v>2015</v>
      </c>
      <c r="C35" s="270"/>
      <c r="D35" s="270"/>
      <c r="E35" s="270"/>
      <c r="F35" s="270"/>
      <c r="G35" s="270"/>
      <c r="H35" s="270"/>
      <c r="I35" s="271"/>
      <c r="J35" s="252"/>
      <c r="K35" s="253">
        <f>SUM(C35:I35)</f>
        <v>0</v>
      </c>
      <c r="L35" s="252"/>
      <c r="M35" s="272">
        <f>SUM(K21,K35)</f>
        <v>0</v>
      </c>
      <c r="N35" s="178"/>
      <c r="O35" s="178"/>
      <c r="P35" s="178"/>
      <c r="Q35" s="178"/>
      <c r="R35" s="178"/>
      <c r="S35" s="178"/>
      <c r="T35" s="178"/>
      <c r="U35" s="178"/>
      <c r="V35" s="178"/>
      <c r="W35" s="178"/>
      <c r="X35" s="178"/>
      <c r="Y35" s="178"/>
      <c r="Z35" s="178"/>
      <c r="AA35" s="178"/>
      <c r="AB35" s="178"/>
      <c r="AC35" s="178"/>
      <c r="AD35" s="178"/>
    </row>
    <row r="36" spans="1:30" s="179" customFormat="1" x14ac:dyDescent="0.2">
      <c r="A36" s="1249"/>
      <c r="B36" s="273">
        <f t="shared" si="5"/>
        <v>2016</v>
      </c>
      <c r="C36" s="270"/>
      <c r="D36" s="270"/>
      <c r="E36" s="270"/>
      <c r="F36" s="270"/>
      <c r="G36" s="270"/>
      <c r="H36" s="270"/>
      <c r="I36" s="274"/>
      <c r="J36" s="252"/>
      <c r="K36" s="253">
        <f t="shared" ref="K36:K41" si="6">SUM(C36:I36)</f>
        <v>0</v>
      </c>
      <c r="L36" s="252"/>
      <c r="M36" s="272">
        <f t="shared" ref="M36:M41" si="7">SUM(K22,K36)</f>
        <v>0</v>
      </c>
      <c r="N36" s="178"/>
      <c r="O36" s="178"/>
      <c r="P36" s="178"/>
      <c r="Q36" s="178"/>
      <c r="R36" s="178"/>
      <c r="S36" s="178"/>
      <c r="T36" s="178"/>
      <c r="U36" s="178"/>
      <c r="V36" s="178"/>
      <c r="W36" s="178"/>
      <c r="X36" s="178"/>
      <c r="Y36" s="178"/>
      <c r="Z36" s="178"/>
      <c r="AA36" s="178"/>
      <c r="AB36" s="178"/>
      <c r="AC36" s="178"/>
      <c r="AD36" s="178"/>
    </row>
    <row r="37" spans="1:30" s="179" customFormat="1" x14ac:dyDescent="0.2">
      <c r="A37" s="1249" t="s">
        <v>25</v>
      </c>
      <c r="B37" s="273">
        <f t="shared" si="5"/>
        <v>2017</v>
      </c>
      <c r="C37" s="255">
        <f>I65</f>
        <v>0</v>
      </c>
      <c r="D37" s="270"/>
      <c r="E37" s="270"/>
      <c r="F37" s="270"/>
      <c r="G37" s="270"/>
      <c r="H37" s="270"/>
      <c r="I37" s="274"/>
      <c r="J37" s="252"/>
      <c r="K37" s="253">
        <f t="shared" si="6"/>
        <v>0</v>
      </c>
      <c r="L37" s="252"/>
      <c r="M37" s="272">
        <f t="shared" si="7"/>
        <v>0</v>
      </c>
      <c r="N37" s="178"/>
      <c r="O37" s="178"/>
      <c r="P37" s="178"/>
      <c r="Q37" s="178"/>
      <c r="R37" s="178"/>
      <c r="S37" s="178"/>
      <c r="T37" s="178"/>
      <c r="U37" s="178"/>
      <c r="V37" s="178"/>
      <c r="W37" s="178"/>
      <c r="X37" s="178"/>
      <c r="Y37" s="178"/>
      <c r="Z37" s="178"/>
      <c r="AA37" s="178"/>
      <c r="AB37" s="178"/>
      <c r="AC37" s="178"/>
      <c r="AD37" s="178"/>
    </row>
    <row r="38" spans="1:30" s="179" customFormat="1" x14ac:dyDescent="0.2">
      <c r="A38" s="1249"/>
      <c r="B38" s="273">
        <f t="shared" si="5"/>
        <v>2018</v>
      </c>
      <c r="C38" s="255">
        <f>K70</f>
        <v>0</v>
      </c>
      <c r="D38" s="255">
        <f>K71</f>
        <v>0</v>
      </c>
      <c r="E38" s="270"/>
      <c r="F38" s="270"/>
      <c r="G38" s="270"/>
      <c r="H38" s="270"/>
      <c r="I38" s="274"/>
      <c r="J38" s="252"/>
      <c r="K38" s="253">
        <f t="shared" si="6"/>
        <v>0</v>
      </c>
      <c r="L38" s="252"/>
      <c r="M38" s="272">
        <f t="shared" si="7"/>
        <v>0</v>
      </c>
      <c r="N38" s="244" t="s">
        <v>27</v>
      </c>
      <c r="O38" s="178"/>
      <c r="P38" s="178"/>
      <c r="Q38" s="178"/>
      <c r="R38" s="178"/>
      <c r="S38" s="178"/>
      <c r="T38" s="178"/>
      <c r="U38" s="178"/>
      <c r="V38" s="178"/>
      <c r="W38" s="178"/>
      <c r="X38" s="178"/>
      <c r="Y38" s="178"/>
      <c r="Z38" s="178"/>
      <c r="AA38" s="178"/>
      <c r="AB38" s="178"/>
      <c r="AC38" s="178"/>
      <c r="AD38" s="178"/>
    </row>
    <row r="39" spans="1:30" s="179" customFormat="1" x14ac:dyDescent="0.2">
      <c r="A39" s="1249" t="s">
        <v>26</v>
      </c>
      <c r="B39" s="273">
        <f t="shared" si="5"/>
        <v>2019</v>
      </c>
      <c r="C39" s="255">
        <f>K77</f>
        <v>0</v>
      </c>
      <c r="D39" s="255">
        <f>K78</f>
        <v>0</v>
      </c>
      <c r="E39" s="255">
        <f>K79</f>
        <v>0</v>
      </c>
      <c r="F39" s="270"/>
      <c r="G39" s="270"/>
      <c r="H39" s="270"/>
      <c r="I39" s="274"/>
      <c r="J39" s="252"/>
      <c r="K39" s="253">
        <f t="shared" si="6"/>
        <v>0</v>
      </c>
      <c r="L39" s="252"/>
      <c r="M39" s="272">
        <f t="shared" si="7"/>
        <v>0</v>
      </c>
      <c r="N39" s="244" t="s">
        <v>28</v>
      </c>
      <c r="O39" s="178"/>
      <c r="P39" s="178"/>
      <c r="Q39" s="178"/>
      <c r="R39" s="178"/>
      <c r="S39" s="178"/>
      <c r="T39" s="178"/>
      <c r="U39" s="178"/>
      <c r="V39" s="178"/>
      <c r="W39" s="178"/>
      <c r="X39" s="178"/>
      <c r="Y39" s="178"/>
      <c r="Z39" s="178"/>
      <c r="AA39" s="178"/>
      <c r="AB39" s="178"/>
      <c r="AC39" s="178"/>
      <c r="AD39" s="178"/>
    </row>
    <row r="40" spans="1:30" s="179" customFormat="1" x14ac:dyDescent="0.2">
      <c r="A40" s="1249"/>
      <c r="B40" s="273">
        <f t="shared" si="5"/>
        <v>2020</v>
      </c>
      <c r="C40" s="255">
        <f>+K85</f>
        <v>0</v>
      </c>
      <c r="D40" s="255">
        <f>K86</f>
        <v>0</v>
      </c>
      <c r="E40" s="255">
        <f>K87</f>
        <v>0</v>
      </c>
      <c r="F40" s="255">
        <f>K88</f>
        <v>0</v>
      </c>
      <c r="G40" s="270"/>
      <c r="H40" s="270"/>
      <c r="I40" s="274"/>
      <c r="J40" s="252"/>
      <c r="K40" s="253">
        <f t="shared" si="6"/>
        <v>0</v>
      </c>
      <c r="L40" s="252"/>
      <c r="M40" s="272">
        <f t="shared" si="7"/>
        <v>0</v>
      </c>
      <c r="N40" s="244"/>
      <c r="O40" s="178"/>
      <c r="P40" s="178"/>
      <c r="Q40" s="178"/>
      <c r="R40" s="178"/>
      <c r="S40" s="178"/>
      <c r="T40" s="178"/>
      <c r="U40" s="178"/>
      <c r="V40" s="178"/>
      <c r="W40" s="178"/>
      <c r="X40" s="178"/>
      <c r="Y40" s="178"/>
      <c r="Z40" s="178"/>
      <c r="AA40" s="178"/>
      <c r="AB40" s="178"/>
      <c r="AC40" s="178"/>
      <c r="AD40" s="178"/>
    </row>
    <row r="41" spans="1:30" s="179" customFormat="1" x14ac:dyDescent="0.2">
      <c r="A41" s="1249"/>
      <c r="B41" s="273">
        <f t="shared" ref="B41" si="8">B27</f>
        <v>2021</v>
      </c>
      <c r="C41" s="255">
        <f>+G94</f>
        <v>0</v>
      </c>
      <c r="D41" s="255">
        <f>G95</f>
        <v>0</v>
      </c>
      <c r="E41" s="255">
        <f>G96</f>
        <v>0</v>
      </c>
      <c r="F41" s="255">
        <f>G97</f>
        <v>0</v>
      </c>
      <c r="G41" s="255">
        <f>G98</f>
        <v>0</v>
      </c>
      <c r="H41" s="270"/>
      <c r="I41" s="274"/>
      <c r="J41" s="252"/>
      <c r="K41" s="253">
        <f t="shared" si="6"/>
        <v>0</v>
      </c>
      <c r="L41" s="252"/>
      <c r="M41" s="272">
        <f t="shared" si="7"/>
        <v>0</v>
      </c>
      <c r="N41" s="244"/>
      <c r="O41" s="178"/>
      <c r="P41" s="178"/>
      <c r="Q41" s="178"/>
      <c r="R41" s="178"/>
      <c r="S41" s="178"/>
      <c r="T41" s="178"/>
      <c r="U41" s="178"/>
      <c r="V41" s="178"/>
      <c r="W41" s="178"/>
      <c r="X41" s="178"/>
      <c r="Y41" s="178"/>
      <c r="Z41" s="178"/>
      <c r="AA41" s="178"/>
      <c r="AB41" s="178"/>
      <c r="AC41" s="178"/>
      <c r="AD41" s="178"/>
    </row>
    <row r="42" spans="1:30" s="265" customFormat="1" ht="15.75" x14ac:dyDescent="0.2">
      <c r="A42" s="1299"/>
      <c r="B42" s="331" t="s">
        <v>22</v>
      </c>
      <c r="C42" s="332">
        <f t="shared" ref="C42:I42" si="9">SUM(C35:C41)</f>
        <v>0</v>
      </c>
      <c r="D42" s="332">
        <f t="shared" si="9"/>
        <v>0</v>
      </c>
      <c r="E42" s="332">
        <f t="shared" si="9"/>
        <v>0</v>
      </c>
      <c r="F42" s="332">
        <f>SUM(F35:F41)</f>
        <v>0</v>
      </c>
      <c r="G42" s="332">
        <f t="shared" ref="G42:H42" si="10">SUM(G35:G41)</f>
        <v>0</v>
      </c>
      <c r="H42" s="332">
        <f t="shared" si="10"/>
        <v>0</v>
      </c>
      <c r="I42" s="332">
        <f t="shared" si="9"/>
        <v>0</v>
      </c>
      <c r="J42" s="252"/>
      <c r="K42" s="263">
        <f>SUM(K35:K41)</f>
        <v>0</v>
      </c>
      <c r="L42" s="262"/>
      <c r="M42" s="263">
        <f>SUM(M35:M41)</f>
        <v>0</v>
      </c>
      <c r="N42" s="264"/>
      <c r="O42" s="264"/>
      <c r="P42" s="264"/>
      <c r="Q42" s="264"/>
      <c r="R42" s="264"/>
      <c r="S42" s="264"/>
      <c r="T42" s="264"/>
      <c r="U42" s="264"/>
      <c r="V42" s="264"/>
      <c r="W42" s="264"/>
      <c r="X42" s="264"/>
      <c r="Y42" s="264"/>
      <c r="Z42" s="264"/>
      <c r="AA42" s="264"/>
      <c r="AB42" s="264"/>
      <c r="AC42" s="264"/>
      <c r="AD42" s="264"/>
    </row>
    <row r="43" spans="1:30" x14ac:dyDescent="0.2">
      <c r="J43" s="252"/>
    </row>
    <row r="44" spans="1:30" ht="13.5" thickBot="1" x14ac:dyDescent="0.25"/>
    <row r="45" spans="1:30" s="179" customFormat="1" ht="22.5" customHeight="1" thickBot="1" x14ac:dyDescent="0.25">
      <c r="A45" s="1224" t="s">
        <v>175</v>
      </c>
      <c r="B45" s="1225"/>
      <c r="C45" s="1225"/>
      <c r="D45" s="1225"/>
      <c r="E45" s="1225"/>
      <c r="F45" s="1225"/>
      <c r="G45" s="1225"/>
      <c r="H45" s="1225"/>
      <c r="I45" s="1225"/>
      <c r="J45" s="1225"/>
      <c r="K45" s="1226"/>
      <c r="M45" s="178"/>
      <c r="N45" s="178"/>
      <c r="O45" s="178"/>
      <c r="P45" s="178"/>
      <c r="Q45" s="178"/>
      <c r="R45" s="178"/>
      <c r="S45" s="178"/>
      <c r="T45" s="178"/>
      <c r="U45" s="178"/>
      <c r="V45" s="178"/>
      <c r="W45" s="178"/>
      <c r="X45" s="178"/>
      <c r="Y45" s="178"/>
      <c r="Z45" s="178"/>
      <c r="AA45" s="178"/>
      <c r="AB45" s="178"/>
      <c r="AC45" s="178"/>
      <c r="AD45" s="178"/>
    </row>
    <row r="47" spans="1:30" x14ac:dyDescent="0.2">
      <c r="C47" s="241" t="s">
        <v>164</v>
      </c>
    </row>
    <row r="48" spans="1:30" x14ac:dyDescent="0.2">
      <c r="C48" s="241" t="s">
        <v>29</v>
      </c>
    </row>
    <row r="49" spans="1:30" ht="16.5" x14ac:dyDescent="0.2">
      <c r="C49" s="1244" t="s">
        <v>19</v>
      </c>
      <c r="D49" s="1245"/>
      <c r="E49" s="1245"/>
      <c r="F49" s="1245"/>
      <c r="G49" s="1245"/>
      <c r="H49" s="1245"/>
      <c r="I49" s="1246"/>
    </row>
    <row r="50" spans="1:30" x14ac:dyDescent="0.2">
      <c r="C50" s="247">
        <f t="shared" ref="C50:H50" si="11">C34</f>
        <v>2015</v>
      </c>
      <c r="D50" s="247">
        <f t="shared" si="11"/>
        <v>2016</v>
      </c>
      <c r="E50" s="247">
        <f t="shared" si="11"/>
        <v>2017</v>
      </c>
      <c r="F50" s="247">
        <f t="shared" si="11"/>
        <v>2018</v>
      </c>
      <c r="G50" s="247">
        <f t="shared" si="11"/>
        <v>2019</v>
      </c>
      <c r="H50" s="247">
        <f t="shared" si="11"/>
        <v>2020</v>
      </c>
      <c r="I50" s="247">
        <f>I34</f>
        <v>2021</v>
      </c>
      <c r="K50" s="93" t="s">
        <v>20</v>
      </c>
    </row>
    <row r="51" spans="1:30" x14ac:dyDescent="0.2">
      <c r="A51" s="1238" t="s">
        <v>144</v>
      </c>
      <c r="B51" s="276">
        <f t="shared" ref="B51:B56" si="12">B35</f>
        <v>2015</v>
      </c>
      <c r="C51" s="255">
        <f>+C21</f>
        <v>0</v>
      </c>
      <c r="D51" s="277"/>
      <c r="E51" s="270"/>
      <c r="F51" s="270"/>
      <c r="G51" s="270"/>
      <c r="H51" s="270"/>
      <c r="I51" s="271"/>
      <c r="K51" s="278">
        <f>SUM(C51:I51)</f>
        <v>0</v>
      </c>
    </row>
    <row r="52" spans="1:30" x14ac:dyDescent="0.2">
      <c r="A52" s="1239"/>
      <c r="B52" s="247">
        <f t="shared" si="12"/>
        <v>2016</v>
      </c>
      <c r="C52" s="255">
        <f>+C51+C36+C22</f>
        <v>0</v>
      </c>
      <c r="D52" s="255">
        <f>+D22</f>
        <v>0</v>
      </c>
      <c r="E52" s="279"/>
      <c r="F52" s="279"/>
      <c r="G52" s="279"/>
      <c r="H52" s="279"/>
      <c r="I52" s="280"/>
      <c r="K52" s="278">
        <f t="shared" ref="K52:K57" si="13">SUM(C52:I52)</f>
        <v>0</v>
      </c>
    </row>
    <row r="53" spans="1:30" x14ac:dyDescent="0.2">
      <c r="A53" s="1239"/>
      <c r="B53" s="247">
        <f t="shared" si="12"/>
        <v>2017</v>
      </c>
      <c r="C53" s="255">
        <f>+C52+C37+C23</f>
        <v>0</v>
      </c>
      <c r="D53" s="255">
        <f>+D52+D37+D23</f>
        <v>0</v>
      </c>
      <c r="E53" s="255">
        <f>+E23</f>
        <v>0</v>
      </c>
      <c r="F53" s="279"/>
      <c r="G53" s="279"/>
      <c r="H53" s="279"/>
      <c r="I53" s="280"/>
      <c r="K53" s="278">
        <f t="shared" si="13"/>
        <v>0</v>
      </c>
    </row>
    <row r="54" spans="1:30" x14ac:dyDescent="0.2">
      <c r="A54" s="1239"/>
      <c r="B54" s="247">
        <f t="shared" si="12"/>
        <v>2018</v>
      </c>
      <c r="C54" s="255">
        <f>+C53+C38+C24</f>
        <v>0</v>
      </c>
      <c r="D54" s="255">
        <f t="shared" ref="D54:D57" si="14">+D53+D38+D24</f>
        <v>0</v>
      </c>
      <c r="E54" s="255">
        <f>+E53+E38+E24</f>
        <v>0</v>
      </c>
      <c r="F54" s="255">
        <f>+F24</f>
        <v>0</v>
      </c>
      <c r="G54" s="279"/>
      <c r="H54" s="279"/>
      <c r="I54" s="280"/>
      <c r="K54" s="278">
        <f t="shared" si="13"/>
        <v>0</v>
      </c>
    </row>
    <row r="55" spans="1:30" x14ac:dyDescent="0.2">
      <c r="A55" s="1239"/>
      <c r="B55" s="247">
        <f t="shared" si="12"/>
        <v>2019</v>
      </c>
      <c r="C55" s="255">
        <f t="shared" ref="C55:C57" si="15">+C54+C39+C25</f>
        <v>0</v>
      </c>
      <c r="D55" s="255">
        <f t="shared" si="14"/>
        <v>0</v>
      </c>
      <c r="E55" s="255">
        <f t="shared" ref="E55:E57" si="16">+E54+E39+E25</f>
        <v>0</v>
      </c>
      <c r="F55" s="255">
        <f>+F54+F39+F25</f>
        <v>0</v>
      </c>
      <c r="G55" s="255">
        <f>+G25</f>
        <v>0</v>
      </c>
      <c r="H55" s="279"/>
      <c r="I55" s="280"/>
      <c r="K55" s="278">
        <f t="shared" si="13"/>
        <v>0</v>
      </c>
    </row>
    <row r="56" spans="1:30" x14ac:dyDescent="0.2">
      <c r="A56" s="1239"/>
      <c r="B56" s="247">
        <f t="shared" si="12"/>
        <v>2020</v>
      </c>
      <c r="C56" s="255">
        <f t="shared" si="15"/>
        <v>0</v>
      </c>
      <c r="D56" s="255">
        <f t="shared" si="14"/>
        <v>0</v>
      </c>
      <c r="E56" s="255">
        <f t="shared" si="16"/>
        <v>0</v>
      </c>
      <c r="F56" s="255">
        <f t="shared" ref="F56:H57" si="17">+F55+F40+F26</f>
        <v>0</v>
      </c>
      <c r="G56" s="255">
        <f t="shared" si="17"/>
        <v>0</v>
      </c>
      <c r="H56" s="255">
        <f>+H26</f>
        <v>0</v>
      </c>
      <c r="I56" s="280"/>
      <c r="K56" s="278">
        <f t="shared" si="13"/>
        <v>0</v>
      </c>
    </row>
    <row r="57" spans="1:30" x14ac:dyDescent="0.2">
      <c r="A57" s="1240"/>
      <c r="B57" s="247">
        <f t="shared" ref="B57" si="18">B41</f>
        <v>2021</v>
      </c>
      <c r="C57" s="255">
        <f t="shared" si="15"/>
        <v>0</v>
      </c>
      <c r="D57" s="255">
        <f t="shared" si="14"/>
        <v>0</v>
      </c>
      <c r="E57" s="255">
        <f t="shared" si="16"/>
        <v>0</v>
      </c>
      <c r="F57" s="255">
        <f t="shared" si="17"/>
        <v>0</v>
      </c>
      <c r="G57" s="255">
        <f t="shared" si="17"/>
        <v>0</v>
      </c>
      <c r="H57" s="255">
        <f t="shared" si="17"/>
        <v>0</v>
      </c>
      <c r="I57" s="255">
        <f>+I27</f>
        <v>0</v>
      </c>
      <c r="K57" s="278">
        <f t="shared" si="13"/>
        <v>0</v>
      </c>
    </row>
    <row r="58" spans="1:30" x14ac:dyDescent="0.2">
      <c r="C58" s="241"/>
    </row>
    <row r="59" spans="1:30" ht="13.5" thickBot="1" x14ac:dyDescent="0.25">
      <c r="C59" s="241"/>
    </row>
    <row r="60" spans="1:30" s="179" customFormat="1" ht="22.5" customHeight="1" thickBot="1" x14ac:dyDescent="0.25">
      <c r="A60" s="1224" t="s">
        <v>176</v>
      </c>
      <c r="B60" s="1225"/>
      <c r="C60" s="1225"/>
      <c r="D60" s="1225"/>
      <c r="E60" s="1225"/>
      <c r="F60" s="1225"/>
      <c r="G60" s="1225"/>
      <c r="H60" s="1225"/>
      <c r="I60" s="1225"/>
      <c r="J60" s="1225"/>
      <c r="K60" s="1226"/>
      <c r="M60" s="178"/>
      <c r="N60" s="178"/>
      <c r="O60" s="178"/>
      <c r="P60" s="178"/>
      <c r="Q60" s="178"/>
      <c r="R60" s="178"/>
      <c r="S60" s="178"/>
      <c r="T60" s="178"/>
      <c r="U60" s="178"/>
      <c r="V60" s="178"/>
      <c r="W60" s="178"/>
      <c r="X60" s="178"/>
      <c r="Y60" s="178"/>
      <c r="Z60" s="178"/>
      <c r="AA60" s="178"/>
      <c r="AB60" s="178"/>
      <c r="AC60" s="178"/>
      <c r="AD60" s="178"/>
    </row>
    <row r="61" spans="1:30" x14ac:dyDescent="0.2">
      <c r="A61" s="167"/>
      <c r="B61" s="167"/>
      <c r="C61" s="167"/>
      <c r="D61" s="167"/>
      <c r="E61" s="167"/>
      <c r="F61" s="167"/>
      <c r="G61" s="167"/>
      <c r="H61" s="167"/>
      <c r="I61" s="167"/>
      <c r="J61" s="167"/>
      <c r="K61" s="167"/>
      <c r="L61" s="167"/>
      <c r="M61" s="212"/>
      <c r="N61" s="167"/>
    </row>
    <row r="62" spans="1:30" x14ac:dyDescent="0.2">
      <c r="A62" s="281" t="s">
        <v>172</v>
      </c>
      <c r="B62" s="167"/>
      <c r="C62" s="167"/>
      <c r="D62" s="167"/>
      <c r="E62" s="1000">
        <v>2017</v>
      </c>
      <c r="F62" s="167"/>
      <c r="G62" s="167"/>
      <c r="H62" s="167"/>
      <c r="I62" s="167"/>
      <c r="J62" s="167"/>
      <c r="K62" s="167"/>
      <c r="L62" s="212"/>
      <c r="M62" s="167"/>
    </row>
    <row r="63" spans="1:30" x14ac:dyDescent="0.2">
      <c r="A63" s="167"/>
      <c r="B63" s="167"/>
      <c r="C63" s="167"/>
      <c r="D63" s="167"/>
      <c r="E63" s="167"/>
      <c r="F63" s="167"/>
      <c r="G63" s="167"/>
      <c r="H63" s="167"/>
      <c r="I63" s="167"/>
      <c r="J63" s="167"/>
      <c r="K63" s="212"/>
      <c r="L63" s="167"/>
      <c r="M63" s="167"/>
    </row>
    <row r="64" spans="1:30" ht="128.1" customHeight="1" x14ac:dyDescent="0.2">
      <c r="A64" s="1257" t="s">
        <v>173</v>
      </c>
      <c r="B64" s="1258"/>
      <c r="C64" s="1258"/>
      <c r="D64" s="1259"/>
      <c r="E64" s="282"/>
      <c r="F64" s="166" t="str">
        <f>"Nog af te bouwen regulatoir saldo einde "&amp;E62-1</f>
        <v>Nog af te bouwen regulatoir saldo einde 2016</v>
      </c>
      <c r="G64" s="166" t="str">
        <f>"Afbouw oudste openstaande regulatoir saldo vanaf boekjaar "&amp;E62-3&amp;" en vroeger, door aanwending van compensatie met regulatoir saldo ontstaan over boekjaar "&amp;E62-2</f>
        <v>Afbouw oudste openstaande regulatoir saldo vanaf boekjaar 2014 en vroeger, door aanwending van compensatie met regulatoir saldo ontstaan over boekjaar 2015</v>
      </c>
      <c r="H64" s="166" t="str">
        <f>"Nog af te bouwen regulatoir saldo na compensatie einde "&amp;E62-1</f>
        <v>Nog af te bouwen regulatoir saldo na compensatie einde 2016</v>
      </c>
      <c r="I64" s="166" t="str">
        <f>"Aanwending van 60% van het geaccumuleerd regulatoir saldo door te rekenen volgens de tariefmethodologie in het boekjaar "&amp;E62</f>
        <v>Aanwending van 60% van het geaccumuleerd regulatoir saldo door te rekenen volgens de tariefmethodologie in het boekjaar 2017</v>
      </c>
      <c r="J64" s="166" t="str">
        <f>"Nog af te bouwen regulatoir saldo einde "&amp;E62</f>
        <v>Nog af te bouwen regulatoir saldo einde 2017</v>
      </c>
      <c r="K64" s="212"/>
      <c r="L64" s="167"/>
      <c r="M64" s="167"/>
    </row>
    <row r="65" spans="1:13" x14ac:dyDescent="0.2">
      <c r="A65" s="1260">
        <v>2015</v>
      </c>
      <c r="B65" s="1261"/>
      <c r="C65" s="1261"/>
      <c r="D65" s="1262"/>
      <c r="E65" s="283"/>
      <c r="F65" s="177">
        <f>C21+C22</f>
        <v>0</v>
      </c>
      <c r="G65" s="566">
        <v>0</v>
      </c>
      <c r="H65" s="177">
        <f>+F65+G65</f>
        <v>0</v>
      </c>
      <c r="I65" s="177">
        <f>-H65*0.6</f>
        <v>0</v>
      </c>
      <c r="J65" s="1001">
        <f>+I65+F65</f>
        <v>0</v>
      </c>
      <c r="K65" s="212"/>
      <c r="L65" s="167"/>
      <c r="M65" s="167"/>
    </row>
    <row r="66" spans="1:13" x14ac:dyDescent="0.2">
      <c r="A66" s="167"/>
      <c r="B66" s="167"/>
      <c r="C66" s="167"/>
      <c r="D66" s="167"/>
      <c r="E66" s="167"/>
      <c r="F66" s="167"/>
      <c r="G66" s="167"/>
      <c r="H66" s="167"/>
      <c r="I66" s="167"/>
      <c r="J66" s="167"/>
      <c r="K66" s="212"/>
      <c r="L66" s="167"/>
      <c r="M66" s="167"/>
    </row>
    <row r="67" spans="1:13" x14ac:dyDescent="0.2">
      <c r="A67" s="281" t="s">
        <v>172</v>
      </c>
      <c r="B67" s="167"/>
      <c r="C67" s="167"/>
      <c r="D67" s="167"/>
      <c r="E67" s="1000">
        <v>2018</v>
      </c>
      <c r="F67" s="167"/>
      <c r="G67" s="167"/>
      <c r="H67" s="167"/>
      <c r="I67" s="167"/>
      <c r="J67" s="167"/>
      <c r="K67" s="167"/>
      <c r="L67" s="212"/>
      <c r="M67" s="167"/>
    </row>
    <row r="68" spans="1:13" x14ac:dyDescent="0.2">
      <c r="A68" s="167"/>
      <c r="B68" s="167"/>
      <c r="C68" s="167"/>
      <c r="D68" s="167"/>
      <c r="E68" s="167"/>
      <c r="F68" s="167"/>
      <c r="G68" s="167"/>
      <c r="H68" s="167"/>
      <c r="I68" s="167"/>
      <c r="J68" s="167"/>
      <c r="K68" s="167"/>
      <c r="L68" s="212"/>
      <c r="M68" s="167"/>
    </row>
    <row r="69" spans="1:13" ht="128.1" customHeight="1" x14ac:dyDescent="0.2">
      <c r="A69" s="1257" t="s">
        <v>173</v>
      </c>
      <c r="B69" s="1258"/>
      <c r="C69" s="1258"/>
      <c r="D69" s="1259"/>
      <c r="E69" s="282"/>
      <c r="F69" s="166" t="str">
        <f>"Nog af te bouwen regulatoir saldo einde "&amp;E67-1</f>
        <v>Nog af te bouwen regulatoir saldo einde 2017</v>
      </c>
      <c r="G69" s="166" t="str">
        <f>"Afbouw oudste openstaande regulatoir saldo vanaf boekjaar "&amp;E67-3&amp;" en vroeger, door aanwending van compensatie met regulatoir saldo ontstaan over boekjaar "&amp;E67-2</f>
        <v>Afbouw oudste openstaande regulatoir saldo vanaf boekjaar 2015 en vroeger, door aanwending van compensatie met regulatoir saldo ontstaan over boekjaar 2016</v>
      </c>
      <c r="H69" s="166" t="str">
        <f>"Nog af te bouwen regulatoir saldo na compensatie einde "&amp;E67-1</f>
        <v>Nog af te bouwen regulatoir saldo na compensatie einde 2017</v>
      </c>
      <c r="I69" s="166" t="str">
        <f>"60% van het geaccumuleerd regulatoir saldo door te rekenen volgens de tariefmethodologie in het boekjaar "&amp;E67</f>
        <v>60% van het geaccumuleerd regulatoir saldo door te rekenen volgens de tariefmethodologie in het boekjaar 2018</v>
      </c>
      <c r="J69" s="166" t="str">
        <f>"Aanwending van 60% van het geaccumuleerd regulatoir saldo door te rekenen volgens de tariefmethodologie in het boekjaar "&amp;E67</f>
        <v>Aanwending van 60% van het geaccumuleerd regulatoir saldo door te rekenen volgens de tariefmethodologie in het boekjaar 2018</v>
      </c>
      <c r="K69" s="166" t="str">
        <f>"Totale afbouw over "&amp;E67</f>
        <v>Totale afbouw over 2018</v>
      </c>
      <c r="L69" s="166" t="str">
        <f>"Nog af te bouwen regulatoir saldo einde "&amp;E67</f>
        <v>Nog af te bouwen regulatoir saldo einde 2018</v>
      </c>
    </row>
    <row r="70" spans="1:13" x14ac:dyDescent="0.2">
      <c r="A70" s="1260">
        <v>2015</v>
      </c>
      <c r="B70" s="1261"/>
      <c r="C70" s="1261"/>
      <c r="D70" s="1262"/>
      <c r="E70" s="283"/>
      <c r="F70" s="566">
        <f>J65</f>
        <v>0</v>
      </c>
      <c r="G70" s="566">
        <f>IF(SIGN(F71*J65)&lt;0,IF(F70&lt;&gt;0,-SIGN(F70)*MIN(ABS(F71),ABS(F70)),0),0)</f>
        <v>0</v>
      </c>
      <c r="H70" s="566">
        <f>+F70+G70</f>
        <v>0</v>
      </c>
      <c r="I70" s="1005"/>
      <c r="J70" s="566">
        <f>-MIN(ABS(H70),ABS(I72))*SIGN(H70)</f>
        <v>0</v>
      </c>
      <c r="K70" s="1003">
        <f>+J70+G70</f>
        <v>0</v>
      </c>
      <c r="L70" s="566">
        <f>+H70+J70</f>
        <v>0</v>
      </c>
    </row>
    <row r="71" spans="1:13" x14ac:dyDescent="0.2">
      <c r="A71" s="1260">
        <v>2016</v>
      </c>
      <c r="B71" s="1261"/>
      <c r="C71" s="1261"/>
      <c r="D71" s="1262"/>
      <c r="E71" s="283"/>
      <c r="F71" s="566">
        <f>D22+D23</f>
        <v>0</v>
      </c>
      <c r="G71" s="1003">
        <f>IF(SIGN(F71*J65)&lt;0,-G70,0)</f>
        <v>0</v>
      </c>
      <c r="H71" s="566">
        <f>+F71+G71</f>
        <v>0</v>
      </c>
      <c r="I71" s="1005"/>
      <c r="J71" s="566">
        <f>-MIN(ABS(H71),ABS(I72-J70))*SIGN(H71)</f>
        <v>0</v>
      </c>
      <c r="K71" s="1003">
        <f>+J71+G71</f>
        <v>0</v>
      </c>
      <c r="L71" s="566">
        <f>+H71+J71</f>
        <v>0</v>
      </c>
    </row>
    <row r="72" spans="1:13" x14ac:dyDescent="0.2">
      <c r="A72" s="281"/>
      <c r="B72" s="281"/>
      <c r="C72" s="281"/>
      <c r="D72" s="281"/>
      <c r="E72" s="281"/>
      <c r="F72" s="169">
        <f>SUM(F70:F71)</f>
        <v>0</v>
      </c>
      <c r="G72" s="169">
        <f>SUM(G70:G71)</f>
        <v>0</v>
      </c>
      <c r="H72" s="169">
        <f>SUM(H70:H71)</f>
        <v>0</v>
      </c>
      <c r="I72" s="169">
        <f>-H72*0.6</f>
        <v>0</v>
      </c>
      <c r="J72" s="169">
        <f>SUM(J70:J71)</f>
        <v>0</v>
      </c>
      <c r="K72" s="570"/>
      <c r="L72" s="169">
        <f>SUM(L70:L71)</f>
        <v>0</v>
      </c>
    </row>
    <row r="73" spans="1:13" x14ac:dyDescent="0.2">
      <c r="A73" s="167"/>
      <c r="B73" s="167"/>
      <c r="C73" s="167"/>
      <c r="D73" s="167"/>
      <c r="E73" s="167"/>
      <c r="F73" s="167"/>
      <c r="G73" s="167"/>
      <c r="H73" s="167"/>
      <c r="I73" s="167"/>
      <c r="J73" s="167"/>
      <c r="K73" s="167"/>
      <c r="L73" s="167"/>
    </row>
    <row r="74" spans="1:13" x14ac:dyDescent="0.2">
      <c r="A74" s="281" t="s">
        <v>172</v>
      </c>
      <c r="B74" s="167"/>
      <c r="C74" s="167"/>
      <c r="D74" s="167"/>
      <c r="E74" s="1000">
        <v>2019</v>
      </c>
      <c r="F74" s="167"/>
      <c r="G74" s="167"/>
      <c r="H74" s="167"/>
      <c r="I74" s="167"/>
      <c r="J74" s="167"/>
      <c r="K74" s="167"/>
      <c r="L74" s="167"/>
    </row>
    <row r="75" spans="1:13" x14ac:dyDescent="0.2">
      <c r="A75" s="167"/>
      <c r="B75" s="167"/>
      <c r="C75" s="167"/>
      <c r="D75" s="167"/>
      <c r="E75" s="167"/>
      <c r="F75" s="167"/>
      <c r="G75" s="167"/>
      <c r="H75" s="167"/>
      <c r="I75" s="167"/>
      <c r="J75" s="167"/>
      <c r="K75" s="167"/>
      <c r="L75" s="167"/>
    </row>
    <row r="76" spans="1:13" ht="128.1" customHeight="1" x14ac:dyDescent="0.2">
      <c r="A76" s="1257" t="s">
        <v>173</v>
      </c>
      <c r="B76" s="1258"/>
      <c r="C76" s="1258"/>
      <c r="D76" s="1259"/>
      <c r="E76" s="282"/>
      <c r="F76" s="166" t="str">
        <f>"Nog af te bouwen regulatoir saldo einde "&amp;E74-1</f>
        <v>Nog af te bouwen regulatoir saldo einde 2018</v>
      </c>
      <c r="G76" s="166" t="str">
        <f>"Afbouw oudste openstaande regulatoir saldo vanaf boekjaar "&amp;E74-3&amp;" en vroeger, door aanwending van compensatie met regulatoir saldo ontstaan over boekjaar "&amp;E74-2</f>
        <v>Afbouw oudste openstaande regulatoir saldo vanaf boekjaar 2016 en vroeger, door aanwending van compensatie met regulatoir saldo ontstaan over boekjaar 2017</v>
      </c>
      <c r="H76" s="166" t="str">
        <f>"Nog af te bouwen regulatoir saldo na compensatie einde "&amp;E74-1</f>
        <v>Nog af te bouwen regulatoir saldo na compensatie einde 2018</v>
      </c>
      <c r="I76" s="166" t="str">
        <f>"60% van het geaccumuleerd regulatoir saldo door te rekenen volgens de tariefmethodologie in het boekjaar "&amp;E74</f>
        <v>60% van het geaccumuleerd regulatoir saldo door te rekenen volgens de tariefmethodologie in het boekjaar 2019</v>
      </c>
      <c r="J76" s="166" t="str">
        <f>"Aanwending van het 60% van het geaccumuleerd regulatoir saldo door te rekenen volgens de tariefmethodologie in het boekjaar "&amp;E74</f>
        <v>Aanwending van het 60% van het geaccumuleerd regulatoir saldo door te rekenen volgens de tariefmethodologie in het boekjaar 2019</v>
      </c>
      <c r="K76" s="166" t="str">
        <f>"Totale afbouw over "&amp;E74</f>
        <v>Totale afbouw over 2019</v>
      </c>
      <c r="L76" s="166" t="str">
        <f>"Nog af te bouwen regulatoir saldo einde "&amp;E74</f>
        <v>Nog af te bouwen regulatoir saldo einde 2019</v>
      </c>
    </row>
    <row r="77" spans="1:13" x14ac:dyDescent="0.2">
      <c r="A77" s="1260">
        <v>2015</v>
      </c>
      <c r="B77" s="1261"/>
      <c r="C77" s="1261"/>
      <c r="D77" s="1262"/>
      <c r="E77" s="283"/>
      <c r="F77" s="566">
        <f>+L70</f>
        <v>0</v>
      </c>
      <c r="G77" s="1003">
        <f>IF(SIGN(F79*L72)&lt;0,IF(F77&lt;&gt;0,-SIGN(F77)*MIN(ABS(F79),ABS(F77)),0),0)</f>
        <v>0</v>
      </c>
      <c r="H77" s="566">
        <f>+F77+G77</f>
        <v>0</v>
      </c>
      <c r="I77" s="1005"/>
      <c r="J77" s="566">
        <f>-MIN(ABS(H77),ABS(I80))*SIGN(H77)</f>
        <v>0</v>
      </c>
      <c r="K77" s="1003">
        <f>+J77+G77</f>
        <v>0</v>
      </c>
      <c r="L77" s="566">
        <f>+H77+J77</f>
        <v>0</v>
      </c>
    </row>
    <row r="78" spans="1:13" x14ac:dyDescent="0.2">
      <c r="A78" s="1260">
        <v>2016</v>
      </c>
      <c r="B78" s="1261"/>
      <c r="C78" s="1261">
        <v>2016</v>
      </c>
      <c r="D78" s="1262"/>
      <c r="E78" s="283"/>
      <c r="F78" s="566">
        <f>+L71</f>
        <v>0</v>
      </c>
      <c r="G78" s="1003">
        <f>IF(SIGN(F79*L72)&lt;0,IF(F78&lt;&gt;0,-SIGN(F78)*MIN(ABS(F79-G77),ABS(F78)),0),0)</f>
        <v>0</v>
      </c>
      <c r="H78" s="566">
        <f>+F78+G78</f>
        <v>0</v>
      </c>
      <c r="I78" s="1005"/>
      <c r="J78" s="566">
        <f>-MIN(ABS(H78),ABS(I80-J77))*SIGN(H78)</f>
        <v>0</v>
      </c>
      <c r="K78" s="1003">
        <f>+J78+G78</f>
        <v>0</v>
      </c>
      <c r="L78" s="566">
        <f>+H78+J78</f>
        <v>0</v>
      </c>
    </row>
    <row r="79" spans="1:13" x14ac:dyDescent="0.2">
      <c r="A79" s="1260">
        <v>2017</v>
      </c>
      <c r="B79" s="1261"/>
      <c r="C79" s="1261"/>
      <c r="D79" s="1262"/>
      <c r="E79" s="283"/>
      <c r="F79" s="566">
        <f>E23+E24</f>
        <v>0</v>
      </c>
      <c r="G79" s="1003">
        <f>IF(SIGN(F79*L72)&lt;0,-SUM(G77:G78),0)</f>
        <v>0</v>
      </c>
      <c r="H79" s="566">
        <f>+F79+G79</f>
        <v>0</v>
      </c>
      <c r="I79" s="1005"/>
      <c r="J79" s="566">
        <f>-MIN(ABS(H79),ABS(I80-J77-J78))*SIGN(H79)</f>
        <v>0</v>
      </c>
      <c r="K79" s="1003">
        <f>+J79+G79</f>
        <v>0</v>
      </c>
      <c r="L79" s="566">
        <f>+H79+J79</f>
        <v>0</v>
      </c>
    </row>
    <row r="80" spans="1:13" x14ac:dyDescent="0.2">
      <c r="A80" s="281"/>
      <c r="B80" s="281"/>
      <c r="C80" s="281"/>
      <c r="D80" s="281"/>
      <c r="E80" s="281"/>
      <c r="F80" s="169">
        <f>SUM(F77:F79)</f>
        <v>0</v>
      </c>
      <c r="G80" s="169">
        <f>SUM(G77:G79)</f>
        <v>0</v>
      </c>
      <c r="H80" s="169">
        <f>SUM(H77:H79)</f>
        <v>0</v>
      </c>
      <c r="I80" s="169">
        <f>-H80*0.6</f>
        <v>0</v>
      </c>
      <c r="J80" s="169">
        <f>SUM(J77:J79)</f>
        <v>0</v>
      </c>
      <c r="K80" s="570"/>
      <c r="L80" s="169">
        <f>SUM(L77:L79)</f>
        <v>0</v>
      </c>
    </row>
    <row r="81" spans="1:12" x14ac:dyDescent="0.2">
      <c r="A81" s="167"/>
      <c r="B81" s="167"/>
      <c r="C81" s="167"/>
      <c r="D81" s="167"/>
      <c r="E81" s="167"/>
      <c r="F81" s="167"/>
      <c r="G81" s="167"/>
      <c r="H81" s="167"/>
      <c r="I81" s="167"/>
      <c r="J81" s="167"/>
      <c r="K81" s="167"/>
      <c r="L81" s="167"/>
    </row>
    <row r="82" spans="1:12" x14ac:dyDescent="0.2">
      <c r="A82" s="281" t="s">
        <v>172</v>
      </c>
      <c r="B82" s="167"/>
      <c r="C82" s="167"/>
      <c r="D82" s="167"/>
      <c r="E82" s="1000">
        <v>2020</v>
      </c>
      <c r="F82" s="167"/>
      <c r="G82" s="167"/>
      <c r="H82" s="167"/>
      <c r="I82" s="167"/>
      <c r="J82" s="167"/>
      <c r="K82" s="167"/>
      <c r="L82" s="167"/>
    </row>
    <row r="83" spans="1:12" x14ac:dyDescent="0.2">
      <c r="A83" s="167"/>
      <c r="B83" s="167"/>
      <c r="C83" s="167"/>
      <c r="D83" s="167"/>
      <c r="E83" s="167"/>
      <c r="F83" s="167"/>
      <c r="G83" s="167"/>
      <c r="H83" s="167"/>
      <c r="I83" s="167"/>
      <c r="J83" s="167"/>
      <c r="K83" s="167"/>
      <c r="L83" s="167"/>
    </row>
    <row r="84" spans="1:12" ht="128.1" customHeight="1" x14ac:dyDescent="0.2">
      <c r="A84" s="1257" t="s">
        <v>173</v>
      </c>
      <c r="B84" s="1258"/>
      <c r="C84" s="1258"/>
      <c r="D84" s="1259"/>
      <c r="E84" s="282"/>
      <c r="F84" s="166" t="str">
        <f>"Nog af te bouwen regulatoir saldo einde "&amp;E82-1</f>
        <v>Nog af te bouwen regulatoir saldo einde 2019</v>
      </c>
      <c r="G84" s="166" t="str">
        <f>"Afbouw oudste openstaande regulatoir saldo vanaf boekjaar "&amp;E82-3&amp;" en vroeger, door aanwending van compensatie met regulatoir saldo ontstaan over boekjaar "&amp;E82-2</f>
        <v>Afbouw oudste openstaande regulatoir saldo vanaf boekjaar 2017 en vroeger, door aanwending van compensatie met regulatoir saldo ontstaan over boekjaar 2018</v>
      </c>
      <c r="H84" s="166" t="str">
        <f>"Nog af te bouwen regulatoir saldo na compensatie einde "&amp;E82-1</f>
        <v>Nog af te bouwen regulatoir saldo na compensatie einde 2019</v>
      </c>
      <c r="I84" s="166" t="str">
        <f>"60% van het geaccumuleerd regulatoir saldo door te rekenen volgens de tariefmethodologie in het boekjaar "&amp;E82</f>
        <v>60% van het geaccumuleerd regulatoir saldo door te rekenen volgens de tariefmethodologie in het boekjaar 2020</v>
      </c>
      <c r="J84" s="166" t="str">
        <f>"Aanwending van het 60% van het geaccumuleerd regulatoir saldo door te rekenen volgens de tariefmethodologie in het boekjaar "&amp;E82</f>
        <v>Aanwending van het 60% van het geaccumuleerd regulatoir saldo door te rekenen volgens de tariefmethodologie in het boekjaar 2020</v>
      </c>
      <c r="K84" s="166" t="str">
        <f>"Totale afbouw over "&amp;E82</f>
        <v>Totale afbouw over 2020</v>
      </c>
      <c r="L84" s="166" t="str">
        <f>"Nog af te bouwen regulatoir saldo einde "&amp;E82</f>
        <v>Nog af te bouwen regulatoir saldo einde 2020</v>
      </c>
    </row>
    <row r="85" spans="1:12" x14ac:dyDescent="0.2">
      <c r="A85" s="1260">
        <v>2015</v>
      </c>
      <c r="B85" s="1261"/>
      <c r="C85" s="1261"/>
      <c r="D85" s="1262"/>
      <c r="E85" s="283"/>
      <c r="F85" s="566">
        <f>+L77</f>
        <v>0</v>
      </c>
      <c r="G85" s="1003">
        <f>IF(SIGN(F88*L80)&lt;0,IF(F85&lt;&gt;0,-SIGN(F85)*MIN(ABS(F88),ABS(F85)),0),0)</f>
        <v>0</v>
      </c>
      <c r="H85" s="566">
        <f>+F85+G85</f>
        <v>0</v>
      </c>
      <c r="I85" s="1005"/>
      <c r="J85" s="566">
        <f>-MIN(ABS(H85),ABS(I89))*SIGN(H85)</f>
        <v>0</v>
      </c>
      <c r="K85" s="1003">
        <f>+J85+G85</f>
        <v>0</v>
      </c>
      <c r="L85" s="566">
        <f>+H85+J85</f>
        <v>0</v>
      </c>
    </row>
    <row r="86" spans="1:12" x14ac:dyDescent="0.2">
      <c r="A86" s="1260">
        <v>2016</v>
      </c>
      <c r="B86" s="1261"/>
      <c r="C86" s="1261"/>
      <c r="D86" s="1262"/>
      <c r="E86" s="283"/>
      <c r="F86" s="566">
        <f>+L78</f>
        <v>0</v>
      </c>
      <c r="G86" s="1003">
        <f>IF(SIGN(F88*L80)&lt;0,IF(F86&lt;&gt;0,-SIGN(F86)*MIN(ABS(F88-G85),ABS(F86)),0),0)</f>
        <v>0</v>
      </c>
      <c r="H86" s="566">
        <f>+F86+G86</f>
        <v>0</v>
      </c>
      <c r="I86" s="1005"/>
      <c r="J86" s="566">
        <f>-MIN(ABS(H86),ABS(I89-J85))*SIGN(H86)</f>
        <v>0</v>
      </c>
      <c r="K86" s="1003">
        <f>+J86+G86</f>
        <v>0</v>
      </c>
      <c r="L86" s="566">
        <f>+H86+J86</f>
        <v>0</v>
      </c>
    </row>
    <row r="87" spans="1:12" x14ac:dyDescent="0.2">
      <c r="A87" s="1260">
        <v>2017</v>
      </c>
      <c r="B87" s="1261"/>
      <c r="C87" s="1261">
        <v>2016</v>
      </c>
      <c r="D87" s="1262"/>
      <c r="E87" s="283"/>
      <c r="F87" s="566">
        <f>+L79</f>
        <v>0</v>
      </c>
      <c r="G87" s="1003">
        <f>IF(SIGN(F88*L80)&lt;0,IF(F87&lt;&gt;0,-SIGN(F87)*MIN(ABS(F88-G85-G86),ABS(F87)),0),0)</f>
        <v>0</v>
      </c>
      <c r="H87" s="566">
        <f>+F87+G87</f>
        <v>0</v>
      </c>
      <c r="I87" s="1005"/>
      <c r="J87" s="566">
        <f>-MIN(ABS(H87),ABS(I89-J85-J86))*SIGN(H87)</f>
        <v>0</v>
      </c>
      <c r="K87" s="1003">
        <f>+J87+G87</f>
        <v>0</v>
      </c>
      <c r="L87" s="566">
        <f>+H87+J87</f>
        <v>0</v>
      </c>
    </row>
    <row r="88" spans="1:12" x14ac:dyDescent="0.2">
      <c r="A88" s="1260">
        <v>2018</v>
      </c>
      <c r="B88" s="1261"/>
      <c r="C88" s="1261"/>
      <c r="D88" s="1262"/>
      <c r="E88" s="283"/>
      <c r="F88" s="566">
        <f>F24+F25</f>
        <v>0</v>
      </c>
      <c r="G88" s="1003">
        <f>IF(SIGN(F88*L80)&lt;0,-SUM(G85:G87),0)</f>
        <v>0</v>
      </c>
      <c r="H88" s="566">
        <f>+F88+G88</f>
        <v>0</v>
      </c>
      <c r="I88" s="1005"/>
      <c r="J88" s="566">
        <f>-MIN(ABS(H88),ABS(I89-J85-J86-J87))*SIGN(H88)</f>
        <v>0</v>
      </c>
      <c r="K88" s="1003">
        <f>+J88+G88</f>
        <v>0</v>
      </c>
      <c r="L88" s="566">
        <f>+H88+J88</f>
        <v>0</v>
      </c>
    </row>
    <row r="89" spans="1:12" x14ac:dyDescent="0.2">
      <c r="A89" s="281"/>
      <c r="B89" s="281"/>
      <c r="C89" s="281"/>
      <c r="D89" s="281"/>
      <c r="E89" s="281"/>
      <c r="F89" s="169">
        <f>SUM(F85:F88)</f>
        <v>0</v>
      </c>
      <c r="G89" s="169">
        <f>SUM(G85:G88)</f>
        <v>0</v>
      </c>
      <c r="H89" s="169">
        <f>SUM(H85:H88)</f>
        <v>0</v>
      </c>
      <c r="I89" s="169">
        <f>-H89*0.6</f>
        <v>0</v>
      </c>
      <c r="J89" s="169">
        <f>SUM(J85:J88)</f>
        <v>0</v>
      </c>
      <c r="K89" s="169"/>
      <c r="L89" s="169">
        <f>SUM(L85:L88)</f>
        <v>0</v>
      </c>
    </row>
    <row r="90" spans="1:12" s="167" customFormat="1" x14ac:dyDescent="0.2"/>
    <row r="91" spans="1:12" s="167" customFormat="1" x14ac:dyDescent="0.2">
      <c r="A91" s="281" t="s">
        <v>172</v>
      </c>
      <c r="E91" s="1000">
        <v>2021</v>
      </c>
    </row>
    <row r="92" spans="1:12" s="167" customFormat="1" x14ac:dyDescent="0.2"/>
    <row r="93" spans="1:12" s="167" customFormat="1" ht="78" customHeight="1" x14ac:dyDescent="0.2">
      <c r="A93" s="1257" t="s">
        <v>173</v>
      </c>
      <c r="B93" s="1258"/>
      <c r="C93" s="1258"/>
      <c r="D93" s="1259"/>
      <c r="E93" s="282"/>
      <c r="F93" s="166" t="str">
        <f>"Nog af te bouwen regulatoir saldo einde "&amp;E91-1</f>
        <v>Nog af te bouwen regulatoir saldo einde 2020</v>
      </c>
      <c r="G93" s="166" t="str">
        <f>"50% van het regulatoir saldo door te rekenen volgens de tariefmethodologie in het boekjaar "&amp;E91</f>
        <v>50% van het regulatoir saldo door te rekenen volgens de tariefmethodologie in het boekjaar 2021</v>
      </c>
      <c r="H93" s="166" t="str">
        <f>"Nog af te bouwen regulatoir saldo einde "&amp;E91</f>
        <v>Nog af te bouwen regulatoir saldo einde 2021</v>
      </c>
      <c r="I93" s="212"/>
    </row>
    <row r="94" spans="1:12" s="167" customFormat="1" x14ac:dyDescent="0.2">
      <c r="A94" s="1260">
        <v>2015</v>
      </c>
      <c r="B94" s="1261"/>
      <c r="C94" s="1261"/>
      <c r="D94" s="1262"/>
      <c r="E94" s="283"/>
      <c r="F94" s="566">
        <f>+L85</f>
        <v>0</v>
      </c>
      <c r="G94" s="566">
        <f>-F94*0.5</f>
        <v>0</v>
      </c>
      <c r="H94" s="566">
        <f>+F94+G94</f>
        <v>0</v>
      </c>
      <c r="I94" s="212"/>
    </row>
    <row r="95" spans="1:12" s="167" customFormat="1" x14ac:dyDescent="0.2">
      <c r="A95" s="1260">
        <v>2016</v>
      </c>
      <c r="B95" s="1261"/>
      <c r="C95" s="1261"/>
      <c r="D95" s="1262"/>
      <c r="E95" s="283"/>
      <c r="F95" s="566">
        <f t="shared" ref="F95:F97" si="19">+L86</f>
        <v>0</v>
      </c>
      <c r="G95" s="566">
        <f t="shared" ref="G95:G98" si="20">-F95*0.5</f>
        <v>0</v>
      </c>
      <c r="H95" s="566">
        <f t="shared" ref="H95:H98" si="21">+F95+G95</f>
        <v>0</v>
      </c>
      <c r="I95" s="212"/>
    </row>
    <row r="96" spans="1:12" s="167" customFormat="1" x14ac:dyDescent="0.2">
      <c r="A96" s="1260">
        <v>2017</v>
      </c>
      <c r="B96" s="1261"/>
      <c r="C96" s="1261">
        <v>2016</v>
      </c>
      <c r="D96" s="1262"/>
      <c r="E96" s="283"/>
      <c r="F96" s="566">
        <f t="shared" si="19"/>
        <v>0</v>
      </c>
      <c r="G96" s="566">
        <f t="shared" si="20"/>
        <v>0</v>
      </c>
      <c r="H96" s="566">
        <f t="shared" si="21"/>
        <v>0</v>
      </c>
      <c r="I96" s="212"/>
    </row>
    <row r="97" spans="1:13" s="167" customFormat="1" x14ac:dyDescent="0.2">
      <c r="A97" s="1260">
        <v>2018</v>
      </c>
      <c r="B97" s="1261"/>
      <c r="C97" s="1261"/>
      <c r="D97" s="1262"/>
      <c r="E97" s="283"/>
      <c r="F97" s="566">
        <f t="shared" si="19"/>
        <v>0</v>
      </c>
      <c r="G97" s="566">
        <f t="shared" si="20"/>
        <v>0</v>
      </c>
      <c r="H97" s="566">
        <f t="shared" si="21"/>
        <v>0</v>
      </c>
      <c r="I97" s="212"/>
    </row>
    <row r="98" spans="1:13" s="167" customFormat="1" x14ac:dyDescent="0.2">
      <c r="A98" s="1260">
        <v>2019</v>
      </c>
      <c r="B98" s="1261"/>
      <c r="C98" s="1261"/>
      <c r="D98" s="1262"/>
      <c r="E98" s="283"/>
      <c r="F98" s="566">
        <f>+G25+G26</f>
        <v>0</v>
      </c>
      <c r="G98" s="566">
        <f t="shared" si="20"/>
        <v>0</v>
      </c>
      <c r="H98" s="566">
        <f t="shared" si="21"/>
        <v>0</v>
      </c>
      <c r="I98" s="212"/>
    </row>
    <row r="99" spans="1:13" s="281" customFormat="1" x14ac:dyDescent="0.2">
      <c r="F99" s="169">
        <f>SUM(F94:F98)</f>
        <v>0</v>
      </c>
      <c r="G99" s="169">
        <f>SUM(G94:G98)</f>
        <v>0</v>
      </c>
      <c r="H99" s="169">
        <f>SUM(H94:H98)</f>
        <v>0</v>
      </c>
    </row>
    <row r="100" spans="1:13" x14ac:dyDescent="0.2">
      <c r="A100" s="167"/>
      <c r="B100" s="167"/>
      <c r="C100" s="167"/>
      <c r="D100" s="167"/>
      <c r="E100" s="167"/>
      <c r="F100" s="167"/>
      <c r="G100" s="167"/>
      <c r="H100" s="167"/>
      <c r="I100" s="167"/>
      <c r="J100" s="167"/>
      <c r="K100" s="167"/>
      <c r="L100" s="209"/>
      <c r="M100" s="167"/>
    </row>
    <row r="101" spans="1:13" x14ac:dyDescent="0.2">
      <c r="A101" s="167"/>
      <c r="B101" s="167"/>
      <c r="C101" s="167"/>
      <c r="D101" s="167"/>
      <c r="E101" s="167"/>
      <c r="F101" s="167"/>
      <c r="G101" s="167"/>
      <c r="H101" s="167"/>
      <c r="I101" s="167"/>
      <c r="J101" s="167"/>
      <c r="K101" s="167"/>
      <c r="L101" s="209"/>
      <c r="M101" s="167"/>
    </row>
    <row r="102" spans="1:13" x14ac:dyDescent="0.2">
      <c r="A102" s="281" t="s">
        <v>174</v>
      </c>
      <c r="B102" s="224"/>
      <c r="C102" s="224"/>
      <c r="D102" s="224"/>
      <c r="E102" s="167"/>
      <c r="F102" s="167"/>
      <c r="G102" s="167"/>
      <c r="H102" s="167"/>
      <c r="I102" s="167"/>
      <c r="J102" s="167"/>
      <c r="K102" s="167"/>
      <c r="L102" s="209"/>
      <c r="M102" s="167"/>
    </row>
    <row r="103" spans="1:13" x14ac:dyDescent="0.2">
      <c r="A103" s="281"/>
      <c r="B103" s="224"/>
      <c r="C103" s="224"/>
      <c r="D103" s="224"/>
      <c r="E103" s="167"/>
      <c r="F103" s="167"/>
      <c r="G103" s="167"/>
      <c r="H103" s="167"/>
      <c r="I103" s="167"/>
      <c r="J103" s="167"/>
      <c r="K103" s="167"/>
      <c r="L103" s="209"/>
      <c r="M103" s="167"/>
    </row>
    <row r="104" spans="1:13" x14ac:dyDescent="0.2">
      <c r="A104" s="283">
        <v>2021</v>
      </c>
      <c r="B104" s="287">
        <f>+G99</f>
        <v>0</v>
      </c>
      <c r="C104" s="224"/>
      <c r="D104" s="224"/>
      <c r="E104" s="167"/>
      <c r="F104" s="167"/>
      <c r="G104" s="167"/>
      <c r="H104" s="167"/>
      <c r="I104" s="167"/>
      <c r="J104" s="167"/>
      <c r="K104" s="167"/>
      <c r="L104" s="209"/>
      <c r="M104" s="167"/>
    </row>
    <row r="105" spans="1:13" x14ac:dyDescent="0.2">
      <c r="C105" s="224"/>
      <c r="D105" s="224"/>
      <c r="E105" s="167"/>
      <c r="F105" s="167"/>
      <c r="G105" s="167"/>
      <c r="H105" s="167"/>
      <c r="I105" s="167"/>
      <c r="J105" s="167"/>
      <c r="K105" s="167"/>
      <c r="L105" s="209"/>
      <c r="M105" s="167"/>
    </row>
    <row r="106" spans="1:13" x14ac:dyDescent="0.2">
      <c r="C106" s="224"/>
      <c r="D106" s="224"/>
      <c r="E106" s="167"/>
      <c r="F106" s="167"/>
      <c r="G106" s="167"/>
      <c r="H106" s="167"/>
      <c r="I106" s="167"/>
      <c r="J106" s="167"/>
      <c r="K106" s="167"/>
      <c r="L106" s="209"/>
      <c r="M106" s="167"/>
    </row>
    <row r="107" spans="1:13" x14ac:dyDescent="0.2">
      <c r="C107" s="224"/>
      <c r="D107" s="224"/>
      <c r="E107" s="167"/>
      <c r="F107" s="167"/>
      <c r="G107" s="167"/>
      <c r="H107" s="167"/>
      <c r="I107" s="167"/>
      <c r="J107" s="167"/>
      <c r="K107" s="167"/>
      <c r="L107" s="209"/>
      <c r="M107" s="167"/>
    </row>
  </sheetData>
  <sheetProtection algorithmName="SHA-512" hashValue="hTQ5NgXpG8DPBptHD6MmG56t8xC7vNgIAttI6iTYFCanHyrzr5xHcMPka+mbEvTToIZ06pYnVucbSyegGjtZfQ==" saltValue="GkMriOS5hGdU+7IGE1EjKw==" spinCount="100000" sheet="1" objects="1" scenarios="1"/>
  <mergeCells count="36">
    <mergeCell ref="A45:K45"/>
    <mergeCell ref="C49:I49"/>
    <mergeCell ref="A51:A57"/>
    <mergeCell ref="L15:M15"/>
    <mergeCell ref="C19:I19"/>
    <mergeCell ref="A20:B20"/>
    <mergeCell ref="A21:A28"/>
    <mergeCell ref="C33:I33"/>
    <mergeCell ref="A35:A42"/>
    <mergeCell ref="A15:K15"/>
    <mergeCell ref="A1:K1"/>
    <mergeCell ref="A4:K4"/>
    <mergeCell ref="C6:I6"/>
    <mergeCell ref="C7:I7"/>
    <mergeCell ref="C8:I8"/>
    <mergeCell ref="A60:K60"/>
    <mergeCell ref="A64:D64"/>
    <mergeCell ref="A65:D65"/>
    <mergeCell ref="A69:D69"/>
    <mergeCell ref="A70:D70"/>
    <mergeCell ref="A71:D71"/>
    <mergeCell ref="A86:D86"/>
    <mergeCell ref="A87:D87"/>
    <mergeCell ref="A88:D88"/>
    <mergeCell ref="A76:D76"/>
    <mergeCell ref="A77:D77"/>
    <mergeCell ref="A78:D78"/>
    <mergeCell ref="A79:D79"/>
    <mergeCell ref="A84:D84"/>
    <mergeCell ref="A85:D85"/>
    <mergeCell ref="A98:D98"/>
    <mergeCell ref="A93:D93"/>
    <mergeCell ref="A94:D94"/>
    <mergeCell ref="A95:D95"/>
    <mergeCell ref="A96:D96"/>
    <mergeCell ref="A97:D97"/>
  </mergeCells>
  <conditionalFormatting sqref="A1:XFD1048576">
    <cfRule type="expression" dxfId="44" priority="1">
      <formula>$C$7="gas"</formula>
    </cfRule>
  </conditionalFormatting>
  <pageMargins left="0.78740157480314965" right="0.78740157480314965" top="0.98425196850393704" bottom="0.98425196850393704" header="0.51181102362204722" footer="0.51181102362204722"/>
  <pageSetup paperSize="8" scale="43" orientation="landscape" r:id="rId1"/>
  <headerFooter alignWithMargins="0">
    <oddFooter>&amp;CPage &amp;P</oddFooter>
  </headerFooter>
  <ignoredErrors>
    <ignoredError sqref="K34 M34"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pageSetUpPr fitToPage="1"/>
  </sheetPr>
  <dimension ref="A1:AG102"/>
  <sheetViews>
    <sheetView zoomScale="80" zoomScaleNormal="80" zoomScaleSheetLayoutView="80" workbookViewId="0">
      <selection activeCell="F14" sqref="F14"/>
    </sheetView>
  </sheetViews>
  <sheetFormatPr defaultColWidth="11.42578125" defaultRowHeight="12.75" x14ac:dyDescent="0.2"/>
  <cols>
    <col min="1" max="1" width="24.28515625" style="178" customWidth="1"/>
    <col min="2" max="2" width="21.5703125" style="178" customWidth="1"/>
    <col min="3" max="12" width="17.7109375" style="178" customWidth="1"/>
    <col min="13" max="13" width="2.28515625" style="178" customWidth="1"/>
    <col min="14" max="14" width="17.7109375" style="178" customWidth="1"/>
    <col min="15" max="15" width="2" style="178" customWidth="1"/>
    <col min="16" max="16" width="17.7109375" style="178" customWidth="1"/>
    <col min="17" max="17" width="28.7109375" style="178" bestFit="1" customWidth="1"/>
    <col min="18" max="18" width="14" style="178" customWidth="1"/>
    <col min="19" max="19" width="11.42578125" style="178"/>
    <col min="20" max="20" width="12.28515625" style="178" bestFit="1" customWidth="1"/>
    <col min="21" max="16384" width="11.42578125" style="178"/>
  </cols>
  <sheetData>
    <row r="1" spans="1:22" ht="25.5" customHeight="1" thickBot="1" x14ac:dyDescent="0.25">
      <c r="A1" s="1294" t="s">
        <v>246</v>
      </c>
      <c r="B1" s="1295"/>
      <c r="C1" s="1295"/>
      <c r="D1" s="1295"/>
      <c r="E1" s="1295"/>
      <c r="F1" s="1295"/>
      <c r="G1" s="1295"/>
      <c r="H1" s="1295"/>
      <c r="I1" s="1295"/>
      <c r="J1" s="1295"/>
      <c r="K1" s="1295"/>
      <c r="L1" s="1295"/>
      <c r="M1" s="1295"/>
      <c r="N1" s="1296"/>
      <c r="O1" s="220"/>
      <c r="P1" s="296"/>
      <c r="Q1" s="230"/>
      <c r="R1" s="231"/>
      <c r="S1" s="231"/>
      <c r="T1" s="231"/>
      <c r="U1" s="231"/>
    </row>
    <row r="2" spans="1:22" x14ac:dyDescent="0.2">
      <c r="A2" s="233"/>
      <c r="B2" s="233"/>
      <c r="C2" s="233"/>
      <c r="D2" s="233"/>
      <c r="E2" s="233"/>
      <c r="F2" s="233"/>
      <c r="G2" s="233"/>
      <c r="H2" s="233"/>
      <c r="I2" s="233"/>
      <c r="J2" s="233"/>
      <c r="K2" s="233"/>
      <c r="L2" s="233"/>
      <c r="M2" s="233"/>
      <c r="N2" s="233"/>
      <c r="O2" s="220"/>
      <c r="P2" s="296"/>
      <c r="Q2" s="288"/>
      <c r="R2" s="237"/>
      <c r="S2" s="237"/>
      <c r="T2" s="231"/>
      <c r="U2" s="231"/>
    </row>
    <row r="3" spans="1:22" x14ac:dyDescent="0.2">
      <c r="A3" s="233"/>
      <c r="B3" s="233"/>
      <c r="C3" s="288">
        <f t="shared" ref="C3:L3" si="0">+C7+1</f>
        <v>2016</v>
      </c>
      <c r="D3" s="288">
        <f t="shared" si="0"/>
        <v>2017</v>
      </c>
      <c r="E3" s="288">
        <f t="shared" si="0"/>
        <v>2018</v>
      </c>
      <c r="F3" s="288">
        <f t="shared" si="0"/>
        <v>2019</v>
      </c>
      <c r="G3" s="288">
        <f t="shared" si="0"/>
        <v>2020</v>
      </c>
      <c r="H3" s="288"/>
      <c r="I3" s="288"/>
      <c r="J3" s="288"/>
      <c r="K3" s="288"/>
      <c r="L3" s="288">
        <f t="shared" si="0"/>
        <v>2025</v>
      </c>
      <c r="M3" s="288"/>
      <c r="N3" s="288"/>
      <c r="O3" s="210"/>
      <c r="P3" s="296"/>
      <c r="Q3" s="237"/>
      <c r="R3" s="237"/>
      <c r="S3" s="237"/>
      <c r="T3" s="231"/>
      <c r="U3" s="231"/>
      <c r="V3" s="237"/>
    </row>
    <row r="4" spans="1:22" s="167" customFormat="1" ht="16.5" x14ac:dyDescent="0.2">
      <c r="A4" s="224"/>
      <c r="C4" s="1244" t="str">
        <f>+TITELBLAD!C7</f>
        <v>NAAM DNB</v>
      </c>
      <c r="D4" s="1245"/>
      <c r="E4" s="1245"/>
      <c r="F4" s="1245"/>
      <c r="G4" s="1245"/>
      <c r="H4" s="1245"/>
      <c r="I4" s="1245"/>
      <c r="J4" s="1245"/>
      <c r="K4" s="1245"/>
      <c r="L4" s="1246"/>
      <c r="O4" s="220"/>
      <c r="P4" s="296"/>
      <c r="Q4" s="288" t="str">
        <f>+TITELBLAD!B16</f>
        <v>Rapportering over boekjaar:</v>
      </c>
      <c r="R4" s="237">
        <f>+TITELBLAD!E16</f>
        <v>2021</v>
      </c>
      <c r="S4" s="237" t="str">
        <f>+TITELBLAD!F16</f>
        <v>ex-ante</v>
      </c>
      <c r="T4" s="296"/>
      <c r="U4" s="296"/>
    </row>
    <row r="5" spans="1:22" s="167" customFormat="1" ht="16.5" x14ac:dyDescent="0.2">
      <c r="A5" s="224"/>
      <c r="C5" s="1244" t="str">
        <f>+TITELBLAD!C10</f>
        <v>gas</v>
      </c>
      <c r="D5" s="1245"/>
      <c r="E5" s="1245"/>
      <c r="F5" s="1245"/>
      <c r="G5" s="1245"/>
      <c r="H5" s="1245"/>
      <c r="I5" s="1245"/>
      <c r="J5" s="1245"/>
      <c r="K5" s="1245"/>
      <c r="L5" s="1246"/>
      <c r="O5" s="220"/>
      <c r="P5" s="296"/>
      <c r="Q5" s="209"/>
      <c r="R5" s="209"/>
      <c r="S5" s="209"/>
      <c r="T5" s="296"/>
      <c r="U5" s="296"/>
    </row>
    <row r="6" spans="1:22" s="167" customFormat="1" ht="16.5" x14ac:dyDescent="0.2">
      <c r="A6" s="224"/>
      <c r="C6" s="1244" t="s">
        <v>19</v>
      </c>
      <c r="D6" s="1245"/>
      <c r="E6" s="1245"/>
      <c r="F6" s="1245"/>
      <c r="G6" s="1245"/>
      <c r="H6" s="1245"/>
      <c r="I6" s="1245"/>
      <c r="J6" s="1245"/>
      <c r="K6" s="1245"/>
      <c r="L6" s="1246"/>
      <c r="O6" s="220"/>
      <c r="P6" s="296"/>
      <c r="Q6" s="209"/>
      <c r="R6" s="209"/>
      <c r="S6" s="209"/>
      <c r="T6" s="296"/>
      <c r="U6" s="296"/>
    </row>
    <row r="7" spans="1:22" s="167" customFormat="1" ht="52.5" customHeight="1" thickBot="1" x14ac:dyDescent="0.25">
      <c r="A7" s="1306"/>
      <c r="B7" s="1307"/>
      <c r="C7" s="877">
        <v>2015</v>
      </c>
      <c r="D7" s="877">
        <v>2016</v>
      </c>
      <c r="E7" s="877">
        <v>2017</v>
      </c>
      <c r="F7" s="877">
        <v>2018</v>
      </c>
      <c r="G7" s="877">
        <v>2019</v>
      </c>
      <c r="H7" s="877">
        <v>2020</v>
      </c>
      <c r="I7" s="877">
        <v>2021</v>
      </c>
      <c r="J7" s="878">
        <v>2022</v>
      </c>
      <c r="K7" s="878">
        <v>2023</v>
      </c>
      <c r="L7" s="878">
        <v>2024</v>
      </c>
      <c r="O7" s="220"/>
      <c r="P7" s="296"/>
      <c r="Q7" s="209"/>
      <c r="R7" s="209"/>
      <c r="S7" s="209"/>
      <c r="T7" s="296"/>
      <c r="U7" s="296"/>
    </row>
    <row r="8" spans="1:22" s="167" customFormat="1" ht="28.5" customHeight="1" thickBot="1" x14ac:dyDescent="0.25">
      <c r="A8" s="1308" t="s">
        <v>154</v>
      </c>
      <c r="B8" s="1309"/>
      <c r="C8" s="880">
        <f t="shared" ref="C8:L8" si="1">SUM(C9:C15)</f>
        <v>0</v>
      </c>
      <c r="D8" s="880">
        <f t="shared" si="1"/>
        <v>0</v>
      </c>
      <c r="E8" s="880">
        <f t="shared" si="1"/>
        <v>0</v>
      </c>
      <c r="F8" s="880">
        <f t="shared" si="1"/>
        <v>0</v>
      </c>
      <c r="G8" s="880">
        <f t="shared" si="1"/>
        <v>0</v>
      </c>
      <c r="H8" s="880">
        <f t="shared" si="1"/>
        <v>0</v>
      </c>
      <c r="I8" s="880">
        <f t="shared" si="1"/>
        <v>0</v>
      </c>
      <c r="J8" s="881">
        <f t="shared" si="1"/>
        <v>0</v>
      </c>
      <c r="K8" s="881">
        <f t="shared" si="1"/>
        <v>0</v>
      </c>
      <c r="L8" s="882">
        <f t="shared" si="1"/>
        <v>0</v>
      </c>
      <c r="O8" s="220"/>
      <c r="P8" s="296"/>
      <c r="Q8" s="209"/>
      <c r="R8" s="209"/>
      <c r="S8" s="209"/>
      <c r="T8" s="296"/>
      <c r="U8" s="296"/>
    </row>
    <row r="9" spans="1:22" s="167" customFormat="1" ht="38.25" customHeight="1" x14ac:dyDescent="0.2">
      <c r="A9" s="1302" t="s">
        <v>107</v>
      </c>
      <c r="B9" s="1303"/>
      <c r="C9" s="1006">
        <v>0</v>
      </c>
      <c r="D9" s="1006">
        <v>0</v>
      </c>
      <c r="E9" s="1006">
        <v>0</v>
      </c>
      <c r="F9" s="1006">
        <v>0</v>
      </c>
      <c r="G9" s="1006">
        <v>0</v>
      </c>
      <c r="H9" s="1006">
        <v>0</v>
      </c>
      <c r="I9" s="1006">
        <v>0</v>
      </c>
      <c r="J9" s="879">
        <v>0</v>
      </c>
      <c r="K9" s="879">
        <v>0</v>
      </c>
      <c r="L9" s="883">
        <v>0</v>
      </c>
      <c r="O9" s="220"/>
      <c r="P9" s="296"/>
      <c r="Q9" s="296"/>
      <c r="R9" s="296"/>
      <c r="S9" s="296"/>
      <c r="T9" s="296"/>
      <c r="U9" s="296"/>
    </row>
    <row r="10" spans="1:22" s="167" customFormat="1" ht="41.25" customHeight="1" x14ac:dyDescent="0.2">
      <c r="A10" s="1304" t="s">
        <v>108</v>
      </c>
      <c r="B10" s="1305"/>
      <c r="C10" s="213">
        <v>0</v>
      </c>
      <c r="D10" s="213">
        <v>0</v>
      </c>
      <c r="E10" s="213">
        <v>0</v>
      </c>
      <c r="F10" s="213">
        <v>0</v>
      </c>
      <c r="G10" s="213">
        <v>0</v>
      </c>
      <c r="H10" s="213">
        <v>0</v>
      </c>
      <c r="I10" s="213">
        <v>0</v>
      </c>
      <c r="J10" s="340">
        <v>0</v>
      </c>
      <c r="K10" s="340">
        <v>0</v>
      </c>
      <c r="L10" s="884">
        <v>0</v>
      </c>
      <c r="O10" s="220"/>
      <c r="P10" s="296"/>
      <c r="Q10" s="296"/>
      <c r="R10" s="296"/>
      <c r="S10" s="296"/>
      <c r="T10" s="296"/>
      <c r="U10" s="296"/>
    </row>
    <row r="11" spans="1:22" s="167" customFormat="1" ht="37.5" customHeight="1" x14ac:dyDescent="0.2">
      <c r="A11" s="1304" t="s">
        <v>204</v>
      </c>
      <c r="B11" s="1305"/>
      <c r="C11" s="340"/>
      <c r="D11" s="340"/>
      <c r="E11" s="340"/>
      <c r="F11" s="340"/>
      <c r="G11" s="340"/>
      <c r="H11" s="340"/>
      <c r="I11" s="213">
        <v>0</v>
      </c>
      <c r="J11" s="340">
        <v>0</v>
      </c>
      <c r="K11" s="340">
        <v>0</v>
      </c>
      <c r="L11" s="884">
        <v>0</v>
      </c>
      <c r="O11" s="220"/>
      <c r="P11" s="296"/>
      <c r="Q11" s="296"/>
      <c r="R11" s="296"/>
      <c r="S11" s="296"/>
      <c r="T11" s="296"/>
      <c r="U11" s="296"/>
    </row>
    <row r="12" spans="1:22" s="167" customFormat="1" ht="37.5" customHeight="1" x14ac:dyDescent="0.2">
      <c r="A12" s="1304" t="s">
        <v>109</v>
      </c>
      <c r="B12" s="1305"/>
      <c r="C12" s="213">
        <v>0</v>
      </c>
      <c r="D12" s="213">
        <v>0</v>
      </c>
      <c r="E12" s="213">
        <v>0</v>
      </c>
      <c r="F12" s="213">
        <v>0</v>
      </c>
      <c r="G12" s="213">
        <v>0</v>
      </c>
      <c r="H12" s="213">
        <v>0</v>
      </c>
      <c r="I12" s="213">
        <v>0</v>
      </c>
      <c r="J12" s="340">
        <v>0</v>
      </c>
      <c r="K12" s="340">
        <v>0</v>
      </c>
      <c r="L12" s="884">
        <v>0</v>
      </c>
      <c r="O12" s="220"/>
      <c r="P12" s="296"/>
      <c r="Q12" s="296"/>
      <c r="R12" s="296"/>
      <c r="S12" s="296"/>
      <c r="T12" s="296"/>
      <c r="U12" s="296"/>
    </row>
    <row r="13" spans="1:22" s="167" customFormat="1" ht="48" customHeight="1" x14ac:dyDescent="0.2">
      <c r="A13" s="1304" t="s">
        <v>110</v>
      </c>
      <c r="B13" s="1305"/>
      <c r="C13" s="213">
        <v>0</v>
      </c>
      <c r="D13" s="213">
        <v>0</v>
      </c>
      <c r="E13" s="213">
        <v>0</v>
      </c>
      <c r="F13" s="213">
        <v>0</v>
      </c>
      <c r="G13" s="213">
        <v>0</v>
      </c>
      <c r="H13" s="213">
        <v>0</v>
      </c>
      <c r="I13" s="213">
        <v>0</v>
      </c>
      <c r="J13" s="340">
        <v>0</v>
      </c>
      <c r="K13" s="340">
        <v>0</v>
      </c>
      <c r="L13" s="884">
        <v>0</v>
      </c>
      <c r="O13" s="220"/>
      <c r="P13" s="296"/>
      <c r="Q13" s="296"/>
      <c r="R13" s="296"/>
      <c r="S13" s="296"/>
      <c r="T13" s="296"/>
      <c r="U13" s="296"/>
    </row>
    <row r="14" spans="1:22" s="167" customFormat="1" ht="34.5" customHeight="1" x14ac:dyDescent="0.2">
      <c r="A14" s="1304" t="s">
        <v>111</v>
      </c>
      <c r="B14" s="1305"/>
      <c r="C14" s="213">
        <v>0</v>
      </c>
      <c r="D14" s="213">
        <v>0</v>
      </c>
      <c r="E14" s="213">
        <v>0</v>
      </c>
      <c r="F14" s="213">
        <v>0</v>
      </c>
      <c r="G14" s="213">
        <v>0</v>
      </c>
      <c r="H14" s="213">
        <v>0</v>
      </c>
      <c r="I14" s="213">
        <v>0</v>
      </c>
      <c r="J14" s="340">
        <v>0</v>
      </c>
      <c r="K14" s="340">
        <v>0</v>
      </c>
      <c r="L14" s="884">
        <v>0</v>
      </c>
      <c r="O14" s="220"/>
      <c r="P14" s="296"/>
      <c r="Q14" s="296"/>
      <c r="R14" s="296"/>
      <c r="S14" s="296"/>
      <c r="T14" s="296"/>
      <c r="U14" s="296"/>
    </row>
    <row r="15" spans="1:22" s="167" customFormat="1" ht="46.5" customHeight="1" thickBot="1" x14ac:dyDescent="0.25">
      <c r="A15" s="1312" t="s">
        <v>112</v>
      </c>
      <c r="B15" s="1313"/>
      <c r="C15" s="1007">
        <v>0</v>
      </c>
      <c r="D15" s="1007">
        <v>0</v>
      </c>
      <c r="E15" s="1007">
        <v>0</v>
      </c>
      <c r="F15" s="1007">
        <v>0</v>
      </c>
      <c r="G15" s="1007">
        <v>0</v>
      </c>
      <c r="H15" s="1007">
        <v>0</v>
      </c>
      <c r="I15" s="1007">
        <v>0</v>
      </c>
      <c r="J15" s="885">
        <v>0</v>
      </c>
      <c r="K15" s="885">
        <v>0</v>
      </c>
      <c r="L15" s="886">
        <v>0</v>
      </c>
      <c r="O15" s="220"/>
      <c r="P15" s="296"/>
      <c r="Q15" s="296"/>
      <c r="R15" s="296"/>
      <c r="S15" s="296"/>
      <c r="T15" s="296"/>
      <c r="U15" s="296"/>
    </row>
    <row r="16" spans="1:22" ht="13.5" thickBot="1" x14ac:dyDescent="0.25"/>
    <row r="17" spans="1:15" s="167" customFormat="1" ht="30" customHeight="1" thickBot="1" x14ac:dyDescent="0.25">
      <c r="A17" s="1308" t="s">
        <v>169</v>
      </c>
      <c r="B17" s="1309"/>
      <c r="C17" s="880">
        <f t="shared" ref="C17:L17" si="2">SUM(C18:C24)</f>
        <v>0</v>
      </c>
      <c r="D17" s="880">
        <f t="shared" si="2"/>
        <v>0</v>
      </c>
      <c r="E17" s="880">
        <f t="shared" si="2"/>
        <v>0</v>
      </c>
      <c r="F17" s="880">
        <f t="shared" si="2"/>
        <v>0</v>
      </c>
      <c r="G17" s="880">
        <f t="shared" si="2"/>
        <v>0</v>
      </c>
      <c r="H17" s="880">
        <f t="shared" si="2"/>
        <v>0</v>
      </c>
      <c r="I17" s="880">
        <f t="shared" si="2"/>
        <v>0</v>
      </c>
      <c r="J17" s="881">
        <f t="shared" si="2"/>
        <v>0</v>
      </c>
      <c r="K17" s="881">
        <f t="shared" si="2"/>
        <v>0</v>
      </c>
      <c r="L17" s="882">
        <f t="shared" si="2"/>
        <v>0</v>
      </c>
      <c r="O17" s="220"/>
    </row>
    <row r="18" spans="1:15" s="167" customFormat="1" ht="38.25" customHeight="1" x14ac:dyDescent="0.2">
      <c r="A18" s="1302" t="s">
        <v>107</v>
      </c>
      <c r="B18" s="1303"/>
      <c r="C18" s="1006">
        <v>0</v>
      </c>
      <c r="D18" s="1006">
        <v>0</v>
      </c>
      <c r="E18" s="1006">
        <v>0</v>
      </c>
      <c r="F18" s="1006">
        <v>0</v>
      </c>
      <c r="G18" s="1006">
        <v>0</v>
      </c>
      <c r="H18" s="1006">
        <v>0</v>
      </c>
      <c r="I18" s="1006">
        <v>0</v>
      </c>
      <c r="J18" s="879">
        <v>0</v>
      </c>
      <c r="K18" s="879">
        <v>0</v>
      </c>
      <c r="L18" s="883">
        <v>0</v>
      </c>
      <c r="O18" s="220"/>
    </row>
    <row r="19" spans="1:15" s="167" customFormat="1" ht="41.25" customHeight="1" x14ac:dyDescent="0.2">
      <c r="A19" s="1304" t="s">
        <v>108</v>
      </c>
      <c r="B19" s="1305"/>
      <c r="C19" s="213">
        <v>0</v>
      </c>
      <c r="D19" s="213">
        <v>0</v>
      </c>
      <c r="E19" s="213">
        <v>0</v>
      </c>
      <c r="F19" s="213">
        <v>0</v>
      </c>
      <c r="G19" s="213">
        <v>0</v>
      </c>
      <c r="H19" s="213">
        <v>0</v>
      </c>
      <c r="I19" s="213">
        <v>0</v>
      </c>
      <c r="J19" s="340">
        <v>0</v>
      </c>
      <c r="K19" s="340">
        <v>0</v>
      </c>
      <c r="L19" s="884">
        <v>0</v>
      </c>
      <c r="O19" s="220"/>
    </row>
    <row r="20" spans="1:15" s="167" customFormat="1" ht="37.5" customHeight="1" x14ac:dyDescent="0.2">
      <c r="A20" s="1304" t="s">
        <v>204</v>
      </c>
      <c r="B20" s="1305"/>
      <c r="C20" s="340"/>
      <c r="D20" s="340"/>
      <c r="E20" s="340"/>
      <c r="F20" s="340"/>
      <c r="G20" s="340"/>
      <c r="H20" s="340"/>
      <c r="I20" s="213">
        <v>0</v>
      </c>
      <c r="J20" s="340">
        <v>0</v>
      </c>
      <c r="K20" s="340">
        <v>0</v>
      </c>
      <c r="L20" s="884">
        <v>0</v>
      </c>
      <c r="O20" s="220"/>
    </row>
    <row r="21" spans="1:15" s="167" customFormat="1" ht="37.5" customHeight="1" x14ac:dyDescent="0.2">
      <c r="A21" s="1304" t="s">
        <v>109</v>
      </c>
      <c r="B21" s="1305"/>
      <c r="C21" s="213">
        <v>0</v>
      </c>
      <c r="D21" s="213">
        <v>0</v>
      </c>
      <c r="E21" s="213">
        <v>0</v>
      </c>
      <c r="F21" s="213">
        <v>0</v>
      </c>
      <c r="G21" s="213">
        <v>0</v>
      </c>
      <c r="H21" s="213">
        <v>0</v>
      </c>
      <c r="I21" s="213">
        <v>0</v>
      </c>
      <c r="J21" s="340">
        <v>0</v>
      </c>
      <c r="K21" s="340">
        <v>0</v>
      </c>
      <c r="L21" s="884">
        <v>0</v>
      </c>
      <c r="O21" s="220"/>
    </row>
    <row r="22" spans="1:15" s="167" customFormat="1" ht="48" customHeight="1" x14ac:dyDescent="0.2">
      <c r="A22" s="1304" t="s">
        <v>110</v>
      </c>
      <c r="B22" s="1305"/>
      <c r="C22" s="213">
        <v>0</v>
      </c>
      <c r="D22" s="213">
        <v>0</v>
      </c>
      <c r="E22" s="213">
        <v>0</v>
      </c>
      <c r="F22" s="213">
        <v>0</v>
      </c>
      <c r="G22" s="213">
        <v>0</v>
      </c>
      <c r="H22" s="213">
        <v>0</v>
      </c>
      <c r="I22" s="213">
        <v>0</v>
      </c>
      <c r="J22" s="340">
        <v>0</v>
      </c>
      <c r="K22" s="340">
        <v>0</v>
      </c>
      <c r="L22" s="884">
        <v>0</v>
      </c>
      <c r="O22" s="220"/>
    </row>
    <row r="23" spans="1:15" s="167" customFormat="1" ht="34.5" customHeight="1" x14ac:dyDescent="0.2">
      <c r="A23" s="1304" t="s">
        <v>111</v>
      </c>
      <c r="B23" s="1305"/>
      <c r="C23" s="213">
        <v>0</v>
      </c>
      <c r="D23" s="213">
        <v>0</v>
      </c>
      <c r="E23" s="213">
        <v>0</v>
      </c>
      <c r="F23" s="213">
        <v>0</v>
      </c>
      <c r="G23" s="213">
        <v>0</v>
      </c>
      <c r="H23" s="213">
        <v>0</v>
      </c>
      <c r="I23" s="213">
        <v>0</v>
      </c>
      <c r="J23" s="340">
        <v>0</v>
      </c>
      <c r="K23" s="340">
        <v>0</v>
      </c>
      <c r="L23" s="884">
        <v>0</v>
      </c>
      <c r="O23" s="220"/>
    </row>
    <row r="24" spans="1:15" s="167" customFormat="1" ht="46.5" customHeight="1" thickBot="1" x14ac:dyDescent="0.25">
      <c r="A24" s="1312" t="s">
        <v>112</v>
      </c>
      <c r="B24" s="1313"/>
      <c r="C24" s="1007">
        <v>0</v>
      </c>
      <c r="D24" s="1007">
        <v>0</v>
      </c>
      <c r="E24" s="1007">
        <v>0</v>
      </c>
      <c r="F24" s="1007">
        <v>0</v>
      </c>
      <c r="G24" s="1007">
        <v>0</v>
      </c>
      <c r="H24" s="1007">
        <v>0</v>
      </c>
      <c r="I24" s="1007">
        <v>0</v>
      </c>
      <c r="J24" s="885">
        <v>0</v>
      </c>
      <c r="K24" s="885">
        <v>0</v>
      </c>
      <c r="L24" s="886">
        <v>0</v>
      </c>
      <c r="O24" s="220"/>
    </row>
    <row r="25" spans="1:15" ht="13.5" thickBot="1" x14ac:dyDescent="0.25"/>
    <row r="26" spans="1:15" s="176" customFormat="1" ht="27.75" customHeight="1" thickBot="1" x14ac:dyDescent="0.25">
      <c r="A26" s="1310" t="s">
        <v>157</v>
      </c>
      <c r="B26" s="1311"/>
      <c r="C26" s="889">
        <f t="shared" ref="C26:L26" si="3">SUM(C27:C33)</f>
        <v>0</v>
      </c>
      <c r="D26" s="889">
        <f t="shared" si="3"/>
        <v>0</v>
      </c>
      <c r="E26" s="889">
        <f t="shared" si="3"/>
        <v>0</v>
      </c>
      <c r="F26" s="889">
        <f t="shared" si="3"/>
        <v>0</v>
      </c>
      <c r="G26" s="889">
        <f t="shared" si="3"/>
        <v>0</v>
      </c>
      <c r="H26" s="889">
        <f t="shared" si="3"/>
        <v>0</v>
      </c>
      <c r="I26" s="889">
        <f t="shared" si="3"/>
        <v>0</v>
      </c>
      <c r="J26" s="890">
        <f t="shared" si="3"/>
        <v>0</v>
      </c>
      <c r="K26" s="890">
        <f t="shared" si="3"/>
        <v>0</v>
      </c>
      <c r="L26" s="891">
        <f t="shared" si="3"/>
        <v>0</v>
      </c>
    </row>
    <row r="27" spans="1:15" s="224" customFormat="1" ht="38.25" customHeight="1" x14ac:dyDescent="0.2">
      <c r="A27" s="1302" t="s">
        <v>107</v>
      </c>
      <c r="B27" s="1303"/>
      <c r="C27" s="887">
        <f t="shared" ref="C27:H28" si="4">+C9-C18</f>
        <v>0</v>
      </c>
      <c r="D27" s="887">
        <f t="shared" si="4"/>
        <v>0</v>
      </c>
      <c r="E27" s="887">
        <f t="shared" si="4"/>
        <v>0</v>
      </c>
      <c r="F27" s="887">
        <f t="shared" si="4"/>
        <v>0</v>
      </c>
      <c r="G27" s="887">
        <f t="shared" si="4"/>
        <v>0</v>
      </c>
      <c r="H27" s="887">
        <f t="shared" si="4"/>
        <v>0</v>
      </c>
      <c r="I27" s="887">
        <f>+(I9-I18)+(I13-I22)+(I11-I20)</f>
        <v>0</v>
      </c>
      <c r="J27" s="888">
        <f>+(J9-J18)+(J13-J22)+(J11-J20)</f>
        <v>0</v>
      </c>
      <c r="K27" s="888">
        <f>+(K9-K18)+(K13-K22)+(K11-K20)</f>
        <v>0</v>
      </c>
      <c r="L27" s="892">
        <f>+(L9-L18)+(L13-L22)+(L11-L20)</f>
        <v>0</v>
      </c>
      <c r="O27" s="225"/>
    </row>
    <row r="28" spans="1:15" s="224" customFormat="1" ht="41.25" customHeight="1" x14ac:dyDescent="0.2">
      <c r="A28" s="1304" t="s">
        <v>108</v>
      </c>
      <c r="B28" s="1305"/>
      <c r="C28" s="177">
        <f t="shared" si="4"/>
        <v>0</v>
      </c>
      <c r="D28" s="177">
        <f t="shared" si="4"/>
        <v>0</v>
      </c>
      <c r="E28" s="177">
        <f t="shared" si="4"/>
        <v>0</v>
      </c>
      <c r="F28" s="177">
        <f t="shared" si="4"/>
        <v>0</v>
      </c>
      <c r="G28" s="177">
        <f t="shared" si="4"/>
        <v>0</v>
      </c>
      <c r="H28" s="177">
        <f t="shared" si="4"/>
        <v>0</v>
      </c>
      <c r="I28" s="177">
        <f t="shared" ref="I28:L30" si="5">+I10-I19</f>
        <v>0</v>
      </c>
      <c r="J28" s="339">
        <f t="shared" si="5"/>
        <v>0</v>
      </c>
      <c r="K28" s="339">
        <f t="shared" si="5"/>
        <v>0</v>
      </c>
      <c r="L28" s="893">
        <f t="shared" si="5"/>
        <v>0</v>
      </c>
      <c r="O28" s="225"/>
    </row>
    <row r="29" spans="1:15" s="224" customFormat="1" ht="41.25" customHeight="1" x14ac:dyDescent="0.2">
      <c r="A29" s="1304" t="s">
        <v>204</v>
      </c>
      <c r="B29" s="1305"/>
      <c r="C29" s="339"/>
      <c r="D29" s="339"/>
      <c r="E29" s="339"/>
      <c r="F29" s="339"/>
      <c r="G29" s="339"/>
      <c r="H29" s="339"/>
      <c r="I29" s="339"/>
      <c r="J29" s="339"/>
      <c r="K29" s="339"/>
      <c r="L29" s="893"/>
      <c r="O29" s="225"/>
    </row>
    <row r="30" spans="1:15" s="224" customFormat="1" ht="37.5" customHeight="1" x14ac:dyDescent="0.2">
      <c r="A30" s="1304" t="s">
        <v>109</v>
      </c>
      <c r="B30" s="1305"/>
      <c r="C30" s="177">
        <f t="shared" ref="C30:H33" si="6">+C12-C21</f>
        <v>0</v>
      </c>
      <c r="D30" s="177">
        <f t="shared" si="6"/>
        <v>0</v>
      </c>
      <c r="E30" s="177">
        <f t="shared" si="6"/>
        <v>0</v>
      </c>
      <c r="F30" s="177">
        <f t="shared" si="6"/>
        <v>0</v>
      </c>
      <c r="G30" s="177">
        <f t="shared" si="6"/>
        <v>0</v>
      </c>
      <c r="H30" s="177">
        <f t="shared" si="6"/>
        <v>0</v>
      </c>
      <c r="I30" s="177">
        <f t="shared" si="5"/>
        <v>0</v>
      </c>
      <c r="J30" s="339">
        <f t="shared" si="5"/>
        <v>0</v>
      </c>
      <c r="K30" s="339">
        <f t="shared" si="5"/>
        <v>0</v>
      </c>
      <c r="L30" s="893">
        <f t="shared" si="5"/>
        <v>0</v>
      </c>
      <c r="O30" s="225"/>
    </row>
    <row r="31" spans="1:15" s="224" customFormat="1" ht="48" customHeight="1" x14ac:dyDescent="0.2">
      <c r="A31" s="1304" t="s">
        <v>110</v>
      </c>
      <c r="B31" s="1305"/>
      <c r="C31" s="177">
        <f t="shared" si="6"/>
        <v>0</v>
      </c>
      <c r="D31" s="177">
        <f t="shared" si="6"/>
        <v>0</v>
      </c>
      <c r="E31" s="177">
        <f t="shared" si="6"/>
        <v>0</v>
      </c>
      <c r="F31" s="177">
        <f t="shared" si="6"/>
        <v>0</v>
      </c>
      <c r="G31" s="177">
        <f t="shared" si="6"/>
        <v>0</v>
      </c>
      <c r="H31" s="177">
        <f t="shared" si="6"/>
        <v>0</v>
      </c>
      <c r="I31" s="339"/>
      <c r="J31" s="339"/>
      <c r="K31" s="339"/>
      <c r="L31" s="893"/>
      <c r="O31" s="225"/>
    </row>
    <row r="32" spans="1:15" s="224" customFormat="1" ht="34.5" customHeight="1" x14ac:dyDescent="0.2">
      <c r="A32" s="1304" t="s">
        <v>111</v>
      </c>
      <c r="B32" s="1305"/>
      <c r="C32" s="177">
        <f t="shared" si="6"/>
        <v>0</v>
      </c>
      <c r="D32" s="177">
        <f t="shared" si="6"/>
        <v>0</v>
      </c>
      <c r="E32" s="177">
        <f t="shared" si="6"/>
        <v>0</v>
      </c>
      <c r="F32" s="177">
        <f t="shared" si="6"/>
        <v>0</v>
      </c>
      <c r="G32" s="177">
        <f t="shared" si="6"/>
        <v>0</v>
      </c>
      <c r="H32" s="177">
        <f t="shared" si="6"/>
        <v>0</v>
      </c>
      <c r="I32" s="177">
        <f t="shared" ref="I32:L33" si="7">+I14-I23</f>
        <v>0</v>
      </c>
      <c r="J32" s="339">
        <f t="shared" si="7"/>
        <v>0</v>
      </c>
      <c r="K32" s="339">
        <f t="shared" si="7"/>
        <v>0</v>
      </c>
      <c r="L32" s="893">
        <f t="shared" si="7"/>
        <v>0</v>
      </c>
      <c r="O32" s="225"/>
    </row>
    <row r="33" spans="1:33" s="224" customFormat="1" ht="46.5" customHeight="1" thickBot="1" x14ac:dyDescent="0.25">
      <c r="A33" s="1312" t="s">
        <v>112</v>
      </c>
      <c r="B33" s="1313"/>
      <c r="C33" s="894">
        <f t="shared" si="6"/>
        <v>0</v>
      </c>
      <c r="D33" s="894">
        <f t="shared" si="6"/>
        <v>0</v>
      </c>
      <c r="E33" s="894">
        <f t="shared" si="6"/>
        <v>0</v>
      </c>
      <c r="F33" s="894">
        <f t="shared" si="6"/>
        <v>0</v>
      </c>
      <c r="G33" s="894">
        <f t="shared" si="6"/>
        <v>0</v>
      </c>
      <c r="H33" s="894">
        <f t="shared" si="6"/>
        <v>0</v>
      </c>
      <c r="I33" s="894">
        <f t="shared" si="7"/>
        <v>0</v>
      </c>
      <c r="J33" s="895">
        <f t="shared" si="7"/>
        <v>0</v>
      </c>
      <c r="K33" s="895">
        <f t="shared" si="7"/>
        <v>0</v>
      </c>
      <c r="L33" s="896">
        <f t="shared" si="7"/>
        <v>0</v>
      </c>
      <c r="O33" s="225"/>
    </row>
    <row r="34" spans="1:33" s="167" customFormat="1" x14ac:dyDescent="0.2">
      <c r="A34" s="224"/>
      <c r="C34" s="241" t="s">
        <v>165</v>
      </c>
      <c r="O34" s="220"/>
    </row>
    <row r="35" spans="1:33" s="167" customFormat="1" x14ac:dyDescent="0.2">
      <c r="A35" s="224"/>
      <c r="C35" s="243" t="s">
        <v>126</v>
      </c>
      <c r="O35" s="220"/>
    </row>
    <row r="36" spans="1:33" s="167" customFormat="1" x14ac:dyDescent="0.2">
      <c r="A36" s="224"/>
      <c r="C36" s="220"/>
      <c r="O36" s="220"/>
    </row>
    <row r="37" spans="1:33" ht="14.25" customHeight="1" thickBot="1" x14ac:dyDescent="0.25">
      <c r="A37" s="232"/>
      <c r="B37" s="333"/>
      <c r="C37" s="333"/>
      <c r="D37" s="333"/>
      <c r="E37" s="333"/>
      <c r="F37" s="333"/>
      <c r="G37" s="333"/>
      <c r="H37" s="333"/>
      <c r="I37" s="333"/>
      <c r="J37" s="333"/>
      <c r="K37" s="333"/>
      <c r="L37" s="333"/>
      <c r="M37" s="333"/>
      <c r="N37" s="333"/>
      <c r="O37" s="235"/>
      <c r="P37" s="235"/>
    </row>
    <row r="38" spans="1:33" s="179" customFormat="1" ht="20.100000000000001" customHeight="1" thickBot="1" x14ac:dyDescent="0.25">
      <c r="A38" s="1224" t="s">
        <v>40</v>
      </c>
      <c r="B38" s="1225"/>
      <c r="C38" s="1225"/>
      <c r="D38" s="1225"/>
      <c r="E38" s="1225"/>
      <c r="F38" s="1225"/>
      <c r="G38" s="1225"/>
      <c r="H38" s="1225"/>
      <c r="I38" s="1225"/>
      <c r="J38" s="1225"/>
      <c r="K38" s="1225"/>
      <c r="L38" s="1225"/>
      <c r="M38" s="1225"/>
      <c r="N38" s="1226"/>
      <c r="O38" s="235"/>
      <c r="P38" s="235"/>
      <c r="Q38" s="178"/>
      <c r="R38" s="178"/>
      <c r="S38" s="178"/>
      <c r="T38" s="178"/>
      <c r="U38" s="178"/>
      <c r="V38" s="178"/>
      <c r="W38" s="178"/>
      <c r="X38" s="178"/>
      <c r="Y38" s="178"/>
      <c r="Z38" s="178"/>
      <c r="AA38" s="178"/>
      <c r="AB38" s="178"/>
      <c r="AC38" s="178"/>
      <c r="AD38" s="178"/>
      <c r="AE38" s="178"/>
      <c r="AF38" s="178"/>
      <c r="AG38" s="178"/>
    </row>
    <row r="39" spans="1:33" ht="13.5" thickBot="1" x14ac:dyDescent="0.25"/>
    <row r="40" spans="1:33" s="179" customFormat="1" ht="17.25" thickBot="1" x14ac:dyDescent="0.25">
      <c r="A40" s="178"/>
      <c r="B40" s="178"/>
      <c r="C40" s="1227" t="s">
        <v>30</v>
      </c>
      <c r="D40" s="1228"/>
      <c r="E40" s="1228"/>
      <c r="F40" s="1228"/>
      <c r="G40" s="1228"/>
      <c r="H40" s="1228"/>
      <c r="I40" s="1228"/>
      <c r="J40" s="1228"/>
      <c r="K40" s="1228"/>
      <c r="L40" s="1228"/>
      <c r="M40" s="178"/>
      <c r="N40" s="178"/>
      <c r="O40" s="178"/>
      <c r="P40" s="178"/>
      <c r="Q40" s="178"/>
      <c r="R40" s="178"/>
      <c r="S40" s="178"/>
      <c r="T40" s="178"/>
      <c r="U40" s="178"/>
      <c r="V40" s="178"/>
      <c r="W40" s="178"/>
      <c r="X40" s="178"/>
      <c r="Y40" s="178"/>
      <c r="Z40" s="178"/>
      <c r="AA40" s="178"/>
      <c r="AB40" s="178"/>
      <c r="AC40" s="178"/>
      <c r="AD40" s="178"/>
      <c r="AE40" s="178"/>
      <c r="AF40" s="178"/>
      <c r="AG40" s="178"/>
    </row>
    <row r="41" spans="1:33" s="179" customFormat="1" ht="13.5" thickBot="1" x14ac:dyDescent="0.25">
      <c r="A41" s="178"/>
      <c r="B41" s="178"/>
      <c r="C41" s="334">
        <f t="shared" ref="C41:L41" si="8">+C7</f>
        <v>2015</v>
      </c>
      <c r="D41" s="335">
        <f t="shared" si="8"/>
        <v>2016</v>
      </c>
      <c r="E41" s="335">
        <f t="shared" si="8"/>
        <v>2017</v>
      </c>
      <c r="F41" s="335">
        <f t="shared" si="8"/>
        <v>2018</v>
      </c>
      <c r="G41" s="335">
        <f t="shared" si="8"/>
        <v>2019</v>
      </c>
      <c r="H41" s="335">
        <f t="shared" si="8"/>
        <v>2020</v>
      </c>
      <c r="I41" s="335">
        <f t="shared" si="8"/>
        <v>2021</v>
      </c>
      <c r="J41" s="850">
        <f t="shared" si="8"/>
        <v>2022</v>
      </c>
      <c r="K41" s="850">
        <f t="shared" si="8"/>
        <v>2023</v>
      </c>
      <c r="L41" s="850">
        <f t="shared" si="8"/>
        <v>2024</v>
      </c>
      <c r="M41" s="178"/>
      <c r="N41" s="178"/>
      <c r="O41" s="178"/>
      <c r="P41" s="178"/>
      <c r="Q41" s="178"/>
      <c r="R41" s="178"/>
      <c r="S41" s="178"/>
      <c r="T41" s="178"/>
      <c r="U41" s="178"/>
      <c r="V41" s="178"/>
      <c r="W41" s="178"/>
      <c r="X41" s="178"/>
      <c r="Y41" s="178"/>
      <c r="Z41" s="178"/>
      <c r="AA41" s="178"/>
      <c r="AB41" s="178"/>
      <c r="AC41" s="178"/>
      <c r="AD41" s="178"/>
      <c r="AE41" s="178"/>
      <c r="AF41" s="178"/>
      <c r="AG41" s="178"/>
    </row>
    <row r="42" spans="1:33" s="179" customFormat="1" x14ac:dyDescent="0.2">
      <c r="A42" s="178"/>
      <c r="B42" s="178"/>
      <c r="C42" s="986">
        <f>+C26</f>
        <v>0</v>
      </c>
      <c r="D42" s="986">
        <f t="shared" ref="D42:L42" si="9">+D26</f>
        <v>0</v>
      </c>
      <c r="E42" s="986">
        <f t="shared" si="9"/>
        <v>0</v>
      </c>
      <c r="F42" s="986">
        <f t="shared" si="9"/>
        <v>0</v>
      </c>
      <c r="G42" s="986">
        <f t="shared" si="9"/>
        <v>0</v>
      </c>
      <c r="H42" s="986">
        <f t="shared" si="9"/>
        <v>0</v>
      </c>
      <c r="I42" s="986">
        <f t="shared" si="9"/>
        <v>0</v>
      </c>
      <c r="J42" s="851">
        <f t="shared" si="9"/>
        <v>0</v>
      </c>
      <c r="K42" s="851">
        <f t="shared" si="9"/>
        <v>0</v>
      </c>
      <c r="L42" s="851">
        <f t="shared" si="9"/>
        <v>0</v>
      </c>
      <c r="M42" s="178"/>
      <c r="N42" s="178"/>
      <c r="O42" s="178"/>
      <c r="P42" s="178"/>
      <c r="Q42" s="178"/>
      <c r="R42" s="178"/>
      <c r="S42" s="178"/>
      <c r="T42" s="178"/>
      <c r="U42" s="178"/>
      <c r="V42" s="178"/>
      <c r="W42" s="178"/>
      <c r="X42" s="178"/>
      <c r="Y42" s="178"/>
      <c r="Z42" s="178"/>
      <c r="AA42" s="178"/>
      <c r="AB42" s="178"/>
      <c r="AC42" s="178"/>
      <c r="AD42" s="178"/>
      <c r="AE42" s="178"/>
      <c r="AF42" s="178"/>
      <c r="AG42" s="178"/>
    </row>
    <row r="43" spans="1:33" x14ac:dyDescent="0.2">
      <c r="C43" s="241" t="s">
        <v>165</v>
      </c>
      <c r="F43" s="242"/>
      <c r="G43" s="242"/>
      <c r="H43" s="242"/>
      <c r="I43" s="242"/>
      <c r="J43" s="242"/>
      <c r="K43" s="242"/>
      <c r="L43" s="242"/>
    </row>
    <row r="44" spans="1:33" x14ac:dyDescent="0.2">
      <c r="C44" s="243" t="s">
        <v>126</v>
      </c>
    </row>
    <row r="45" spans="1:33" x14ac:dyDescent="0.2">
      <c r="C45" s="244"/>
    </row>
    <row r="46" spans="1:33" ht="13.5" thickBot="1" x14ac:dyDescent="0.25">
      <c r="C46" s="244"/>
    </row>
    <row r="47" spans="1:33" ht="18.95" customHeight="1" thickBot="1" x14ac:dyDescent="0.25">
      <c r="A47" s="1224" t="s">
        <v>18</v>
      </c>
      <c r="B47" s="1225"/>
      <c r="C47" s="1225"/>
      <c r="D47" s="1225"/>
      <c r="E47" s="1225"/>
      <c r="F47" s="1225"/>
      <c r="G47" s="1225"/>
      <c r="H47" s="1225"/>
      <c r="I47" s="1225"/>
      <c r="J47" s="1225"/>
      <c r="K47" s="1225"/>
      <c r="L47" s="1225"/>
      <c r="M47" s="1225"/>
      <c r="N47" s="1226"/>
      <c r="O47" s="1298"/>
      <c r="P47" s="1298"/>
    </row>
    <row r="49" spans="1:33" x14ac:dyDescent="0.2">
      <c r="C49" s="241" t="s">
        <v>165</v>
      </c>
    </row>
    <row r="50" spans="1:33" x14ac:dyDescent="0.2">
      <c r="C50" s="243" t="s">
        <v>126</v>
      </c>
    </row>
    <row r="51" spans="1:33" ht="16.5" x14ac:dyDescent="0.2">
      <c r="C51" s="1244" t="s">
        <v>19</v>
      </c>
      <c r="D51" s="1245"/>
      <c r="E51" s="1245"/>
      <c r="F51" s="1245"/>
      <c r="G51" s="1245"/>
      <c r="H51" s="1245"/>
      <c r="I51" s="1245"/>
      <c r="J51" s="1245"/>
      <c r="K51" s="1245"/>
      <c r="L51" s="1246"/>
      <c r="N51" s="245" t="s">
        <v>20</v>
      </c>
    </row>
    <row r="52" spans="1:33" ht="13.5" thickBot="1" x14ac:dyDescent="0.25">
      <c r="A52" s="1247"/>
      <c r="B52" s="1247"/>
      <c r="C52" s="246">
        <f t="shared" ref="C52:L52" si="10">C41</f>
        <v>2015</v>
      </c>
      <c r="D52" s="247">
        <f t="shared" si="10"/>
        <v>2016</v>
      </c>
      <c r="E52" s="247">
        <f t="shared" si="10"/>
        <v>2017</v>
      </c>
      <c r="F52" s="247">
        <f t="shared" si="10"/>
        <v>2018</v>
      </c>
      <c r="G52" s="247">
        <f t="shared" si="10"/>
        <v>2019</v>
      </c>
      <c r="H52" s="247">
        <f t="shared" si="10"/>
        <v>2020</v>
      </c>
      <c r="I52" s="247">
        <f t="shared" si="10"/>
        <v>2021</v>
      </c>
      <c r="J52" s="809">
        <f t="shared" si="10"/>
        <v>2022</v>
      </c>
      <c r="K52" s="809">
        <f t="shared" si="10"/>
        <v>2023</v>
      </c>
      <c r="L52" s="809">
        <f t="shared" si="10"/>
        <v>2024</v>
      </c>
      <c r="N52" s="248"/>
    </row>
    <row r="53" spans="1:33" s="179" customFormat="1" ht="13.5" thickBot="1" x14ac:dyDescent="0.25">
      <c r="A53" s="1238" t="s">
        <v>21</v>
      </c>
      <c r="B53" s="249">
        <f>C41</f>
        <v>2015</v>
      </c>
      <c r="C53" s="989">
        <v>0</v>
      </c>
      <c r="D53" s="250"/>
      <c r="E53" s="250"/>
      <c r="F53" s="250"/>
      <c r="G53" s="250"/>
      <c r="H53" s="250"/>
      <c r="I53" s="250"/>
      <c r="J53" s="810"/>
      <c r="K53" s="810"/>
      <c r="L53" s="811"/>
      <c r="M53" s="252"/>
      <c r="N53" s="253">
        <f t="shared" ref="N53:N62" si="11">SUM(C53:L53)</f>
        <v>0</v>
      </c>
      <c r="O53" s="178"/>
      <c r="P53" s="178"/>
      <c r="Q53" s="178"/>
      <c r="R53" s="178"/>
      <c r="S53" s="178"/>
      <c r="T53" s="178"/>
      <c r="U53" s="178"/>
      <c r="V53" s="178"/>
      <c r="W53" s="178"/>
      <c r="X53" s="178"/>
      <c r="Y53" s="178"/>
      <c r="Z53" s="178"/>
      <c r="AA53" s="178"/>
      <c r="AB53" s="178"/>
      <c r="AC53" s="178"/>
      <c r="AD53" s="178"/>
      <c r="AE53" s="178"/>
      <c r="AF53" s="178"/>
      <c r="AG53" s="178"/>
    </row>
    <row r="54" spans="1:33" s="179" customFormat="1" ht="13.5" thickBot="1" x14ac:dyDescent="0.25">
      <c r="A54" s="1300"/>
      <c r="B54" s="290">
        <f>D41</f>
        <v>2016</v>
      </c>
      <c r="C54" s="336">
        <f>+C$42-C53</f>
        <v>0</v>
      </c>
      <c r="D54" s="989">
        <v>0</v>
      </c>
      <c r="E54" s="256"/>
      <c r="F54" s="256"/>
      <c r="G54" s="256"/>
      <c r="H54" s="256"/>
      <c r="I54" s="256"/>
      <c r="J54" s="812"/>
      <c r="K54" s="812"/>
      <c r="L54" s="813"/>
      <c r="M54" s="252"/>
      <c r="N54" s="253">
        <f t="shared" si="11"/>
        <v>0</v>
      </c>
      <c r="O54" s="178"/>
      <c r="P54" s="178"/>
      <c r="Q54" s="178"/>
      <c r="R54" s="178"/>
      <c r="S54" s="178"/>
      <c r="T54" s="178"/>
      <c r="U54" s="178"/>
      <c r="V54" s="178"/>
      <c r="W54" s="178"/>
      <c r="X54" s="178"/>
      <c r="Y54" s="178"/>
      <c r="Z54" s="178"/>
      <c r="AA54" s="178"/>
      <c r="AB54" s="178"/>
      <c r="AC54" s="178"/>
      <c r="AD54" s="178"/>
      <c r="AE54" s="178"/>
      <c r="AF54" s="178"/>
      <c r="AG54" s="178"/>
    </row>
    <row r="55" spans="1:33" s="179" customFormat="1" ht="13.5" thickBot="1" x14ac:dyDescent="0.25">
      <c r="A55" s="1300"/>
      <c r="B55" s="290">
        <f>E41</f>
        <v>2017</v>
      </c>
      <c r="C55" s="256"/>
      <c r="D55" s="336">
        <f>+D$42-D54</f>
        <v>0</v>
      </c>
      <c r="E55" s="989">
        <v>0</v>
      </c>
      <c r="F55" s="256"/>
      <c r="G55" s="256"/>
      <c r="H55" s="256"/>
      <c r="I55" s="256"/>
      <c r="J55" s="812"/>
      <c r="K55" s="812"/>
      <c r="L55" s="813"/>
      <c r="M55" s="252"/>
      <c r="N55" s="253">
        <f t="shared" si="11"/>
        <v>0</v>
      </c>
      <c r="O55" s="178"/>
      <c r="P55" s="178"/>
      <c r="Q55" s="178"/>
      <c r="R55" s="178"/>
      <c r="S55" s="178"/>
      <c r="T55" s="178"/>
      <c r="U55" s="178"/>
      <c r="V55" s="178"/>
      <c r="W55" s="178"/>
      <c r="X55" s="178"/>
      <c r="Y55" s="178"/>
      <c r="Z55" s="178"/>
      <c r="AA55" s="178"/>
      <c r="AB55" s="178"/>
      <c r="AC55" s="178"/>
      <c r="AD55" s="178"/>
      <c r="AE55" s="178"/>
      <c r="AF55" s="178"/>
      <c r="AG55" s="178"/>
    </row>
    <row r="56" spans="1:33" s="179" customFormat="1" ht="13.5" thickBot="1" x14ac:dyDescent="0.25">
      <c r="A56" s="1300"/>
      <c r="B56" s="290">
        <f>F41</f>
        <v>2018</v>
      </c>
      <c r="C56" s="256"/>
      <c r="D56" s="256"/>
      <c r="E56" s="336">
        <f>+E$42-E55</f>
        <v>0</v>
      </c>
      <c r="F56" s="989">
        <v>0</v>
      </c>
      <c r="G56" s="256"/>
      <c r="H56" s="256"/>
      <c r="I56" s="256"/>
      <c r="J56" s="812"/>
      <c r="K56" s="812"/>
      <c r="L56" s="813"/>
      <c r="M56" s="252"/>
      <c r="N56" s="253">
        <f t="shared" si="11"/>
        <v>0</v>
      </c>
      <c r="O56" s="178"/>
      <c r="P56" s="178"/>
      <c r="Q56" s="178"/>
      <c r="R56" s="178"/>
      <c r="S56" s="178"/>
      <c r="T56" s="178"/>
      <c r="U56" s="178"/>
      <c r="V56" s="178"/>
      <c r="W56" s="178"/>
      <c r="X56" s="178"/>
      <c r="Y56" s="178"/>
      <c r="Z56" s="178"/>
      <c r="AA56" s="178"/>
      <c r="AB56" s="178"/>
      <c r="AC56" s="178"/>
      <c r="AD56" s="178"/>
      <c r="AE56" s="178"/>
      <c r="AF56" s="178"/>
      <c r="AG56" s="178"/>
    </row>
    <row r="57" spans="1:33" s="179" customFormat="1" ht="13.5" thickBot="1" x14ac:dyDescent="0.25">
      <c r="A57" s="1300"/>
      <c r="B57" s="290">
        <f>G41</f>
        <v>2019</v>
      </c>
      <c r="C57" s="256"/>
      <c r="D57" s="256"/>
      <c r="E57" s="256"/>
      <c r="F57" s="336">
        <f>+F$42-F56</f>
        <v>0</v>
      </c>
      <c r="G57" s="989">
        <v>0</v>
      </c>
      <c r="H57" s="256"/>
      <c r="I57" s="256"/>
      <c r="J57" s="812"/>
      <c r="K57" s="812"/>
      <c r="L57" s="813"/>
      <c r="M57" s="252"/>
      <c r="N57" s="253">
        <f t="shared" si="11"/>
        <v>0</v>
      </c>
      <c r="O57" s="178"/>
      <c r="P57" s="178"/>
      <c r="Q57" s="178"/>
      <c r="R57" s="178"/>
      <c r="S57" s="178"/>
      <c r="T57" s="178"/>
      <c r="U57" s="178"/>
      <c r="V57" s="178"/>
      <c r="W57" s="178"/>
      <c r="X57" s="178"/>
      <c r="Y57" s="178"/>
      <c r="Z57" s="178"/>
      <c r="AA57" s="178"/>
      <c r="AB57" s="178"/>
      <c r="AC57" s="178"/>
      <c r="AD57" s="178"/>
      <c r="AE57" s="178"/>
      <c r="AF57" s="178"/>
      <c r="AG57" s="178"/>
    </row>
    <row r="58" spans="1:33" s="179" customFormat="1" ht="13.5" thickBot="1" x14ac:dyDescent="0.25">
      <c r="A58" s="1300"/>
      <c r="B58" s="290">
        <f>H41</f>
        <v>2020</v>
      </c>
      <c r="C58" s="256"/>
      <c r="D58" s="256"/>
      <c r="E58" s="256"/>
      <c r="F58" s="259"/>
      <c r="G58" s="336">
        <f>+G$42-G57</f>
        <v>0</v>
      </c>
      <c r="H58" s="989">
        <v>0</v>
      </c>
      <c r="I58" s="256"/>
      <c r="J58" s="812"/>
      <c r="K58" s="812"/>
      <c r="L58" s="813"/>
      <c r="M58" s="252"/>
      <c r="N58" s="253">
        <f t="shared" si="11"/>
        <v>0</v>
      </c>
      <c r="O58" s="178"/>
      <c r="P58" s="178"/>
      <c r="Q58" s="178"/>
      <c r="R58" s="178"/>
      <c r="S58" s="178"/>
      <c r="T58" s="178"/>
      <c r="U58" s="178"/>
      <c r="V58" s="178"/>
      <c r="W58" s="178"/>
      <c r="X58" s="178"/>
      <c r="Y58" s="178"/>
      <c r="Z58" s="178"/>
      <c r="AA58" s="178"/>
      <c r="AB58" s="178"/>
      <c r="AC58" s="178"/>
      <c r="AD58" s="178"/>
      <c r="AE58" s="178"/>
      <c r="AF58" s="178"/>
      <c r="AG58" s="178"/>
    </row>
    <row r="59" spans="1:33" s="179" customFormat="1" ht="13.5" thickBot="1" x14ac:dyDescent="0.25">
      <c r="A59" s="1300"/>
      <c r="B59" s="290">
        <f>I41</f>
        <v>2021</v>
      </c>
      <c r="C59" s="256"/>
      <c r="D59" s="256"/>
      <c r="E59" s="256"/>
      <c r="F59" s="259"/>
      <c r="G59" s="256"/>
      <c r="H59" s="336">
        <f>+H$42-H58</f>
        <v>0</v>
      </c>
      <c r="I59" s="989">
        <v>0</v>
      </c>
      <c r="J59" s="812"/>
      <c r="K59" s="812"/>
      <c r="L59" s="813"/>
      <c r="M59" s="252"/>
      <c r="N59" s="253">
        <f t="shared" si="11"/>
        <v>0</v>
      </c>
      <c r="O59" s="178"/>
      <c r="P59" s="178"/>
      <c r="Q59" s="178"/>
      <c r="R59" s="178"/>
      <c r="S59" s="178"/>
      <c r="T59" s="178"/>
      <c r="U59" s="178"/>
      <c r="V59" s="178"/>
      <c r="W59" s="178"/>
      <c r="X59" s="178"/>
      <c r="Y59" s="178"/>
      <c r="Z59" s="178"/>
      <c r="AA59" s="178"/>
      <c r="AB59" s="178"/>
      <c r="AC59" s="178"/>
      <c r="AD59" s="178"/>
      <c r="AE59" s="178"/>
      <c r="AF59" s="178"/>
      <c r="AG59" s="178"/>
    </row>
    <row r="60" spans="1:33" s="179" customFormat="1" ht="13.5" thickBot="1" x14ac:dyDescent="0.25">
      <c r="A60" s="1300"/>
      <c r="B60" s="825">
        <f>J41</f>
        <v>2022</v>
      </c>
      <c r="C60" s="812"/>
      <c r="D60" s="812"/>
      <c r="E60" s="812"/>
      <c r="F60" s="815"/>
      <c r="G60" s="812"/>
      <c r="H60" s="812"/>
      <c r="I60" s="852">
        <f>+I$42-I59</f>
        <v>0</v>
      </c>
      <c r="J60" s="814">
        <v>0</v>
      </c>
      <c r="K60" s="812"/>
      <c r="L60" s="813"/>
      <c r="M60" s="826"/>
      <c r="N60" s="827">
        <f t="shared" si="11"/>
        <v>0</v>
      </c>
      <c r="O60" s="178"/>
      <c r="P60" s="178"/>
      <c r="Q60" s="178"/>
      <c r="R60" s="178"/>
      <c r="S60" s="178"/>
      <c r="T60" s="178"/>
      <c r="U60" s="178"/>
      <c r="V60" s="178"/>
      <c r="W60" s="178"/>
      <c r="X60" s="178"/>
      <c r="Y60" s="178"/>
      <c r="Z60" s="178"/>
      <c r="AA60" s="178"/>
      <c r="AB60" s="178"/>
      <c r="AC60" s="178"/>
      <c r="AD60" s="178"/>
      <c r="AE60" s="178"/>
      <c r="AF60" s="178"/>
      <c r="AG60" s="178"/>
    </row>
    <row r="61" spans="1:33" s="179" customFormat="1" ht="13.5" thickBot="1" x14ac:dyDescent="0.25">
      <c r="A61" s="1300"/>
      <c r="B61" s="825">
        <f>K41</f>
        <v>2023</v>
      </c>
      <c r="C61" s="812"/>
      <c r="D61" s="812"/>
      <c r="E61" s="812"/>
      <c r="F61" s="815"/>
      <c r="G61" s="812"/>
      <c r="H61" s="812"/>
      <c r="I61" s="812"/>
      <c r="J61" s="852">
        <f>+J$42-J60</f>
        <v>0</v>
      </c>
      <c r="K61" s="814">
        <v>0</v>
      </c>
      <c r="L61" s="813"/>
      <c r="M61" s="826"/>
      <c r="N61" s="827">
        <f t="shared" si="11"/>
        <v>0</v>
      </c>
      <c r="O61" s="178"/>
      <c r="P61" s="178"/>
      <c r="Q61" s="178"/>
      <c r="R61" s="178"/>
      <c r="S61" s="178"/>
      <c r="T61" s="178"/>
      <c r="U61" s="178"/>
      <c r="V61" s="178"/>
      <c r="W61" s="178"/>
      <c r="X61" s="178"/>
      <c r="Y61" s="178"/>
      <c r="Z61" s="178"/>
      <c r="AA61" s="178"/>
      <c r="AB61" s="178"/>
      <c r="AC61" s="178"/>
      <c r="AD61" s="178"/>
      <c r="AE61" s="178"/>
      <c r="AF61" s="178"/>
      <c r="AG61" s="178"/>
    </row>
    <row r="62" spans="1:33" s="179" customFormat="1" ht="13.5" thickBot="1" x14ac:dyDescent="0.25">
      <c r="A62" s="1300"/>
      <c r="B62" s="825">
        <f>L41</f>
        <v>2024</v>
      </c>
      <c r="C62" s="812"/>
      <c r="D62" s="812"/>
      <c r="E62" s="812"/>
      <c r="F62" s="812"/>
      <c r="G62" s="812"/>
      <c r="H62" s="812"/>
      <c r="I62" s="815"/>
      <c r="J62" s="815"/>
      <c r="K62" s="852">
        <f>+K$42-K61</f>
        <v>0</v>
      </c>
      <c r="L62" s="814">
        <v>0</v>
      </c>
      <c r="M62" s="826"/>
      <c r="N62" s="827">
        <f t="shared" si="11"/>
        <v>0</v>
      </c>
      <c r="O62" s="178"/>
      <c r="P62" s="178"/>
      <c r="Q62" s="178"/>
      <c r="R62" s="178"/>
      <c r="S62" s="178"/>
      <c r="T62" s="178"/>
      <c r="U62" s="178"/>
      <c r="V62" s="178"/>
      <c r="W62" s="178"/>
      <c r="X62" s="178"/>
      <c r="Y62" s="178"/>
      <c r="Z62" s="178"/>
      <c r="AA62" s="178"/>
      <c r="AB62" s="178"/>
      <c r="AC62" s="178"/>
      <c r="AD62" s="178"/>
      <c r="AE62" s="178"/>
      <c r="AF62" s="178"/>
      <c r="AG62" s="178"/>
    </row>
    <row r="63" spans="1:33" s="265" customFormat="1" ht="15.75" x14ac:dyDescent="0.2">
      <c r="A63" s="1301"/>
      <c r="B63" s="331" t="s">
        <v>22</v>
      </c>
      <c r="C63" s="261">
        <f t="shared" ref="C63" si="12">SUM(C53:C62)</f>
        <v>0</v>
      </c>
      <c r="D63" s="261">
        <f t="shared" ref="D63:L63" si="13">SUM(D53:D62)</f>
        <v>0</v>
      </c>
      <c r="E63" s="261">
        <f t="shared" si="13"/>
        <v>0</v>
      </c>
      <c r="F63" s="261">
        <f t="shared" si="13"/>
        <v>0</v>
      </c>
      <c r="G63" s="261">
        <f t="shared" si="13"/>
        <v>0</v>
      </c>
      <c r="H63" s="261">
        <f t="shared" si="13"/>
        <v>0</v>
      </c>
      <c r="I63" s="261">
        <f t="shared" si="13"/>
        <v>0</v>
      </c>
      <c r="J63" s="816">
        <f t="shared" si="13"/>
        <v>0</v>
      </c>
      <c r="K63" s="816">
        <f t="shared" si="13"/>
        <v>0</v>
      </c>
      <c r="L63" s="817">
        <f t="shared" si="13"/>
        <v>0</v>
      </c>
      <c r="M63" s="262"/>
      <c r="N63" s="263">
        <f>SUM(N53:N62)</f>
        <v>0</v>
      </c>
      <c r="O63" s="264"/>
      <c r="P63" s="264"/>
      <c r="Q63" s="264"/>
      <c r="R63" s="264"/>
      <c r="S63" s="264"/>
      <c r="T63" s="264"/>
      <c r="U63" s="264"/>
      <c r="V63" s="264"/>
      <c r="W63" s="264"/>
      <c r="X63" s="264"/>
      <c r="Y63" s="264"/>
      <c r="Z63" s="264"/>
      <c r="AA63" s="264"/>
      <c r="AB63" s="264"/>
      <c r="AC63" s="264"/>
      <c r="AD63" s="264"/>
      <c r="AE63" s="264"/>
      <c r="AF63" s="264"/>
      <c r="AG63" s="264"/>
    </row>
    <row r="64" spans="1:33" s="243" customFormat="1" x14ac:dyDescent="0.2">
      <c r="A64" s="266" t="s">
        <v>34</v>
      </c>
      <c r="C64" s="267">
        <f>+C63+C80</f>
        <v>0</v>
      </c>
      <c r="D64" s="267">
        <f t="shared" ref="D64:L64" si="14">+D63+D80</f>
        <v>0</v>
      </c>
      <c r="E64" s="267">
        <f t="shared" si="14"/>
        <v>0</v>
      </c>
      <c r="F64" s="267">
        <f t="shared" si="14"/>
        <v>0</v>
      </c>
      <c r="G64" s="267">
        <f t="shared" si="14"/>
        <v>0</v>
      </c>
      <c r="H64" s="267">
        <f t="shared" si="14"/>
        <v>0</v>
      </c>
      <c r="I64" s="267">
        <f t="shared" si="14"/>
        <v>0</v>
      </c>
      <c r="J64" s="818">
        <f t="shared" si="14"/>
        <v>0</v>
      </c>
      <c r="K64" s="818">
        <f t="shared" si="14"/>
        <v>0</v>
      </c>
      <c r="L64" s="818">
        <f t="shared" si="14"/>
        <v>0</v>
      </c>
      <c r="M64" s="267"/>
      <c r="N64" s="267">
        <f>+N63+N80</f>
        <v>0</v>
      </c>
      <c r="O64" s="267"/>
    </row>
    <row r="65" spans="1:33" s="268" customFormat="1" x14ac:dyDescent="0.2">
      <c r="A65" s="243"/>
      <c r="B65" s="243"/>
      <c r="C65" s="267"/>
      <c r="D65" s="267"/>
      <c r="E65" s="267"/>
      <c r="F65" s="267"/>
      <c r="G65" s="267"/>
      <c r="H65" s="267"/>
      <c r="I65" s="267"/>
      <c r="J65" s="267"/>
      <c r="K65" s="267"/>
      <c r="L65" s="267"/>
      <c r="M65" s="243"/>
      <c r="N65" s="243"/>
      <c r="O65" s="243"/>
      <c r="P65" s="243"/>
      <c r="Q65" s="243"/>
      <c r="R65" s="243"/>
      <c r="S65" s="243"/>
      <c r="T65" s="243"/>
      <c r="U65" s="243"/>
      <c r="V65" s="243"/>
      <c r="W65" s="243"/>
      <c r="X65" s="243"/>
      <c r="Y65" s="243"/>
      <c r="Z65" s="243"/>
      <c r="AA65" s="243"/>
      <c r="AB65" s="243"/>
      <c r="AC65" s="243"/>
      <c r="AD65" s="243"/>
      <c r="AE65" s="243"/>
      <c r="AF65" s="243"/>
      <c r="AG65" s="243"/>
    </row>
    <row r="66" spans="1:33" s="243" customFormat="1" x14ac:dyDescent="0.2">
      <c r="C66" s="241" t="s">
        <v>162</v>
      </c>
      <c r="D66" s="267"/>
      <c r="E66" s="267"/>
      <c r="F66" s="267"/>
      <c r="G66" s="267"/>
      <c r="H66" s="267"/>
      <c r="I66" s="267"/>
      <c r="J66" s="267"/>
      <c r="K66" s="267"/>
      <c r="L66" s="267"/>
      <c r="M66" s="267"/>
      <c r="N66" s="267"/>
    </row>
    <row r="67" spans="1:33" x14ac:dyDescent="0.2">
      <c r="C67" s="241" t="s">
        <v>163</v>
      </c>
    </row>
    <row r="68" spans="1:33" s="179" customFormat="1" ht="16.5" x14ac:dyDescent="0.2">
      <c r="A68" s="178"/>
      <c r="B68" s="178"/>
      <c r="C68" s="1235" t="s">
        <v>19</v>
      </c>
      <c r="D68" s="1236"/>
      <c r="E68" s="1236"/>
      <c r="F68" s="1236"/>
      <c r="G68" s="1236"/>
      <c r="H68" s="1236"/>
      <c r="I68" s="1236"/>
      <c r="J68" s="1236"/>
      <c r="K68" s="1236"/>
      <c r="L68" s="1237"/>
      <c r="M68" s="178"/>
      <c r="N68" s="245" t="s">
        <v>20</v>
      </c>
      <c r="O68" s="178"/>
      <c r="P68" s="245" t="s">
        <v>20</v>
      </c>
      <c r="Q68" s="178"/>
      <c r="R68" s="178"/>
      <c r="S68" s="178"/>
      <c r="T68" s="178"/>
      <c r="U68" s="178"/>
      <c r="V68" s="178"/>
      <c r="W68" s="178"/>
      <c r="X68" s="178"/>
      <c r="Y68" s="178"/>
      <c r="Z68" s="178"/>
      <c r="AA68" s="178"/>
      <c r="AB68" s="178"/>
      <c r="AC68" s="178"/>
      <c r="AD68" s="178"/>
      <c r="AE68" s="178"/>
      <c r="AF68" s="178"/>
      <c r="AG68" s="178"/>
    </row>
    <row r="69" spans="1:33" s="179" customFormat="1" x14ac:dyDescent="0.2">
      <c r="A69" s="178"/>
      <c r="B69" s="178"/>
      <c r="C69" s="247">
        <f>+C52</f>
        <v>2015</v>
      </c>
      <c r="D69" s="247">
        <f t="shared" ref="D69:L69" si="15">+D52</f>
        <v>2016</v>
      </c>
      <c r="E69" s="247">
        <f t="shared" si="15"/>
        <v>2017</v>
      </c>
      <c r="F69" s="247">
        <f t="shared" si="15"/>
        <v>2018</v>
      </c>
      <c r="G69" s="247">
        <f t="shared" si="15"/>
        <v>2019</v>
      </c>
      <c r="H69" s="247">
        <f t="shared" si="15"/>
        <v>2020</v>
      </c>
      <c r="I69" s="247">
        <f t="shared" si="15"/>
        <v>2021</v>
      </c>
      <c r="J69" s="809">
        <f t="shared" si="15"/>
        <v>2022</v>
      </c>
      <c r="K69" s="809">
        <f t="shared" si="15"/>
        <v>2023</v>
      </c>
      <c r="L69" s="809">
        <f t="shared" si="15"/>
        <v>2024</v>
      </c>
      <c r="M69" s="178"/>
      <c r="N69" s="248" t="s">
        <v>23</v>
      </c>
      <c r="O69" s="178"/>
      <c r="P69" s="248" t="s">
        <v>24</v>
      </c>
      <c r="Q69" s="178"/>
      <c r="R69" s="178"/>
      <c r="S69" s="178"/>
      <c r="T69" s="178"/>
      <c r="U69" s="178"/>
      <c r="V69" s="178"/>
      <c r="W69" s="178"/>
      <c r="X69" s="178"/>
      <c r="Y69" s="178"/>
      <c r="Z69" s="178"/>
      <c r="AA69" s="178"/>
      <c r="AB69" s="178"/>
      <c r="AC69" s="178"/>
      <c r="AD69" s="178"/>
      <c r="AE69" s="178"/>
      <c r="AF69" s="178"/>
      <c r="AG69" s="178"/>
    </row>
    <row r="70" spans="1:33" s="179" customFormat="1" ht="12.75" customHeight="1" x14ac:dyDescent="0.2">
      <c r="A70" s="1248" t="s">
        <v>113</v>
      </c>
      <c r="B70" s="269">
        <f>+B53</f>
        <v>2015</v>
      </c>
      <c r="C70" s="270"/>
      <c r="D70" s="270"/>
      <c r="E70" s="270"/>
      <c r="F70" s="270"/>
      <c r="G70" s="270"/>
      <c r="H70" s="270"/>
      <c r="I70" s="270"/>
      <c r="J70" s="819"/>
      <c r="K70" s="819"/>
      <c r="L70" s="820"/>
      <c r="M70" s="252"/>
      <c r="N70" s="253">
        <f t="shared" ref="N70:N79" si="16">SUM(C70:L70)</f>
        <v>0</v>
      </c>
      <c r="O70" s="252"/>
      <c r="P70" s="272">
        <f>SUM(N53,N70)</f>
        <v>0</v>
      </c>
      <c r="Q70" s="178"/>
      <c r="R70" s="178"/>
      <c r="S70" s="178"/>
      <c r="T70" s="178"/>
      <c r="U70" s="178"/>
      <c r="V70" s="178"/>
      <c r="W70" s="178"/>
      <c r="X70" s="178"/>
      <c r="Y70" s="178"/>
      <c r="Z70" s="178"/>
      <c r="AA70" s="178"/>
      <c r="AB70" s="178"/>
      <c r="AC70" s="178"/>
      <c r="AD70" s="178"/>
      <c r="AE70" s="178"/>
      <c r="AF70" s="178"/>
      <c r="AG70" s="178"/>
    </row>
    <row r="71" spans="1:33" s="179" customFormat="1" ht="12.75" customHeight="1" x14ac:dyDescent="0.2">
      <c r="A71" s="1249"/>
      <c r="B71" s="269">
        <f t="shared" ref="B71:B79" si="17">+B54</f>
        <v>2016</v>
      </c>
      <c r="C71" s="270"/>
      <c r="D71" s="270"/>
      <c r="E71" s="270"/>
      <c r="F71" s="270"/>
      <c r="G71" s="270"/>
      <c r="H71" s="270"/>
      <c r="I71" s="270"/>
      <c r="J71" s="819"/>
      <c r="K71" s="819"/>
      <c r="L71" s="821"/>
      <c r="M71" s="252"/>
      <c r="N71" s="253">
        <f t="shared" si="16"/>
        <v>0</v>
      </c>
      <c r="O71" s="252"/>
      <c r="P71" s="272">
        <f t="shared" ref="P71:P79" si="18">SUM(N54,N71)</f>
        <v>0</v>
      </c>
      <c r="Q71" s="178"/>
      <c r="R71" s="178"/>
      <c r="S71" s="178"/>
      <c r="T71" s="178"/>
      <c r="U71" s="178"/>
      <c r="V71" s="178"/>
      <c r="W71" s="178"/>
      <c r="X71" s="178"/>
      <c r="Y71" s="178"/>
      <c r="Z71" s="178"/>
      <c r="AA71" s="178"/>
      <c r="AB71" s="178"/>
      <c r="AC71" s="178"/>
      <c r="AD71" s="178"/>
      <c r="AE71" s="178"/>
      <c r="AF71" s="178"/>
      <c r="AG71" s="178"/>
    </row>
    <row r="72" spans="1:33" s="179" customFormat="1" ht="12.75" customHeight="1" x14ac:dyDescent="0.2">
      <c r="A72" s="1249" t="s">
        <v>25</v>
      </c>
      <c r="B72" s="269">
        <f t="shared" si="17"/>
        <v>2017</v>
      </c>
      <c r="C72" s="255">
        <f>+IF($S$4="ex-ante",IF(C$69&lt;=($R$4-2),IF($B72&lt;=($R$4),T5B!G113,0),0),IF($S$4="ex-post",IF(C$69&lt;=($R$4-1),IF($B72&lt;=($R$4+1),T5B!G113,0),0),0))</f>
        <v>0</v>
      </c>
      <c r="D72" s="270"/>
      <c r="E72" s="270"/>
      <c r="F72" s="270"/>
      <c r="G72" s="270"/>
      <c r="H72" s="270"/>
      <c r="I72" s="270"/>
      <c r="J72" s="819"/>
      <c r="K72" s="819"/>
      <c r="L72" s="821"/>
      <c r="M72" s="252"/>
      <c r="N72" s="253">
        <f t="shared" si="16"/>
        <v>0</v>
      </c>
      <c r="O72" s="252"/>
      <c r="P72" s="272">
        <f t="shared" si="18"/>
        <v>0</v>
      </c>
      <c r="Q72" s="178"/>
      <c r="R72" s="178"/>
      <c r="S72" s="178"/>
      <c r="T72" s="178"/>
      <c r="U72" s="178"/>
      <c r="V72" s="178"/>
      <c r="W72" s="178"/>
      <c r="X72" s="178"/>
      <c r="Y72" s="178"/>
      <c r="Z72" s="178"/>
      <c r="AA72" s="178"/>
      <c r="AB72" s="178"/>
      <c r="AC72" s="178"/>
      <c r="AD72" s="178"/>
      <c r="AE72" s="178"/>
      <c r="AF72" s="178"/>
      <c r="AG72" s="178"/>
    </row>
    <row r="73" spans="1:33" s="179" customFormat="1" ht="12.75" customHeight="1" x14ac:dyDescent="0.2">
      <c r="A73" s="1249"/>
      <c r="B73" s="269">
        <f t="shared" si="17"/>
        <v>2018</v>
      </c>
      <c r="C73" s="255">
        <f>+IF($S$4="ex-ante",IF(C$69&lt;=($R$4-2),IF($B73&lt;=($R$4),T5B!G114,0),0),IF($S$4="ex-post",IF(C$69&lt;=($R$4-1),IF($B73&lt;=($R$4+1),T5B!G114,0),0),0))</f>
        <v>0</v>
      </c>
      <c r="D73" s="255">
        <f>+IF($S$4="ex-ante",IF(D$69&lt;=($R$4-2),IF($B73&lt;=($R$4),T5B!H114,0),0),IF($S$4="ex-post",IF(D$69&lt;=($R$4-1),IF($B73&lt;=($R$4+1),T5B!H114,0),0),0))</f>
        <v>0</v>
      </c>
      <c r="E73" s="270"/>
      <c r="F73" s="270"/>
      <c r="G73" s="270"/>
      <c r="H73" s="270"/>
      <c r="I73" s="270"/>
      <c r="J73" s="819"/>
      <c r="K73" s="819"/>
      <c r="L73" s="821"/>
      <c r="M73" s="252"/>
      <c r="N73" s="253">
        <f t="shared" si="16"/>
        <v>0</v>
      </c>
      <c r="O73" s="252"/>
      <c r="P73" s="272">
        <f t="shared" si="18"/>
        <v>0</v>
      </c>
      <c r="Q73" s="244" t="s">
        <v>27</v>
      </c>
      <c r="R73" s="178"/>
      <c r="S73" s="178"/>
      <c r="T73" s="178"/>
      <c r="U73" s="178"/>
      <c r="V73" s="178"/>
      <c r="W73" s="178"/>
      <c r="X73" s="178"/>
      <c r="Y73" s="178"/>
      <c r="Z73" s="178"/>
      <c r="AA73" s="178"/>
      <c r="AB73" s="178"/>
      <c r="AC73" s="178"/>
      <c r="AD73" s="178"/>
      <c r="AE73" s="178"/>
      <c r="AF73" s="178"/>
      <c r="AG73" s="178"/>
    </row>
    <row r="74" spans="1:33" s="179" customFormat="1" ht="12.75" customHeight="1" x14ac:dyDescent="0.2">
      <c r="A74" s="1249" t="s">
        <v>26</v>
      </c>
      <c r="B74" s="269">
        <f t="shared" si="17"/>
        <v>2019</v>
      </c>
      <c r="C74" s="255">
        <f>+IF($S$4="ex-ante",IF(C$69&lt;=($R$4-2),IF($B74&lt;=($R$4),T5B!G115,0),0),IF($S$4="ex-post",IF(C$69&lt;=($R$4-1),IF($B74&lt;=($R$4+1),T5B!G115,0),0),0))</f>
        <v>0</v>
      </c>
      <c r="D74" s="255">
        <f>+IF($S$4="ex-ante",IF(D$69&lt;=($R$4-2),IF($B74&lt;=($R$4),T5B!H115,0),0),IF($S$4="ex-post",IF(D$69&lt;=($R$4-1),IF($B74&lt;=($R$4+1),T5B!H115,0),0),0))</f>
        <v>0</v>
      </c>
      <c r="E74" s="255">
        <f>+IF($S$4="ex-ante",IF(E$69&lt;=($R$4-2),IF($B74&lt;=($R$4),T5B!I115,0),0),IF($S$4="ex-post",IF(E$69&lt;=($R$4-1),IF($B74&lt;=($R$4+1),T5B!I115,0),0),0))</f>
        <v>0</v>
      </c>
      <c r="F74" s="270"/>
      <c r="G74" s="270"/>
      <c r="H74" s="270"/>
      <c r="I74" s="270"/>
      <c r="J74" s="819"/>
      <c r="K74" s="819"/>
      <c r="L74" s="821"/>
      <c r="M74" s="252"/>
      <c r="N74" s="253">
        <f t="shared" si="16"/>
        <v>0</v>
      </c>
      <c r="O74" s="252"/>
      <c r="P74" s="272">
        <f t="shared" si="18"/>
        <v>0</v>
      </c>
      <c r="Q74" s="244" t="s">
        <v>28</v>
      </c>
      <c r="R74" s="178"/>
      <c r="S74" s="178"/>
      <c r="T74" s="178"/>
      <c r="U74" s="178"/>
      <c r="V74" s="178"/>
      <c r="W74" s="178"/>
      <c r="X74" s="178"/>
      <c r="Y74" s="178"/>
      <c r="Z74" s="178"/>
      <c r="AA74" s="178"/>
      <c r="AB74" s="178"/>
      <c r="AC74" s="178"/>
      <c r="AD74" s="178"/>
      <c r="AE74" s="178"/>
      <c r="AF74" s="178"/>
      <c r="AG74" s="178"/>
    </row>
    <row r="75" spans="1:33" s="179" customFormat="1" ht="12.75" customHeight="1" x14ac:dyDescent="0.2">
      <c r="A75" s="1249"/>
      <c r="B75" s="269">
        <f t="shared" si="17"/>
        <v>2020</v>
      </c>
      <c r="C75" s="255">
        <f>+IF($S$4="ex-ante",IF(C$69&lt;=($R$4-2),IF($B75&lt;=($R$4),T5B!G116,0),0),IF($S$4="ex-post",IF(C$69&lt;=($R$4-1),IF($B75&lt;=($R$4+1),T5B!G116,0),0),0))</f>
        <v>0</v>
      </c>
      <c r="D75" s="255">
        <f>+IF($S$4="ex-ante",IF(D$69&lt;=($R$4-2),IF($B75&lt;=($R$4),T5B!H116,0),0),IF($S$4="ex-post",IF(D$69&lt;=($R$4-1),IF($B75&lt;=($R$4+1),T5B!H116,0),0),0))</f>
        <v>0</v>
      </c>
      <c r="E75" s="255">
        <f>+IF($S$4="ex-ante",IF(E$69&lt;=($R$4-2),IF($B75&lt;=($R$4),T5B!I116,0),0),IF($S$4="ex-post",IF(E$69&lt;=($R$4-1),IF($B75&lt;=($R$4+1),T5B!I116,0),0),0))</f>
        <v>0</v>
      </c>
      <c r="F75" s="255">
        <f>+IF($S$4="ex-ante",IF(F$69&lt;=($R$4-2),IF($B75&lt;=($R$4),T5B!J116,0),0),IF($S$4="ex-post",IF(F$69&lt;=($R$4-1),IF($B75&lt;=($R$4+1),T5B!J116,0),0),0))</f>
        <v>0</v>
      </c>
      <c r="G75" s="270"/>
      <c r="H75" s="270"/>
      <c r="I75" s="270"/>
      <c r="J75" s="819"/>
      <c r="K75" s="819"/>
      <c r="L75" s="821"/>
      <c r="M75" s="252"/>
      <c r="N75" s="253">
        <f t="shared" si="16"/>
        <v>0</v>
      </c>
      <c r="O75" s="252"/>
      <c r="P75" s="272">
        <f t="shared" si="18"/>
        <v>0</v>
      </c>
      <c r="Q75" s="244"/>
      <c r="R75" s="178"/>
      <c r="S75" s="178"/>
      <c r="T75" s="178"/>
      <c r="U75" s="178"/>
      <c r="V75" s="178"/>
      <c r="W75" s="178"/>
      <c r="X75" s="178"/>
      <c r="Y75" s="178"/>
      <c r="Z75" s="178"/>
      <c r="AA75" s="178"/>
      <c r="AB75" s="178"/>
      <c r="AC75" s="178"/>
      <c r="AD75" s="178"/>
      <c r="AE75" s="178"/>
      <c r="AF75" s="178"/>
      <c r="AG75" s="178"/>
    </row>
    <row r="76" spans="1:33" s="179" customFormat="1" ht="12.75" customHeight="1" x14ac:dyDescent="0.2">
      <c r="A76" s="1249"/>
      <c r="B76" s="269">
        <f t="shared" si="17"/>
        <v>2021</v>
      </c>
      <c r="C76" s="255">
        <f>+IF($S$4="ex-ante",IF(C$69&lt;=($R$4-2),IF($B76&lt;=($R$4),T5B!G117,0),0),IF($S$4="ex-post",IF(C$69&lt;=($R$4-1),IF($B76&lt;=($R$4+1),T5B!G117,0),0),0))</f>
        <v>0</v>
      </c>
      <c r="D76" s="255">
        <f>+IF($S$4="ex-ante",IF(D$69&lt;=($R$4-2),IF($B76&lt;=($R$4),T5B!H117,0),0),IF($S$4="ex-post",IF(D$69&lt;=($R$4-1),IF($B76&lt;=($R$4+1),T5B!H117,0),0),0))</f>
        <v>0</v>
      </c>
      <c r="E76" s="255">
        <f>+IF($S$4="ex-ante",IF(E$69&lt;=($R$4-2),IF($B76&lt;=($R$4),T5B!I117,0),0),IF($S$4="ex-post",IF(E$69&lt;=($R$4-1),IF($B76&lt;=($R$4+1),T5B!I117,0),0),0))</f>
        <v>0</v>
      </c>
      <c r="F76" s="255">
        <f>+IF($S$4="ex-ante",IF(F$69&lt;=($R$4-2),IF($B76&lt;=($R$4),T5B!J117,0),0),IF($S$4="ex-post",IF(F$69&lt;=($R$4-1),IF($B76&lt;=($R$4+1),T5B!J117,0),0),0))</f>
        <v>0</v>
      </c>
      <c r="G76" s="255">
        <f>+IF($S$4="ex-ante",IF(G$69&lt;=($R$4-2),IF($B76&lt;=($R$4),T5B!K117,0),0),IF($S$4="ex-post",IF(G$69&lt;=($R$4-1),IF($B76&lt;=($R$4+1),T5B!K117,0),0),0))</f>
        <v>0</v>
      </c>
      <c r="H76" s="270"/>
      <c r="I76" s="270"/>
      <c r="J76" s="819"/>
      <c r="K76" s="819"/>
      <c r="L76" s="821"/>
      <c r="M76" s="252"/>
      <c r="N76" s="253">
        <f t="shared" si="16"/>
        <v>0</v>
      </c>
      <c r="O76" s="252"/>
      <c r="P76" s="272">
        <f t="shared" si="18"/>
        <v>0</v>
      </c>
      <c r="Q76" s="244"/>
      <c r="R76" s="178"/>
      <c r="S76" s="178"/>
      <c r="T76" s="178"/>
      <c r="U76" s="178"/>
      <c r="V76" s="178"/>
      <c r="W76" s="178"/>
      <c r="X76" s="178"/>
      <c r="Y76" s="178"/>
      <c r="Z76" s="178"/>
      <c r="AA76" s="178"/>
      <c r="AB76" s="178"/>
      <c r="AC76" s="178"/>
      <c r="AD76" s="178"/>
      <c r="AE76" s="178"/>
      <c r="AF76" s="178"/>
      <c r="AG76" s="178"/>
    </row>
    <row r="77" spans="1:33" s="179" customFormat="1" ht="12.75" customHeight="1" x14ac:dyDescent="0.2">
      <c r="A77" s="1249"/>
      <c r="B77" s="853">
        <f t="shared" si="17"/>
        <v>2022</v>
      </c>
      <c r="C77" s="565">
        <f>+IF($S$4="ex-ante",IF(C$69&lt;=($R$4-2),IF($B77&lt;=($R$4),T5B!G118,0),0),IF($S$4="ex-post",IF(C$69&lt;=($R$4-1),IF($B77&lt;=($R$4+1),T5B!G118,0),0),0))</f>
        <v>0</v>
      </c>
      <c r="D77" s="565">
        <f>+IF($S$4="ex-ante",IF(D$69&lt;=($R$4-2),IF($B77&lt;=($R$4),T5B!H118,0),0),IF($S$4="ex-post",IF(D$69&lt;=($R$4-1),IF($B77&lt;=($R$4+1),T5B!H118,0),0),0))</f>
        <v>0</v>
      </c>
      <c r="E77" s="565">
        <f>+IF($S$4="ex-ante",IF(E$69&lt;=($R$4-2),IF($B77&lt;=($R$4),T5B!I118,0),0),IF($S$4="ex-post",IF(E$69&lt;=($R$4-1),IF($B77&lt;=($R$4+1),T5B!I118,0),0),0))</f>
        <v>0</v>
      </c>
      <c r="F77" s="565">
        <f>+IF($S$4="ex-ante",IF(F$69&lt;=($R$4-2),IF($B77&lt;=($R$4),T5B!J118,0),0),IF($S$4="ex-post",IF(F$69&lt;=($R$4-1),IF($B77&lt;=($R$4+1),T5B!J118,0),0),0))</f>
        <v>0</v>
      </c>
      <c r="G77" s="565">
        <f>+IF($S$4="ex-ante",IF(G$69&lt;=($R$4-2),IF($B77&lt;=($R$4),T5B!K118,0),0),IF($S$4="ex-post",IF(G$69&lt;=($R$4-1),IF($B77&lt;=($R$4+1),T5B!K118,0),0),0))</f>
        <v>0</v>
      </c>
      <c r="H77" s="565">
        <f>+IF($S$4="ex-ante",IF(H$69&lt;=($R$4-2),IF($B77&lt;=($R$4),T5B!L118,0),0),IF($S$4="ex-post",IF(H$69&lt;=($R$4-1),IF($B77&lt;=($R$4+1),T5B!L118,0),0),0))</f>
        <v>0</v>
      </c>
      <c r="I77" s="819"/>
      <c r="J77" s="819"/>
      <c r="K77" s="819"/>
      <c r="L77" s="821"/>
      <c r="M77" s="826"/>
      <c r="N77" s="827">
        <f t="shared" si="16"/>
        <v>0</v>
      </c>
      <c r="O77" s="826"/>
      <c r="P77" s="854">
        <f t="shared" si="18"/>
        <v>0</v>
      </c>
      <c r="Q77" s="244"/>
      <c r="R77" s="178"/>
      <c r="S77" s="178"/>
      <c r="T77" s="178"/>
      <c r="U77" s="178"/>
      <c r="V77" s="178"/>
      <c r="W77" s="178"/>
      <c r="X77" s="178"/>
      <c r="Y77" s="178"/>
      <c r="Z77" s="178"/>
      <c r="AA77" s="178"/>
      <c r="AB77" s="178"/>
      <c r="AC77" s="178"/>
      <c r="AD77" s="178"/>
      <c r="AE77" s="178"/>
      <c r="AF77" s="178"/>
      <c r="AG77" s="178"/>
    </row>
    <row r="78" spans="1:33" s="179" customFormat="1" ht="12.75" customHeight="1" x14ac:dyDescent="0.2">
      <c r="A78" s="1249"/>
      <c r="B78" s="853">
        <f t="shared" si="17"/>
        <v>2023</v>
      </c>
      <c r="C78" s="819"/>
      <c r="D78" s="819"/>
      <c r="E78" s="819"/>
      <c r="F78" s="819"/>
      <c r="G78" s="819"/>
      <c r="H78" s="565">
        <f>+IF($S$4="ex-ante",IF(H$69&lt;=($R$4-2),IF($B78&lt;=($R$4),T5B!L119,0),0),IF($S$4="ex-post",IF(H$69&lt;=($R$4-1),IF($B78&lt;=($R$4+1),T5B!L119,0),0),0))</f>
        <v>0</v>
      </c>
      <c r="I78" s="565">
        <f>+IF($S$4="ex-ante",IF(I$69&lt;=($R$4-2),IF($B78&lt;=($R$4),T5B!M119,0),0),IF($S$4="ex-post",IF(I$69&lt;=($R$4-1),IF($B78&lt;=($R$4+1),T5B!M119,0),0),0))</f>
        <v>0</v>
      </c>
      <c r="J78" s="819"/>
      <c r="K78" s="819"/>
      <c r="L78" s="821"/>
      <c r="M78" s="826"/>
      <c r="N78" s="827">
        <f t="shared" si="16"/>
        <v>0</v>
      </c>
      <c r="O78" s="826"/>
      <c r="P78" s="854">
        <f t="shared" si="18"/>
        <v>0</v>
      </c>
      <c r="Q78" s="244"/>
      <c r="R78" s="178"/>
      <c r="S78" s="178"/>
      <c r="T78" s="178"/>
      <c r="U78" s="178"/>
      <c r="V78" s="178"/>
      <c r="W78" s="178"/>
      <c r="X78" s="178"/>
      <c r="Y78" s="178"/>
      <c r="Z78" s="178"/>
      <c r="AA78" s="178"/>
      <c r="AB78" s="178"/>
      <c r="AC78" s="178"/>
      <c r="AD78" s="178"/>
      <c r="AE78" s="178"/>
      <c r="AF78" s="178"/>
      <c r="AG78" s="178"/>
    </row>
    <row r="79" spans="1:33" s="179" customFormat="1" ht="12.75" customHeight="1" x14ac:dyDescent="0.2">
      <c r="A79" s="1249"/>
      <c r="B79" s="853">
        <f t="shared" si="17"/>
        <v>2024</v>
      </c>
      <c r="C79" s="819"/>
      <c r="D79" s="819"/>
      <c r="E79" s="819"/>
      <c r="F79" s="819"/>
      <c r="G79" s="819"/>
      <c r="H79" s="819"/>
      <c r="I79" s="565">
        <f>+IF($S$4="ex-ante",IF(I$69&lt;=($R$4-2),IF($B79&lt;=($R$4),T5B!M120,0),0),IF($S$4="ex-post",IF(I$69&lt;=($R$4-1),IF($B79&lt;=($R$4+1),T5B!M120,0),0),0))</f>
        <v>0</v>
      </c>
      <c r="J79" s="565">
        <f>+IF($S$4="ex-ante",IF(J$69&lt;=($R$4-2),IF($B79&lt;=($R$4),T5B!N120,0),0),IF($S$4="ex-post",IF(J$69&lt;=($R$4-1),IF($B79&lt;=($R$4+1),T5B!N120,0),0),0))</f>
        <v>0</v>
      </c>
      <c r="K79" s="819"/>
      <c r="L79" s="821"/>
      <c r="M79" s="826"/>
      <c r="N79" s="827">
        <f t="shared" si="16"/>
        <v>0</v>
      </c>
      <c r="O79" s="826"/>
      <c r="P79" s="854">
        <f t="shared" si="18"/>
        <v>0</v>
      </c>
      <c r="Q79" s="244"/>
      <c r="R79" s="178"/>
      <c r="S79" s="178"/>
      <c r="T79" s="178"/>
      <c r="U79" s="178"/>
      <c r="V79" s="178"/>
      <c r="W79" s="178"/>
      <c r="X79" s="178"/>
      <c r="Y79" s="178"/>
      <c r="Z79" s="178"/>
      <c r="AA79" s="178"/>
      <c r="AB79" s="178"/>
      <c r="AC79" s="178"/>
      <c r="AD79" s="178"/>
      <c r="AE79" s="178"/>
      <c r="AF79" s="178"/>
      <c r="AG79" s="178"/>
    </row>
    <row r="80" spans="1:33" s="265" customFormat="1" ht="15.75" x14ac:dyDescent="0.2">
      <c r="A80" s="1299"/>
      <c r="B80" s="331" t="s">
        <v>22</v>
      </c>
      <c r="C80" s="332">
        <f t="shared" ref="C80:L80" si="19">SUM(C70:C79)</f>
        <v>0</v>
      </c>
      <c r="D80" s="332">
        <f t="shared" si="19"/>
        <v>0</v>
      </c>
      <c r="E80" s="332">
        <f t="shared" si="19"/>
        <v>0</v>
      </c>
      <c r="F80" s="332">
        <f t="shared" si="19"/>
        <v>0</v>
      </c>
      <c r="G80" s="332">
        <f t="shared" si="19"/>
        <v>0</v>
      </c>
      <c r="H80" s="332">
        <f>SUM(H70:H79)</f>
        <v>0</v>
      </c>
      <c r="I80" s="332">
        <f t="shared" si="19"/>
        <v>0</v>
      </c>
      <c r="J80" s="822">
        <f t="shared" si="19"/>
        <v>0</v>
      </c>
      <c r="K80" s="822">
        <f t="shared" si="19"/>
        <v>0</v>
      </c>
      <c r="L80" s="822">
        <f t="shared" si="19"/>
        <v>0</v>
      </c>
      <c r="M80" s="338"/>
      <c r="N80" s="263">
        <f>SUM(N70:N79)</f>
        <v>0</v>
      </c>
      <c r="O80" s="262"/>
      <c r="P80" s="263">
        <f>SUM(P70:P79)</f>
        <v>0</v>
      </c>
      <c r="Q80" s="264"/>
      <c r="R80" s="264"/>
      <c r="S80" s="264"/>
      <c r="T80" s="264"/>
      <c r="U80" s="264"/>
      <c r="V80" s="264"/>
      <c r="W80" s="264"/>
      <c r="X80" s="264"/>
      <c r="Y80" s="264"/>
      <c r="Z80" s="264"/>
      <c r="AA80" s="264"/>
      <c r="AB80" s="264"/>
      <c r="AC80" s="264"/>
      <c r="AD80" s="264"/>
      <c r="AE80" s="264"/>
      <c r="AF80" s="264"/>
      <c r="AG80" s="264"/>
    </row>
    <row r="81" spans="1:33" x14ac:dyDescent="0.2">
      <c r="M81" s="252"/>
    </row>
    <row r="83" spans="1:33" ht="13.5" thickBot="1" x14ac:dyDescent="0.25"/>
    <row r="84" spans="1:33" s="179" customFormat="1" ht="21" customHeight="1" thickBot="1" x14ac:dyDescent="0.25">
      <c r="A84" s="1224" t="s">
        <v>175</v>
      </c>
      <c r="B84" s="1225"/>
      <c r="C84" s="1225"/>
      <c r="D84" s="1225"/>
      <c r="E84" s="1225"/>
      <c r="F84" s="1225"/>
      <c r="G84" s="1225"/>
      <c r="H84" s="1225"/>
      <c r="I84" s="1225"/>
      <c r="J84" s="1225"/>
      <c r="K84" s="1225"/>
      <c r="L84" s="1225"/>
      <c r="M84" s="1225"/>
      <c r="N84" s="1226"/>
      <c r="P84" s="178"/>
      <c r="Q84" s="178"/>
      <c r="R84" s="178"/>
      <c r="S84" s="178"/>
      <c r="T84" s="178"/>
      <c r="U84" s="178"/>
      <c r="V84" s="178"/>
      <c r="W84" s="178"/>
      <c r="X84" s="178"/>
      <c r="Y84" s="178"/>
      <c r="Z84" s="178"/>
      <c r="AA84" s="178"/>
      <c r="AB84" s="178"/>
      <c r="AC84" s="178"/>
      <c r="AD84" s="178"/>
      <c r="AE84" s="178"/>
      <c r="AF84" s="178"/>
      <c r="AG84" s="178"/>
    </row>
    <row r="86" spans="1:33" x14ac:dyDescent="0.2">
      <c r="C86" s="241" t="s">
        <v>164</v>
      </c>
    </row>
    <row r="87" spans="1:33" x14ac:dyDescent="0.2">
      <c r="C87" s="241" t="s">
        <v>29</v>
      </c>
    </row>
    <row r="88" spans="1:33" ht="16.5" x14ac:dyDescent="0.2">
      <c r="C88" s="1244" t="s">
        <v>19</v>
      </c>
      <c r="D88" s="1245"/>
      <c r="E88" s="1245"/>
      <c r="F88" s="1245"/>
      <c r="G88" s="1245"/>
      <c r="H88" s="1245"/>
      <c r="I88" s="1245"/>
      <c r="J88" s="1245"/>
      <c r="K88" s="1245"/>
      <c r="L88" s="1246"/>
    </row>
    <row r="89" spans="1:33" x14ac:dyDescent="0.2">
      <c r="C89" s="247">
        <f>+C69</f>
        <v>2015</v>
      </c>
      <c r="D89" s="247">
        <f t="shared" ref="D89:L89" si="20">+D69</f>
        <v>2016</v>
      </c>
      <c r="E89" s="247">
        <f t="shared" si="20"/>
        <v>2017</v>
      </c>
      <c r="F89" s="247">
        <f t="shared" si="20"/>
        <v>2018</v>
      </c>
      <c r="G89" s="247">
        <f t="shared" si="20"/>
        <v>2019</v>
      </c>
      <c r="H89" s="247">
        <f t="shared" si="20"/>
        <v>2020</v>
      </c>
      <c r="I89" s="247">
        <f t="shared" si="20"/>
        <v>2021</v>
      </c>
      <c r="J89" s="809">
        <f t="shared" si="20"/>
        <v>2022</v>
      </c>
      <c r="K89" s="809">
        <f t="shared" si="20"/>
        <v>2023</v>
      </c>
      <c r="L89" s="809">
        <f t="shared" si="20"/>
        <v>2024</v>
      </c>
      <c r="N89" s="93" t="s">
        <v>20</v>
      </c>
    </row>
    <row r="90" spans="1:33" x14ac:dyDescent="0.2">
      <c r="A90" s="1238" t="s">
        <v>375</v>
      </c>
      <c r="B90" s="269">
        <f>+B70</f>
        <v>2015</v>
      </c>
      <c r="C90" s="255">
        <f>+C53</f>
        <v>0</v>
      </c>
      <c r="D90" s="277"/>
      <c r="E90" s="270"/>
      <c r="F90" s="270"/>
      <c r="G90" s="270"/>
      <c r="H90" s="270"/>
      <c r="I90" s="270"/>
      <c r="J90" s="819"/>
      <c r="K90" s="819"/>
      <c r="L90" s="820"/>
      <c r="N90" s="278">
        <f t="shared" ref="N90:N99" si="21">SUM(C90:L90)</f>
        <v>0</v>
      </c>
    </row>
    <row r="91" spans="1:33" x14ac:dyDescent="0.2">
      <c r="A91" s="1239"/>
      <c r="B91" s="269">
        <f t="shared" ref="B91:B99" si="22">+B71</f>
        <v>2016</v>
      </c>
      <c r="C91" s="255">
        <f>+C90+C71+C54</f>
        <v>0</v>
      </c>
      <c r="D91" s="255">
        <f>+D54</f>
        <v>0</v>
      </c>
      <c r="E91" s="279"/>
      <c r="F91" s="279"/>
      <c r="G91" s="279"/>
      <c r="H91" s="279"/>
      <c r="I91" s="279"/>
      <c r="J91" s="823"/>
      <c r="K91" s="823"/>
      <c r="L91" s="824"/>
      <c r="N91" s="278">
        <f t="shared" si="21"/>
        <v>0</v>
      </c>
    </row>
    <row r="92" spans="1:33" x14ac:dyDescent="0.2">
      <c r="A92" s="1239"/>
      <c r="B92" s="269">
        <f t="shared" si="22"/>
        <v>2017</v>
      </c>
      <c r="C92" s="255">
        <f t="shared" ref="C92:C97" si="23">+C91+C72+C55</f>
        <v>0</v>
      </c>
      <c r="D92" s="255">
        <f t="shared" ref="D92:D97" si="24">+D91+D72+D55</f>
        <v>0</v>
      </c>
      <c r="E92" s="255">
        <f>+E55</f>
        <v>0</v>
      </c>
      <c r="F92" s="279"/>
      <c r="G92" s="279"/>
      <c r="H92" s="279"/>
      <c r="I92" s="279"/>
      <c r="J92" s="823"/>
      <c r="K92" s="823"/>
      <c r="L92" s="824"/>
      <c r="N92" s="278">
        <f t="shared" si="21"/>
        <v>0</v>
      </c>
    </row>
    <row r="93" spans="1:33" x14ac:dyDescent="0.2">
      <c r="A93" s="1239"/>
      <c r="B93" s="269">
        <f t="shared" si="22"/>
        <v>2018</v>
      </c>
      <c r="C93" s="255">
        <f t="shared" si="23"/>
        <v>0</v>
      </c>
      <c r="D93" s="255">
        <f t="shared" si="24"/>
        <v>0</v>
      </c>
      <c r="E93" s="255">
        <f t="shared" ref="E93:E97" si="25">+E92+E73+E56</f>
        <v>0</v>
      </c>
      <c r="F93" s="255">
        <f>+F56</f>
        <v>0</v>
      </c>
      <c r="G93" s="279"/>
      <c r="H93" s="279"/>
      <c r="I93" s="279"/>
      <c r="J93" s="823"/>
      <c r="K93" s="823"/>
      <c r="L93" s="824"/>
      <c r="N93" s="278">
        <f t="shared" si="21"/>
        <v>0</v>
      </c>
    </row>
    <row r="94" spans="1:33" x14ac:dyDescent="0.2">
      <c r="A94" s="1239"/>
      <c r="B94" s="269">
        <f t="shared" si="22"/>
        <v>2019</v>
      </c>
      <c r="C94" s="255">
        <f t="shared" si="23"/>
        <v>0</v>
      </c>
      <c r="D94" s="255">
        <f t="shared" si="24"/>
        <v>0</v>
      </c>
      <c r="E94" s="255">
        <f t="shared" si="25"/>
        <v>0</v>
      </c>
      <c r="F94" s="255">
        <f t="shared" ref="F94:F97" si="26">+F93+F74+F57</f>
        <v>0</v>
      </c>
      <c r="G94" s="255">
        <f>+G57</f>
        <v>0</v>
      </c>
      <c r="H94" s="279"/>
      <c r="I94" s="279"/>
      <c r="J94" s="823"/>
      <c r="K94" s="823"/>
      <c r="L94" s="824"/>
      <c r="N94" s="278">
        <f t="shared" si="21"/>
        <v>0</v>
      </c>
    </row>
    <row r="95" spans="1:33" x14ac:dyDescent="0.2">
      <c r="A95" s="1239"/>
      <c r="B95" s="269">
        <f t="shared" si="22"/>
        <v>2020</v>
      </c>
      <c r="C95" s="255">
        <f t="shared" si="23"/>
        <v>0</v>
      </c>
      <c r="D95" s="255">
        <f t="shared" si="24"/>
        <v>0</v>
      </c>
      <c r="E95" s="255">
        <f t="shared" si="25"/>
        <v>0</v>
      </c>
      <c r="F95" s="255">
        <f t="shared" si="26"/>
        <v>0</v>
      </c>
      <c r="G95" s="255">
        <f t="shared" ref="G95:G97" si="27">+G94+G75+G58</f>
        <v>0</v>
      </c>
      <c r="H95" s="255">
        <f t="shared" ref="H95:J97" si="28">+H58</f>
        <v>0</v>
      </c>
      <c r="I95" s="279"/>
      <c r="J95" s="823"/>
      <c r="K95" s="823"/>
      <c r="L95" s="824"/>
      <c r="N95" s="278">
        <f t="shared" si="21"/>
        <v>0</v>
      </c>
    </row>
    <row r="96" spans="1:33" x14ac:dyDescent="0.2">
      <c r="A96" s="1239"/>
      <c r="B96" s="269">
        <f t="shared" si="22"/>
        <v>2021</v>
      </c>
      <c r="C96" s="255">
        <f t="shared" si="23"/>
        <v>0</v>
      </c>
      <c r="D96" s="255">
        <f t="shared" si="24"/>
        <v>0</v>
      </c>
      <c r="E96" s="255">
        <f t="shared" si="25"/>
        <v>0</v>
      </c>
      <c r="F96" s="255">
        <f t="shared" si="26"/>
        <v>0</v>
      </c>
      <c r="G96" s="255">
        <f t="shared" si="27"/>
        <v>0</v>
      </c>
      <c r="H96" s="255">
        <f t="shared" ref="H96:H98" si="29">+H95+H76+H59</f>
        <v>0</v>
      </c>
      <c r="I96" s="255">
        <f t="shared" si="28"/>
        <v>0</v>
      </c>
      <c r="J96" s="823"/>
      <c r="K96" s="823"/>
      <c r="L96" s="824"/>
      <c r="N96" s="278">
        <f t="shared" si="21"/>
        <v>0</v>
      </c>
    </row>
    <row r="97" spans="1:14" x14ac:dyDescent="0.2">
      <c r="A97" s="1239"/>
      <c r="B97" s="853">
        <f t="shared" si="22"/>
        <v>2022</v>
      </c>
      <c r="C97" s="565">
        <f t="shared" si="23"/>
        <v>0</v>
      </c>
      <c r="D97" s="565">
        <f t="shared" si="24"/>
        <v>0</v>
      </c>
      <c r="E97" s="565">
        <f t="shared" si="25"/>
        <v>0</v>
      </c>
      <c r="F97" s="565">
        <f t="shared" si="26"/>
        <v>0</v>
      </c>
      <c r="G97" s="565">
        <f t="shared" si="27"/>
        <v>0</v>
      </c>
      <c r="H97" s="565">
        <f t="shared" si="29"/>
        <v>0</v>
      </c>
      <c r="I97" s="565">
        <f t="shared" ref="I97:I99" si="30">+I96+I77+I60</f>
        <v>0</v>
      </c>
      <c r="J97" s="565">
        <f t="shared" si="28"/>
        <v>0</v>
      </c>
      <c r="K97" s="823"/>
      <c r="L97" s="824"/>
      <c r="M97" s="830"/>
      <c r="N97" s="831">
        <f t="shared" si="21"/>
        <v>0</v>
      </c>
    </row>
    <row r="98" spans="1:14" x14ac:dyDescent="0.2">
      <c r="A98" s="1239"/>
      <c r="B98" s="853">
        <f t="shared" si="22"/>
        <v>2023</v>
      </c>
      <c r="C98" s="832"/>
      <c r="D98" s="823"/>
      <c r="E98" s="823"/>
      <c r="F98" s="823"/>
      <c r="G98" s="823"/>
      <c r="H98" s="565">
        <f t="shared" si="29"/>
        <v>0</v>
      </c>
      <c r="I98" s="565">
        <f t="shared" si="30"/>
        <v>0</v>
      </c>
      <c r="J98" s="565">
        <f t="shared" ref="J98:J99" si="31">+J97+J78+J61</f>
        <v>0</v>
      </c>
      <c r="K98" s="565">
        <f>+K61</f>
        <v>0</v>
      </c>
      <c r="L98" s="824"/>
      <c r="M98" s="830"/>
      <c r="N98" s="831">
        <f t="shared" si="21"/>
        <v>0</v>
      </c>
    </row>
    <row r="99" spans="1:14" x14ac:dyDescent="0.2">
      <c r="A99" s="1240"/>
      <c r="B99" s="853">
        <f t="shared" si="22"/>
        <v>2024</v>
      </c>
      <c r="C99" s="833"/>
      <c r="D99" s="834"/>
      <c r="E99" s="834"/>
      <c r="F99" s="834"/>
      <c r="G99" s="834"/>
      <c r="H99" s="834"/>
      <c r="I99" s="565">
        <f t="shared" si="30"/>
        <v>0</v>
      </c>
      <c r="J99" s="565">
        <f t="shared" si="31"/>
        <v>0</v>
      </c>
      <c r="K99" s="565">
        <f>+K98+K79+K62</f>
        <v>0</v>
      </c>
      <c r="L99" s="565">
        <f>+L62</f>
        <v>0</v>
      </c>
      <c r="M99" s="830"/>
      <c r="N99" s="831">
        <f t="shared" si="21"/>
        <v>0</v>
      </c>
    </row>
    <row r="100" spans="1:14" ht="15" x14ac:dyDescent="0.2">
      <c r="A100" s="337"/>
      <c r="C100" s="241"/>
    </row>
    <row r="101" spans="1:14" x14ac:dyDescent="0.2">
      <c r="C101" s="241"/>
    </row>
    <row r="102" spans="1:14" x14ac:dyDescent="0.2">
      <c r="C102" s="241"/>
    </row>
  </sheetData>
  <sheetProtection algorithmName="SHA-512" hashValue="LDGEgggurLleCw1f0+En8AWQ8JSHGufSso1iB013i1uI8wyannwKZMvUtADGhjRffXpQvQKzwShMWqBm47vahQ==" saltValue="mPuJKd3Sf7r5ofoK+ic9mg==" spinCount="100000" sheet="1" objects="1" scenarios="1"/>
  <customSheetViews>
    <customSheetView guid="{C8C7977F-B6BF-432B-A1A7-559450D521AF}" scale="80">
      <selection sqref="A1:J1"/>
      <pageMargins left="0.78740157480314965" right="0.78740157480314965" top="0.98425196850393704" bottom="0.98425196850393704" header="0.51181102362204722" footer="0.51181102362204722"/>
      <pageSetup paperSize="8" scale="70" orientation="landscape" r:id="rId1"/>
      <headerFooter alignWithMargins="0">
        <oddFooter>&amp;CPage &amp;P</oddFooter>
      </headerFooter>
    </customSheetView>
  </customSheetViews>
  <mergeCells count="41">
    <mergeCell ref="A1:N1"/>
    <mergeCell ref="C5:L5"/>
    <mergeCell ref="C6:L6"/>
    <mergeCell ref="C4:L4"/>
    <mergeCell ref="A38:N38"/>
    <mergeCell ref="A15:B15"/>
    <mergeCell ref="A18:B18"/>
    <mergeCell ref="A19:B19"/>
    <mergeCell ref="A30:B30"/>
    <mergeCell ref="A32:B32"/>
    <mergeCell ref="A33:B33"/>
    <mergeCell ref="A21:B21"/>
    <mergeCell ref="A22:B22"/>
    <mergeCell ref="A23:B23"/>
    <mergeCell ref="C51:L51"/>
    <mergeCell ref="A7:B7"/>
    <mergeCell ref="A8:B8"/>
    <mergeCell ref="A17:B17"/>
    <mergeCell ref="A26:B26"/>
    <mergeCell ref="C40:L40"/>
    <mergeCell ref="A27:B27"/>
    <mergeCell ref="A12:B12"/>
    <mergeCell ref="A13:B13"/>
    <mergeCell ref="A24:B24"/>
    <mergeCell ref="A28:B28"/>
    <mergeCell ref="A31:B31"/>
    <mergeCell ref="O47:P47"/>
    <mergeCell ref="A47:N47"/>
    <mergeCell ref="A9:B9"/>
    <mergeCell ref="A10:B10"/>
    <mergeCell ref="A14:B14"/>
    <mergeCell ref="A11:B11"/>
    <mergeCell ref="A20:B20"/>
    <mergeCell ref="A29:B29"/>
    <mergeCell ref="A90:A99"/>
    <mergeCell ref="A52:B52"/>
    <mergeCell ref="A53:A63"/>
    <mergeCell ref="C68:L68"/>
    <mergeCell ref="A70:A80"/>
    <mergeCell ref="C88:L88"/>
    <mergeCell ref="A84:N84"/>
  </mergeCells>
  <conditionalFormatting sqref="A13:L14 A22:L23 A31:L32">
    <cfRule type="expression" dxfId="43" priority="1">
      <formula>$C$5="gas"</formula>
    </cfRule>
  </conditionalFormatting>
  <pageMargins left="0.78740157480314965" right="0.78740157480314965" top="0.98425196850393704" bottom="0.98425196850393704" header="0.51181102362204722" footer="0.51181102362204722"/>
  <pageSetup paperSize="8" scale="56" orientation="portrait" r:id="rId2"/>
  <headerFooter alignWithMargins="0">
    <oddFooter>&amp;CPage &amp;P</oddFooter>
  </headerFooter>
  <ignoredErrors>
    <ignoredError sqref="N69 P69" numberStoredAsText="1"/>
    <ignoredError sqref="N70" numberStoredAsText="1" formulaRange="1"/>
    <ignoredError sqref="C80" formulaRange="1"/>
  </ignoredError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2F7DA506DD5046B28A771D7B9687F5" ma:contentTypeVersion="12" ma:contentTypeDescription="Een nieuw document maken." ma:contentTypeScope="" ma:versionID="e3510a95b28f8eb7a89ff15d68f506b7">
  <xsd:schema xmlns:xsd="http://www.w3.org/2001/XMLSchema" xmlns:xs="http://www.w3.org/2001/XMLSchema" xmlns:p="http://schemas.microsoft.com/office/2006/metadata/properties" xmlns:ns2="ca7bdaf8-9204-4dfb-b961-6420a10552dc" xmlns:ns3="98ce2385-c415-4fed-b28e-f8972ff5db9d" targetNamespace="http://schemas.microsoft.com/office/2006/metadata/properties" ma:root="true" ma:fieldsID="ae71b316606be54f8808a14bbc50f6bd" ns2:_="" ns3:_="">
    <xsd:import namespace="ca7bdaf8-9204-4dfb-b961-6420a10552dc"/>
    <xsd:import namespace="98ce2385-c415-4fed-b28e-f8972ff5db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7bdaf8-9204-4dfb-b961-6420a10552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e2930836-7a2b-4a89-80df-43173053891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ce2385-c415-4fed-b28e-f8972ff5db9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3d60b18-63ea-476b-91b2-5ef93c13c4ab}" ma:internalName="TaxCatchAll" ma:showField="CatchAllData" ma:web="98ce2385-c415-4fed-b28e-f8972ff5d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7bdaf8-9204-4dfb-b961-6420a10552dc">
      <Terms xmlns="http://schemas.microsoft.com/office/infopath/2007/PartnerControls"/>
    </lcf76f155ced4ddcb4097134ff3c332f>
    <TaxCatchAll xmlns="98ce2385-c415-4fed-b28e-f8972ff5db9d" xsi:nil="true"/>
  </documentManagement>
</p:properties>
</file>

<file path=customXml/itemProps1.xml><?xml version="1.0" encoding="utf-8"?>
<ds:datastoreItem xmlns:ds="http://schemas.openxmlformats.org/officeDocument/2006/customXml" ds:itemID="{EC0236B0-6B42-40E8-93EF-BB124C57349C}"/>
</file>

<file path=customXml/itemProps2.xml><?xml version="1.0" encoding="utf-8"?>
<ds:datastoreItem xmlns:ds="http://schemas.openxmlformats.org/officeDocument/2006/customXml" ds:itemID="{99ADDDA0-0F5D-4D03-9858-693FB543FF7C}"/>
</file>

<file path=customXml/itemProps3.xml><?xml version="1.0" encoding="utf-8"?>
<ds:datastoreItem xmlns:ds="http://schemas.openxmlformats.org/officeDocument/2006/customXml" ds:itemID="{47EF8AD8-2B41-4AB5-B424-6585735612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29</vt:i4>
      </vt:variant>
      <vt:variant>
        <vt:lpstr>Benoemde bereiken</vt:lpstr>
      </vt:variant>
      <vt:variant>
        <vt:i4>30</vt:i4>
      </vt:variant>
    </vt:vector>
  </HeadingPairs>
  <TitlesOfParts>
    <vt:vector size="59" baseType="lpstr">
      <vt:lpstr>TITELBLAD</vt:lpstr>
      <vt:lpstr>--&gt; EXO</vt:lpstr>
      <vt:lpstr>T1</vt:lpstr>
      <vt:lpstr>T2 - Overzicht</vt:lpstr>
      <vt:lpstr>T3</vt:lpstr>
      <vt:lpstr>T4A</vt:lpstr>
      <vt:lpstr>T4B</vt:lpstr>
      <vt:lpstr>T4C</vt:lpstr>
      <vt:lpstr>T5A</vt:lpstr>
      <vt:lpstr>T5B</vt:lpstr>
      <vt:lpstr>T5C</vt:lpstr>
      <vt:lpstr>T5D</vt:lpstr>
      <vt:lpstr>T5E</vt:lpstr>
      <vt:lpstr>T5F</vt:lpstr>
      <vt:lpstr>T6A</vt:lpstr>
      <vt:lpstr>T6B</vt:lpstr>
      <vt:lpstr>T7</vt:lpstr>
      <vt:lpstr>T8</vt:lpstr>
      <vt:lpstr>--&gt; ENDO</vt:lpstr>
      <vt:lpstr>T9 - Overzicht</vt:lpstr>
      <vt:lpstr>T10</vt:lpstr>
      <vt:lpstr>T11</vt:lpstr>
      <vt:lpstr>T12</vt:lpstr>
      <vt:lpstr>T13A</vt:lpstr>
      <vt:lpstr>T13B</vt:lpstr>
      <vt:lpstr>T13C</vt:lpstr>
      <vt:lpstr>T13D</vt:lpstr>
      <vt:lpstr>T14</vt:lpstr>
      <vt:lpstr>Werkblad</vt:lpstr>
      <vt:lpstr>'T1'!Afdrukbereik</vt:lpstr>
      <vt:lpstr>'T10'!Afdrukbereik</vt:lpstr>
      <vt:lpstr>'T11'!Afdrukbereik</vt:lpstr>
      <vt:lpstr>'T12'!Afdrukbereik</vt:lpstr>
      <vt:lpstr>T13A!Afdrukbereik</vt:lpstr>
      <vt:lpstr>T13B!Afdrukbereik</vt:lpstr>
      <vt:lpstr>T13C!Afdrukbereik</vt:lpstr>
      <vt:lpstr>T13D!Afdrukbereik</vt:lpstr>
      <vt:lpstr>'T2 - Overzicht'!Afdrukbereik</vt:lpstr>
      <vt:lpstr>'T3'!Afdrukbereik</vt:lpstr>
      <vt:lpstr>T4A!Afdrukbereik</vt:lpstr>
      <vt:lpstr>T4B!Afdrukbereik</vt:lpstr>
      <vt:lpstr>T4C!Afdrukbereik</vt:lpstr>
      <vt:lpstr>T5A!Afdrukbereik</vt:lpstr>
      <vt:lpstr>T5B!Afdrukbereik</vt:lpstr>
      <vt:lpstr>T5C!Afdrukbereik</vt:lpstr>
      <vt:lpstr>T5D!Afdrukbereik</vt:lpstr>
      <vt:lpstr>T5E!Afdrukbereik</vt:lpstr>
      <vt:lpstr>T5F!Afdrukbereik</vt:lpstr>
      <vt:lpstr>T6A!Afdrukbereik</vt:lpstr>
      <vt:lpstr>T6B!Afdrukbereik</vt:lpstr>
      <vt:lpstr>'T7'!Afdrukbereik</vt:lpstr>
      <vt:lpstr>'T8'!Afdrukbereik</vt:lpstr>
      <vt:lpstr>TITELBLAD!Afdrukbereik</vt:lpstr>
      <vt:lpstr>T4A!Afdruktitels</vt:lpstr>
      <vt:lpstr>T4C!Afdruktitels</vt:lpstr>
      <vt:lpstr>T5A!Afdruktitels</vt:lpstr>
      <vt:lpstr>T6A!Afdruktitels</vt:lpstr>
      <vt:lpstr>'T7'!Afdruktitels</vt:lpstr>
      <vt:lpstr>'T8'!Afdruktitels</vt:lpstr>
    </vt:vector>
  </TitlesOfParts>
  <Company>VREG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 Stockman</dc:creator>
  <cp:lastModifiedBy>Marc Michiels</cp:lastModifiedBy>
  <cp:lastPrinted>2016-03-03T07:50:12Z</cp:lastPrinted>
  <dcterms:created xsi:type="dcterms:W3CDTF">2014-05-06T11:13:59Z</dcterms:created>
  <dcterms:modified xsi:type="dcterms:W3CDTF">2021-09-29T14:14:19Z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0x010100482F7DA506DD5046B28A771D7B9687F5</vt:lpwstr>
  </property>
  <property fmtid="{D5CDD505-2E9C-101B-9397-08002B2CF9AE}" pid="3" name="MediaServiceImageTags">
    <vt:lpwstr/>
  </property>
</Properties>
</file>